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5205" yWindow="-45" windowWidth="13380" windowHeight="12075" tabRatio="946" activeTab="2"/>
  </bookViews>
  <sheets>
    <sheet name="READ ME" sheetId="10" r:id="rId1"/>
    <sheet name="Points to Consider" sheetId="11" r:id="rId2"/>
    <sheet name="INPUTS" sheetId="16" r:id="rId3"/>
    <sheet name="upper bound Kenaga" sheetId="2" r:id="rId4"/>
    <sheet name="Mean Kenaga" sheetId="21" r:id="rId5"/>
    <sheet name="LD50 ft-2" sheetId="12" r:id="rId6"/>
    <sheet name="Granular Characterization Calcs" sheetId="20" r:id="rId7"/>
    <sheet name="Seed Treatments" sheetId="13" r:id="rId8"/>
    <sheet name="Graphs" sheetId="3" r:id="rId9"/>
    <sheet name="Print Results" sheetId="19" r:id="rId10"/>
  </sheets>
  <definedNames>
    <definedName name="_1App_Freq">'upper bound Kenaga'!$B$8</definedName>
    <definedName name="_2App_Rate">'upper bound Kenaga'!$B$6</definedName>
    <definedName name="_3Broadleaf_Initial">'upper bound Kenaga'!$R$13</definedName>
    <definedName name="_4Max___Apps">'upper bound Kenaga'!$B$9</definedName>
    <definedName name="_5Rate_Constant">'upper bound Kenaga'!$R$16</definedName>
    <definedName name="_6Short_Grass_Initial">'upper bound Kenaga'!$R$11</definedName>
    <definedName name="_7T1_2">'upper bound Kenaga'!$B$7</definedName>
    <definedName name="_8Tall_Grass_Initial">'upper bound Kenaga'!$R$12</definedName>
    <definedName name="_xlnm._FilterDatabase" localSheetId="2" hidden="1">INPUTS!$I$53:$J$53</definedName>
    <definedName name="Length">'upper bound Kenaga'!$B$10</definedName>
    <definedName name="OLE_LINK4" localSheetId="0">'READ ME'!$B$40</definedName>
    <definedName name="_xlnm.Print_Area" localSheetId="6">'Granular Characterization Calcs'!$A$1:$D$33</definedName>
    <definedName name="_xlnm.Print_Area" localSheetId="2">INPUTS!$A$1:$I$68</definedName>
    <definedName name="_xlnm.Print_Area" localSheetId="5">'LD50 ft-2'!$A$1:$J$51</definedName>
    <definedName name="_xlnm.Print_Area" localSheetId="4">'Mean Kenaga'!$A$1:$H$149</definedName>
    <definedName name="_xlnm.Print_Area" localSheetId="1">'Points to Consider'!$A$1:$O$29</definedName>
    <definedName name="_xlnm.Print_Area" localSheetId="9">'Print Results'!$A$9:$AM$64</definedName>
    <definedName name="_xlnm.Print_Area" localSheetId="0">'READ ME'!$A$1:$W$71</definedName>
    <definedName name="_xlnm.Print_Area" localSheetId="7">'Seed Treatments'!$A$1:$K$236</definedName>
    <definedName name="_xlnm.Print_Area" localSheetId="3">'upper bound Kenaga'!$A$1:$H$234</definedName>
    <definedName name="Seeds">'upper bound Kenaga'!$R$14</definedName>
  </definedNames>
  <calcPr calcId="125725"/>
</workbook>
</file>

<file path=xl/calcChain.xml><?xml version="1.0" encoding="utf-8"?>
<calcChain xmlns="http://schemas.openxmlformats.org/spreadsheetml/2006/main">
  <c r="C4" i="13"/>
  <c r="C3"/>
  <c r="D8" i="16" l="1"/>
  <c r="AA251" i="3" l="1"/>
  <c r="AA252"/>
  <c r="AA253" s="1"/>
  <c r="AA254" s="1"/>
  <c r="AA255" s="1"/>
  <c r="AA256" s="1"/>
  <c r="AA257" s="1"/>
  <c r="AA258" s="1"/>
  <c r="AA259" s="1"/>
  <c r="AA260" s="1"/>
  <c r="AA261" s="1"/>
  <c r="AA262" s="1"/>
  <c r="AA263" s="1"/>
  <c r="AA264" s="1"/>
  <c r="AA265" s="1"/>
  <c r="AA266" s="1"/>
  <c r="AA267" s="1"/>
  <c r="AA268" s="1"/>
  <c r="AA269" s="1"/>
  <c r="AA270" s="1"/>
  <c r="AA271" s="1"/>
  <c r="AA272" s="1"/>
  <c r="AA273" s="1"/>
  <c r="AA274" s="1"/>
  <c r="AA275" s="1"/>
  <c r="AA276" s="1"/>
  <c r="AA277" s="1"/>
  <c r="AA278" s="1"/>
  <c r="AA279" s="1"/>
  <c r="AA280" s="1"/>
  <c r="AA281" s="1"/>
  <c r="AA282" s="1"/>
  <c r="AA283" s="1"/>
  <c r="AA284" s="1"/>
  <c r="AA285" s="1"/>
  <c r="AA286" s="1"/>
  <c r="AA287" s="1"/>
  <c r="AA288" s="1"/>
  <c r="AA289" s="1"/>
  <c r="AA290" s="1"/>
  <c r="AA291" s="1"/>
  <c r="AA292" s="1"/>
  <c r="AA293" s="1"/>
  <c r="AA294" s="1"/>
  <c r="AA295" s="1"/>
  <c r="AA296" s="1"/>
  <c r="AA297" s="1"/>
  <c r="AA298" s="1"/>
  <c r="AA299" s="1"/>
  <c r="AA300" s="1"/>
  <c r="AA301" s="1"/>
  <c r="AA302" s="1"/>
  <c r="AA303" s="1"/>
  <c r="AA304" s="1"/>
  <c r="AA305" s="1"/>
  <c r="AA306" s="1"/>
  <c r="AA307" s="1"/>
  <c r="AA308" s="1"/>
  <c r="AA309" s="1"/>
  <c r="AA310" s="1"/>
  <c r="AA311" s="1"/>
  <c r="AA312" s="1"/>
  <c r="AA313" s="1"/>
  <c r="AA314" s="1"/>
  <c r="AA315" s="1"/>
  <c r="AA316" s="1"/>
  <c r="AA317" s="1"/>
  <c r="AA318" s="1"/>
  <c r="AA319" s="1"/>
  <c r="AA320" s="1"/>
  <c r="AA321" s="1"/>
  <c r="AA322" s="1"/>
  <c r="AA323" s="1"/>
  <c r="AA324" s="1"/>
  <c r="AA325" s="1"/>
  <c r="AA326" s="1"/>
  <c r="AA327" s="1"/>
  <c r="AA328" s="1"/>
  <c r="AA329" s="1"/>
  <c r="AA330" s="1"/>
  <c r="AA331" s="1"/>
  <c r="AA332" s="1"/>
  <c r="AA333" s="1"/>
  <c r="AA334" s="1"/>
  <c r="AA335" s="1"/>
  <c r="AA336" s="1"/>
  <c r="AA337" s="1"/>
  <c r="AA338" s="1"/>
  <c r="AA339" s="1"/>
  <c r="AA340" s="1"/>
  <c r="AA341" s="1"/>
  <c r="AA342" s="1"/>
  <c r="AA343" s="1"/>
  <c r="AA344" s="1"/>
  <c r="AA345" s="1"/>
  <c r="AA346" s="1"/>
  <c r="AA347" s="1"/>
  <c r="AA348" s="1"/>
  <c r="AA349" s="1"/>
  <c r="AA350" s="1"/>
  <c r="AA351" s="1"/>
  <c r="AA352" s="1"/>
  <c r="AA353" s="1"/>
  <c r="AA354" s="1"/>
  <c r="AA355" s="1"/>
  <c r="AA356" s="1"/>
  <c r="AA357" s="1"/>
  <c r="AA358" s="1"/>
  <c r="AA359" s="1"/>
  <c r="AA360" s="1"/>
  <c r="AA361" s="1"/>
  <c r="AA362" s="1"/>
  <c r="AA363" s="1"/>
  <c r="AA364" s="1"/>
  <c r="AA365" s="1"/>
  <c r="AA366" s="1"/>
  <c r="AA367" s="1"/>
  <c r="AA368" s="1"/>
  <c r="AA369" s="1"/>
  <c r="AA370" s="1"/>
  <c r="AA371" s="1"/>
  <c r="AA372" s="1"/>
  <c r="AA373" s="1"/>
  <c r="AA233"/>
  <c r="AA234"/>
  <c r="AA235" s="1"/>
  <c r="AA236" s="1"/>
  <c r="AA237" s="1"/>
  <c r="AA238" s="1"/>
  <c r="AA239" s="1"/>
  <c r="AA240" s="1"/>
  <c r="AA241" s="1"/>
  <c r="AA242" s="1"/>
  <c r="AA243" s="1"/>
  <c r="AA244" s="1"/>
  <c r="AA245" s="1"/>
  <c r="AA246" s="1"/>
  <c r="AA247" s="1"/>
  <c r="AA248" s="1"/>
  <c r="AA249" s="1"/>
  <c r="AA250" s="1"/>
  <c r="AA222"/>
  <c r="AA223"/>
  <c r="AA224" s="1"/>
  <c r="AA225" s="1"/>
  <c r="AA226" s="1"/>
  <c r="AA227" s="1"/>
  <c r="AA228" s="1"/>
  <c r="AA229" s="1"/>
  <c r="AA230" s="1"/>
  <c r="AA231" s="1"/>
  <c r="AA232" s="1"/>
  <c r="AA196"/>
  <c r="AA197"/>
  <c r="AA198" s="1"/>
  <c r="AA199" s="1"/>
  <c r="AA200" s="1"/>
  <c r="AA201" s="1"/>
  <c r="AA202" s="1"/>
  <c r="AA203" s="1"/>
  <c r="AA204" s="1"/>
  <c r="AA205" s="1"/>
  <c r="AA206" s="1"/>
  <c r="AA207" s="1"/>
  <c r="AA208" s="1"/>
  <c r="AA209" s="1"/>
  <c r="AA210" s="1"/>
  <c r="AA211" s="1"/>
  <c r="AA212" s="1"/>
  <c r="AA213" s="1"/>
  <c r="AA214" s="1"/>
  <c r="AA215" s="1"/>
  <c r="AA216" s="1"/>
  <c r="AA217" s="1"/>
  <c r="AA218" s="1"/>
  <c r="AA219" s="1"/>
  <c r="AA220" s="1"/>
  <c r="AA221" s="1"/>
  <c r="AA123"/>
  <c r="AA124"/>
  <c r="AA125" s="1"/>
  <c r="AA126" s="1"/>
  <c r="AA127" s="1"/>
  <c r="AA128" s="1"/>
  <c r="AA129" s="1"/>
  <c r="AA130" s="1"/>
  <c r="AA131" s="1"/>
  <c r="AA132" s="1"/>
  <c r="AA133" s="1"/>
  <c r="AA134" s="1"/>
  <c r="AA135" s="1"/>
  <c r="AA136" s="1"/>
  <c r="AA137" s="1"/>
  <c r="AA138" s="1"/>
  <c r="AA139" s="1"/>
  <c r="AA140" s="1"/>
  <c r="AA141" s="1"/>
  <c r="AA142" s="1"/>
  <c r="AA143" s="1"/>
  <c r="AA144" s="1"/>
  <c r="AA145" s="1"/>
  <c r="AA146" s="1"/>
  <c r="AA147" s="1"/>
  <c r="AA148" s="1"/>
  <c r="AA149" s="1"/>
  <c r="AA150" s="1"/>
  <c r="AA151" s="1"/>
  <c r="AA152" s="1"/>
  <c r="AA153" s="1"/>
  <c r="AA154" s="1"/>
  <c r="AA155" s="1"/>
  <c r="AA156" s="1"/>
  <c r="AA157" s="1"/>
  <c r="AA158" s="1"/>
  <c r="AA159" s="1"/>
  <c r="AA160" s="1"/>
  <c r="AA161" s="1"/>
  <c r="AA162" s="1"/>
  <c r="AA163" s="1"/>
  <c r="AA164" s="1"/>
  <c r="AA165" s="1"/>
  <c r="AA166" s="1"/>
  <c r="AA167" s="1"/>
  <c r="AA168" s="1"/>
  <c r="AA169" s="1"/>
  <c r="AA170" s="1"/>
  <c r="AA171" s="1"/>
  <c r="AA172" s="1"/>
  <c r="AA173" s="1"/>
  <c r="AA174" s="1"/>
  <c r="AA175" s="1"/>
  <c r="AA176" s="1"/>
  <c r="AA177" s="1"/>
  <c r="AA178" s="1"/>
  <c r="AA179" s="1"/>
  <c r="AA180" s="1"/>
  <c r="AA181" s="1"/>
  <c r="AA182" s="1"/>
  <c r="AA183" s="1"/>
  <c r="AA184" s="1"/>
  <c r="AA185" s="1"/>
  <c r="AA186" s="1"/>
  <c r="AA187" s="1"/>
  <c r="AA188" s="1"/>
  <c r="AA189" s="1"/>
  <c r="AA190" s="1"/>
  <c r="AA191" s="1"/>
  <c r="AA192" s="1"/>
  <c r="AA193" s="1"/>
  <c r="AA194" s="1"/>
  <c r="AA195" s="1"/>
  <c r="AA104"/>
  <c r="AA105" s="1"/>
  <c r="AA106" s="1"/>
  <c r="AA107" s="1"/>
  <c r="AA108" s="1"/>
  <c r="AA109" s="1"/>
  <c r="AA110" s="1"/>
  <c r="AA111" s="1"/>
  <c r="AA112" s="1"/>
  <c r="AA113" s="1"/>
  <c r="AA114" s="1"/>
  <c r="AA115" s="1"/>
  <c r="AA116" s="1"/>
  <c r="AA117" s="1"/>
  <c r="AA118" s="1"/>
  <c r="AA119" s="1"/>
  <c r="AA120" s="1"/>
  <c r="AA121" s="1"/>
  <c r="AA122" s="1"/>
  <c r="K22" i="21"/>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21"/>
  <c r="K22" i="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21"/>
  <c r="B11" i="21"/>
  <c r="B11" i="2"/>
  <c r="B4"/>
  <c r="B3"/>
  <c r="B48" i="13"/>
  <c r="B47"/>
  <c r="B46"/>
  <c r="B45"/>
  <c r="A11" i="16"/>
  <c r="T8"/>
  <c r="B22" i="13" s="1"/>
  <c r="A30" s="1"/>
  <c r="A33" s="1"/>
  <c r="A36" s="1"/>
  <c r="D22" l="1"/>
  <c r="F24" s="1"/>
  <c r="C22"/>
  <c r="E24" l="1"/>
  <c r="E23"/>
  <c r="F23"/>
  <c r="AE391" i="21"/>
  <c r="AE390"/>
  <c r="AE389"/>
  <c r="AE388"/>
  <c r="AE387"/>
  <c r="AE386"/>
  <c r="AE385"/>
  <c r="AE384"/>
  <c r="AE383"/>
  <c r="AE382"/>
  <c r="AE381"/>
  <c r="AE380"/>
  <c r="AE379"/>
  <c r="AE378"/>
  <c r="AE377"/>
  <c r="AE376"/>
  <c r="AE375"/>
  <c r="AE374"/>
  <c r="AE373"/>
  <c r="AE372"/>
  <c r="AE371"/>
  <c r="AE370"/>
  <c r="AE369"/>
  <c r="AE368"/>
  <c r="AE367"/>
  <c r="AE366"/>
  <c r="AE365"/>
  <c r="AE364"/>
  <c r="AE363"/>
  <c r="AE362"/>
  <c r="AE361"/>
  <c r="AE360"/>
  <c r="AE359"/>
  <c r="AE358"/>
  <c r="AE357"/>
  <c r="AE356"/>
  <c r="AE355"/>
  <c r="AE354"/>
  <c r="AE353"/>
  <c r="AE352"/>
  <c r="AE351"/>
  <c r="AE350"/>
  <c r="AE349"/>
  <c r="AE348"/>
  <c r="AE347"/>
  <c r="AE346"/>
  <c r="AE345"/>
  <c r="AE344"/>
  <c r="AE343"/>
  <c r="AE342"/>
  <c r="AE341"/>
  <c r="AE340"/>
  <c r="AE339"/>
  <c r="AE338"/>
  <c r="AE337"/>
  <c r="AE336"/>
  <c r="AE335"/>
  <c r="AE334"/>
  <c r="AE333"/>
  <c r="AE332"/>
  <c r="AE331"/>
  <c r="AE330"/>
  <c r="AE329"/>
  <c r="AE328"/>
  <c r="AE327"/>
  <c r="AE326"/>
  <c r="AE325"/>
  <c r="AE324"/>
  <c r="AE323"/>
  <c r="AE322"/>
  <c r="AE321"/>
  <c r="AE320"/>
  <c r="AE319"/>
  <c r="AE318"/>
  <c r="AE317"/>
  <c r="AE316"/>
  <c r="AE315"/>
  <c r="AE314"/>
  <c r="AE313"/>
  <c r="AE312"/>
  <c r="AE311"/>
  <c r="AE310"/>
  <c r="AE309"/>
  <c r="AE308"/>
  <c r="AE307"/>
  <c r="AE306"/>
  <c r="AE305"/>
  <c r="AE304"/>
  <c r="AE303"/>
  <c r="AE302"/>
  <c r="AE301"/>
  <c r="AE300"/>
  <c r="AE299"/>
  <c r="AE298"/>
  <c r="AE297"/>
  <c r="AE296"/>
  <c r="AE295"/>
  <c r="AE294"/>
  <c r="AE293"/>
  <c r="AE292"/>
  <c r="AE291"/>
  <c r="AE290"/>
  <c r="AE289"/>
  <c r="AE288"/>
  <c r="AE287"/>
  <c r="AE286"/>
  <c r="AE285"/>
  <c r="AE284"/>
  <c r="AE283"/>
  <c r="AE282"/>
  <c r="AE281"/>
  <c r="AE280"/>
  <c r="AE279"/>
  <c r="AE278"/>
  <c r="AE277"/>
  <c r="AE276"/>
  <c r="AE275"/>
  <c r="AE274"/>
  <c r="AE273"/>
  <c r="AE272"/>
  <c r="AE271"/>
  <c r="AE270"/>
  <c r="AE269"/>
  <c r="AE268"/>
  <c r="AE267"/>
  <c r="AE266"/>
  <c r="AE265"/>
  <c r="AE264"/>
  <c r="AE263"/>
  <c r="AE262"/>
  <c r="AE261"/>
  <c r="AE260"/>
  <c r="AE259"/>
  <c r="AE258"/>
  <c r="AE257"/>
  <c r="AE256"/>
  <c r="AE255"/>
  <c r="AE254"/>
  <c r="AE253"/>
  <c r="AE252"/>
  <c r="AE251"/>
  <c r="AE250"/>
  <c r="AE249"/>
  <c r="AE248"/>
  <c r="AE247"/>
  <c r="AE246"/>
  <c r="AE245"/>
  <c r="AE244"/>
  <c r="AE243"/>
  <c r="AE242"/>
  <c r="AE241"/>
  <c r="AE240"/>
  <c r="AE239"/>
  <c r="AE238"/>
  <c r="AE237"/>
  <c r="AE236"/>
  <c r="AE235"/>
  <c r="AE234"/>
  <c r="AE233"/>
  <c r="AE232"/>
  <c r="AE231"/>
  <c r="AE230"/>
  <c r="AE229"/>
  <c r="AE228"/>
  <c r="AE227"/>
  <c r="AE226"/>
  <c r="AE225"/>
  <c r="AE224"/>
  <c r="AE223"/>
  <c r="AE222"/>
  <c r="AE221"/>
  <c r="AE220"/>
  <c r="AE219"/>
  <c r="AE218"/>
  <c r="AE217"/>
  <c r="AE216"/>
  <c r="AE215"/>
  <c r="AE214"/>
  <c r="AE213"/>
  <c r="AE212"/>
  <c r="AE211"/>
  <c r="AE210"/>
  <c r="AE209"/>
  <c r="AE208"/>
  <c r="AE207"/>
  <c r="AE206"/>
  <c r="AE205"/>
  <c r="AE204"/>
  <c r="AE203"/>
  <c r="AE202"/>
  <c r="AE201"/>
  <c r="AE200"/>
  <c r="AE199"/>
  <c r="AE198"/>
  <c r="AE197"/>
  <c r="AE196"/>
  <c r="AE195"/>
  <c r="AE194"/>
  <c r="AE193"/>
  <c r="AE192"/>
  <c r="AE191"/>
  <c r="AE190"/>
  <c r="AE189"/>
  <c r="AE188"/>
  <c r="AE187"/>
  <c r="AE186"/>
  <c r="AE185"/>
  <c r="AE184"/>
  <c r="AE183"/>
  <c r="AE182"/>
  <c r="AE181"/>
  <c r="AE180"/>
  <c r="AE179"/>
  <c r="AE178"/>
  <c r="AE177"/>
  <c r="AE176"/>
  <c r="AE175"/>
  <c r="AE174"/>
  <c r="AE173"/>
  <c r="AE172"/>
  <c r="AE171"/>
  <c r="AE170"/>
  <c r="AE169"/>
  <c r="AE168"/>
  <c r="AE167"/>
  <c r="AE166"/>
  <c r="AE165"/>
  <c r="AE164"/>
  <c r="AE163"/>
  <c r="AE162"/>
  <c r="AE161"/>
  <c r="AE160"/>
  <c r="AE159"/>
  <c r="AE158"/>
  <c r="AE157"/>
  <c r="AE156"/>
  <c r="AE155"/>
  <c r="AE154"/>
  <c r="AE153"/>
  <c r="AE152"/>
  <c r="AE151"/>
  <c r="AE150"/>
  <c r="AE149"/>
  <c r="AE148"/>
  <c r="AE147"/>
  <c r="AE146"/>
  <c r="AE145"/>
  <c r="AE144"/>
  <c r="AE143"/>
  <c r="AE142"/>
  <c r="AE141"/>
  <c r="AE140"/>
  <c r="AE139"/>
  <c r="AE138"/>
  <c r="AE137"/>
  <c r="AE136"/>
  <c r="AE135"/>
  <c r="AE134"/>
  <c r="AE133"/>
  <c r="AE132"/>
  <c r="AE131"/>
  <c r="AE130"/>
  <c r="AE129"/>
  <c r="AE128"/>
  <c r="AE127"/>
  <c r="AE126"/>
  <c r="AE125"/>
  <c r="AE124"/>
  <c r="AE123"/>
  <c r="AE122"/>
  <c r="AE121"/>
  <c r="AE120"/>
  <c r="AE119"/>
  <c r="AE118"/>
  <c r="AE117"/>
  <c r="AE116"/>
  <c r="AE115"/>
  <c r="AE114"/>
  <c r="AE113"/>
  <c r="AE112"/>
  <c r="AE111"/>
  <c r="AE110"/>
  <c r="AE109"/>
  <c r="AE108"/>
  <c r="AE107"/>
  <c r="AE106"/>
  <c r="AE105"/>
  <c r="AE104"/>
  <c r="AE103"/>
  <c r="AE102"/>
  <c r="AE101"/>
  <c r="C101"/>
  <c r="C110" s="1"/>
  <c r="AE100"/>
  <c r="C100"/>
  <c r="C109" s="1"/>
  <c r="AE99"/>
  <c r="C99"/>
  <c r="D99" s="1"/>
  <c r="E99" s="1"/>
  <c r="G99" s="1"/>
  <c r="AE98"/>
  <c r="C98"/>
  <c r="O63" i="19" s="1"/>
  <c r="AE97" i="21"/>
  <c r="C97"/>
  <c r="O62" i="19" s="1"/>
  <c r="AE96" i="21"/>
  <c r="C96"/>
  <c r="O61" i="19" s="1"/>
  <c r="AE95" i="21"/>
  <c r="AE94"/>
  <c r="AE93"/>
  <c r="AE92"/>
  <c r="AE91"/>
  <c r="AE90"/>
  <c r="AE89"/>
  <c r="AE88"/>
  <c r="AE87"/>
  <c r="AE86"/>
  <c r="AE85"/>
  <c r="AE84"/>
  <c r="AE83"/>
  <c r="AE82"/>
  <c r="AE81"/>
  <c r="AE80"/>
  <c r="AE79"/>
  <c r="AE78"/>
  <c r="AE77"/>
  <c r="AE76"/>
  <c r="AE75"/>
  <c r="AE74"/>
  <c r="AE73"/>
  <c r="AE72"/>
  <c r="AE71"/>
  <c r="AE70"/>
  <c r="AE69"/>
  <c r="AE68"/>
  <c r="AE67"/>
  <c r="AE66"/>
  <c r="AE65"/>
  <c r="AE64"/>
  <c r="AE63"/>
  <c r="AE62"/>
  <c r="AE61"/>
  <c r="AE60"/>
  <c r="AE59"/>
  <c r="AE58"/>
  <c r="AE57"/>
  <c r="AE56"/>
  <c r="AE55"/>
  <c r="AE54"/>
  <c r="AE53"/>
  <c r="AE52"/>
  <c r="AE51"/>
  <c r="AE50"/>
  <c r="AE49"/>
  <c r="AE48"/>
  <c r="E48"/>
  <c r="AE47"/>
  <c r="E47"/>
  <c r="AE46"/>
  <c r="E46"/>
  <c r="AE45"/>
  <c r="AE44"/>
  <c r="AE43"/>
  <c r="B43"/>
  <c r="AE41"/>
  <c r="AE40"/>
  <c r="AE39"/>
  <c r="AE38"/>
  <c r="C38"/>
  <c r="O17" i="19" s="1"/>
  <c r="AE37" i="21"/>
  <c r="C37"/>
  <c r="O16" i="19" s="1"/>
  <c r="AE36" i="21"/>
  <c r="C36"/>
  <c r="O15" i="19" s="1"/>
  <c r="AE35" i="21"/>
  <c r="AE34"/>
  <c r="AE33"/>
  <c r="AE32"/>
  <c r="AE31"/>
  <c r="AE30"/>
  <c r="AE29"/>
  <c r="AE28"/>
  <c r="AE27"/>
  <c r="AE26"/>
  <c r="AE25"/>
  <c r="AE24"/>
  <c r="AE23"/>
  <c r="AE22"/>
  <c r="M22"/>
  <c r="M23" s="1"/>
  <c r="AE21"/>
  <c r="D21"/>
  <c r="O46" i="19" s="1"/>
  <c r="D20" i="21"/>
  <c r="D18"/>
  <c r="O30" i="19" s="1"/>
  <c r="B18" i="21"/>
  <c r="D17"/>
  <c r="B17"/>
  <c r="D16"/>
  <c r="O23" i="19" s="1"/>
  <c r="B16" i="21"/>
  <c r="E15"/>
  <c r="D15"/>
  <c r="C48" s="1"/>
  <c r="P17" i="19" s="1"/>
  <c r="AD17" s="1"/>
  <c r="AD25" s="1"/>
  <c r="B15" i="21"/>
  <c r="B9"/>
  <c r="N22" s="1"/>
  <c r="N23" s="1"/>
  <c r="N24" s="1"/>
  <c r="N25" s="1"/>
  <c r="N26" s="1"/>
  <c r="B8"/>
  <c r="O22" s="1"/>
  <c r="O23" s="1"/>
  <c r="O24" s="1"/>
  <c r="O25" s="1"/>
  <c r="O26" s="1"/>
  <c r="O27" s="1"/>
  <c r="O28" s="1"/>
  <c r="O29" s="1"/>
  <c r="O30" s="1"/>
  <c r="O31" s="1"/>
  <c r="O32" s="1"/>
  <c r="O33" s="1"/>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84" s="1"/>
  <c r="O85" s="1"/>
  <c r="O86" s="1"/>
  <c r="O87" s="1"/>
  <c r="O88" s="1"/>
  <c r="O89" s="1"/>
  <c r="O90" s="1"/>
  <c r="O91" s="1"/>
  <c r="O92" s="1"/>
  <c r="O93" s="1"/>
  <c r="O94" s="1"/>
  <c r="O95" s="1"/>
  <c r="O96" s="1"/>
  <c r="O97" s="1"/>
  <c r="O98" s="1"/>
  <c r="O99" s="1"/>
  <c r="O100" s="1"/>
  <c r="O101" s="1"/>
  <c r="O102" s="1"/>
  <c r="O103" s="1"/>
  <c r="O104" s="1"/>
  <c r="O105" s="1"/>
  <c r="O106" s="1"/>
  <c r="O107" s="1"/>
  <c r="O108" s="1"/>
  <c r="O109" s="1"/>
  <c r="O110" s="1"/>
  <c r="O111" s="1"/>
  <c r="O112" s="1"/>
  <c r="O113" s="1"/>
  <c r="O114" s="1"/>
  <c r="O115" s="1"/>
  <c r="O116" s="1"/>
  <c r="O117" s="1"/>
  <c r="O118" s="1"/>
  <c r="O119" s="1"/>
  <c r="O120" s="1"/>
  <c r="O121" s="1"/>
  <c r="O122" s="1"/>
  <c r="O123" s="1"/>
  <c r="O124" s="1"/>
  <c r="O125" s="1"/>
  <c r="O126" s="1"/>
  <c r="O127" s="1"/>
  <c r="O128" s="1"/>
  <c r="O129" s="1"/>
  <c r="O130" s="1"/>
  <c r="O131" s="1"/>
  <c r="O132" s="1"/>
  <c r="O133" s="1"/>
  <c r="O134" s="1"/>
  <c r="O135" s="1"/>
  <c r="O136" s="1"/>
  <c r="O137" s="1"/>
  <c r="O138" s="1"/>
  <c r="O139" s="1"/>
  <c r="O140" s="1"/>
  <c r="O141" s="1"/>
  <c r="O142" s="1"/>
  <c r="O143" s="1"/>
  <c r="O144" s="1"/>
  <c r="O145" s="1"/>
  <c r="O146" s="1"/>
  <c r="O147" s="1"/>
  <c r="O148" s="1"/>
  <c r="O149" s="1"/>
  <c r="O150" s="1"/>
  <c r="O151" s="1"/>
  <c r="O152" s="1"/>
  <c r="O153" s="1"/>
  <c r="O154" s="1"/>
  <c r="O155" s="1"/>
  <c r="O156" s="1"/>
  <c r="O157" s="1"/>
  <c r="O158" s="1"/>
  <c r="O159" s="1"/>
  <c r="O160" s="1"/>
  <c r="O161" s="1"/>
  <c r="O162" s="1"/>
  <c r="O163" s="1"/>
  <c r="O164" s="1"/>
  <c r="O165" s="1"/>
  <c r="O166" s="1"/>
  <c r="O167" s="1"/>
  <c r="O168" s="1"/>
  <c r="O169" s="1"/>
  <c r="O170" s="1"/>
  <c r="O171" s="1"/>
  <c r="O172" s="1"/>
  <c r="O173" s="1"/>
  <c r="O174" s="1"/>
  <c r="O175" s="1"/>
  <c r="O176" s="1"/>
  <c r="O177" s="1"/>
  <c r="O178" s="1"/>
  <c r="O179" s="1"/>
  <c r="O180" s="1"/>
  <c r="O181" s="1"/>
  <c r="O182" s="1"/>
  <c r="O183" s="1"/>
  <c r="O184" s="1"/>
  <c r="O185" s="1"/>
  <c r="O186" s="1"/>
  <c r="O187" s="1"/>
  <c r="O188" s="1"/>
  <c r="O189" s="1"/>
  <c r="O190" s="1"/>
  <c r="O191" s="1"/>
  <c r="O192" s="1"/>
  <c r="O193" s="1"/>
  <c r="O194" s="1"/>
  <c r="O195" s="1"/>
  <c r="O196" s="1"/>
  <c r="O197" s="1"/>
  <c r="O198" s="1"/>
  <c r="O199" s="1"/>
  <c r="O200" s="1"/>
  <c r="O201" s="1"/>
  <c r="O202" s="1"/>
  <c r="O203" s="1"/>
  <c r="O204" s="1"/>
  <c r="O205" s="1"/>
  <c r="O206" s="1"/>
  <c r="O207" s="1"/>
  <c r="O208" s="1"/>
  <c r="O209" s="1"/>
  <c r="O210" s="1"/>
  <c r="O211" s="1"/>
  <c r="O212" s="1"/>
  <c r="O213" s="1"/>
  <c r="O214" s="1"/>
  <c r="O215" s="1"/>
  <c r="O216" s="1"/>
  <c r="O217" s="1"/>
  <c r="O218" s="1"/>
  <c r="O219" s="1"/>
  <c r="O220" s="1"/>
  <c r="O221" s="1"/>
  <c r="O222" s="1"/>
  <c r="O223" s="1"/>
  <c r="O224" s="1"/>
  <c r="O225" s="1"/>
  <c r="O226" s="1"/>
  <c r="O227" s="1"/>
  <c r="O228" s="1"/>
  <c r="O229" s="1"/>
  <c r="O230" s="1"/>
  <c r="O231" s="1"/>
  <c r="O232" s="1"/>
  <c r="O233" s="1"/>
  <c r="O234" s="1"/>
  <c r="O235" s="1"/>
  <c r="O236" s="1"/>
  <c r="O237" s="1"/>
  <c r="O238" s="1"/>
  <c r="O239" s="1"/>
  <c r="O240" s="1"/>
  <c r="O241" s="1"/>
  <c r="O242" s="1"/>
  <c r="O243" s="1"/>
  <c r="O244" s="1"/>
  <c r="O245" s="1"/>
  <c r="O246" s="1"/>
  <c r="O247" s="1"/>
  <c r="O248" s="1"/>
  <c r="O249" s="1"/>
  <c r="O250" s="1"/>
  <c r="O251" s="1"/>
  <c r="O252" s="1"/>
  <c r="O253" s="1"/>
  <c r="O254" s="1"/>
  <c r="O255" s="1"/>
  <c r="O256" s="1"/>
  <c r="O257" s="1"/>
  <c r="O258" s="1"/>
  <c r="O259" s="1"/>
  <c r="O260" s="1"/>
  <c r="O261" s="1"/>
  <c r="O262" s="1"/>
  <c r="O263" s="1"/>
  <c r="O264" s="1"/>
  <c r="O265" s="1"/>
  <c r="O266" s="1"/>
  <c r="O267" s="1"/>
  <c r="O268" s="1"/>
  <c r="O269" s="1"/>
  <c r="O270" s="1"/>
  <c r="O271" s="1"/>
  <c r="O272" s="1"/>
  <c r="O273" s="1"/>
  <c r="O274" s="1"/>
  <c r="O275" s="1"/>
  <c r="O276" s="1"/>
  <c r="O277" s="1"/>
  <c r="O278" s="1"/>
  <c r="O279" s="1"/>
  <c r="O280" s="1"/>
  <c r="O281" s="1"/>
  <c r="O282" s="1"/>
  <c r="O283" s="1"/>
  <c r="O284" s="1"/>
  <c r="O285" s="1"/>
  <c r="O286" s="1"/>
  <c r="O287" s="1"/>
  <c r="O288" s="1"/>
  <c r="O289" s="1"/>
  <c r="O290" s="1"/>
  <c r="O291" s="1"/>
  <c r="O292" s="1"/>
  <c r="O293" s="1"/>
  <c r="O294" s="1"/>
  <c r="O295" s="1"/>
  <c r="O296" s="1"/>
  <c r="O297" s="1"/>
  <c r="O298" s="1"/>
  <c r="O299" s="1"/>
  <c r="O300" s="1"/>
  <c r="O301" s="1"/>
  <c r="O302" s="1"/>
  <c r="O303" s="1"/>
  <c r="O304" s="1"/>
  <c r="O305" s="1"/>
  <c r="O306" s="1"/>
  <c r="O307" s="1"/>
  <c r="O308" s="1"/>
  <c r="O309" s="1"/>
  <c r="O310" s="1"/>
  <c r="O311" s="1"/>
  <c r="O312" s="1"/>
  <c r="O313" s="1"/>
  <c r="O314" s="1"/>
  <c r="O315" s="1"/>
  <c r="O316" s="1"/>
  <c r="O317" s="1"/>
  <c r="O318" s="1"/>
  <c r="O319" s="1"/>
  <c r="O320" s="1"/>
  <c r="O321" s="1"/>
  <c r="O322" s="1"/>
  <c r="O323" s="1"/>
  <c r="O324" s="1"/>
  <c r="O325" s="1"/>
  <c r="O326" s="1"/>
  <c r="O327" s="1"/>
  <c r="O328" s="1"/>
  <c r="O329" s="1"/>
  <c r="O330" s="1"/>
  <c r="O331" s="1"/>
  <c r="O332" s="1"/>
  <c r="O333" s="1"/>
  <c r="O334" s="1"/>
  <c r="O335" s="1"/>
  <c r="O336" s="1"/>
  <c r="O337" s="1"/>
  <c r="O338" s="1"/>
  <c r="O339" s="1"/>
  <c r="O340" s="1"/>
  <c r="O341" s="1"/>
  <c r="O342" s="1"/>
  <c r="O343" s="1"/>
  <c r="O344" s="1"/>
  <c r="O345" s="1"/>
  <c r="O346" s="1"/>
  <c r="O347" s="1"/>
  <c r="O348" s="1"/>
  <c r="O349" s="1"/>
  <c r="O350" s="1"/>
  <c r="O351" s="1"/>
  <c r="O352" s="1"/>
  <c r="O353" s="1"/>
  <c r="O354" s="1"/>
  <c r="O355" s="1"/>
  <c r="O356" s="1"/>
  <c r="O357" s="1"/>
  <c r="O358" s="1"/>
  <c r="O359" s="1"/>
  <c r="O360" s="1"/>
  <c r="O361" s="1"/>
  <c r="O362" s="1"/>
  <c r="O363" s="1"/>
  <c r="O364" s="1"/>
  <c r="O365" s="1"/>
  <c r="O366" s="1"/>
  <c r="O367" s="1"/>
  <c r="O368" s="1"/>
  <c r="O369" s="1"/>
  <c r="O370" s="1"/>
  <c r="O371" s="1"/>
  <c r="O372" s="1"/>
  <c r="O373" s="1"/>
  <c r="O374" s="1"/>
  <c r="O375" s="1"/>
  <c r="O376" s="1"/>
  <c r="O377" s="1"/>
  <c r="O378" s="1"/>
  <c r="O379" s="1"/>
  <c r="O380" s="1"/>
  <c r="O381" s="1"/>
  <c r="O382" s="1"/>
  <c r="O383" s="1"/>
  <c r="O384" s="1"/>
  <c r="O385" s="1"/>
  <c r="O386" s="1"/>
  <c r="O387" s="1"/>
  <c r="O388" s="1"/>
  <c r="O389" s="1"/>
  <c r="O390" s="1"/>
  <c r="O391" s="1"/>
  <c r="B7"/>
  <c r="R16" s="1"/>
  <c r="B6"/>
  <c r="R13" s="1"/>
  <c r="V21" s="1"/>
  <c r="B5"/>
  <c r="B4"/>
  <c r="B182" s="1"/>
  <c r="B3"/>
  <c r="A182" s="1"/>
  <c r="J21" i="2"/>
  <c r="L21" s="1"/>
  <c r="AC21" s="1"/>
  <c r="B6"/>
  <c r="R15" s="1"/>
  <c r="AB21" s="1"/>
  <c r="B9"/>
  <c r="B8"/>
  <c r="O22" s="1"/>
  <c r="O23" s="1"/>
  <c r="O24" s="1"/>
  <c r="O25" s="1"/>
  <c r="O26" s="1"/>
  <c r="O27" s="1"/>
  <c r="O28" s="1"/>
  <c r="O29" s="1"/>
  <c r="O30" s="1"/>
  <c r="O31" s="1"/>
  <c r="O32" s="1"/>
  <c r="O33" s="1"/>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84" s="1"/>
  <c r="O85" s="1"/>
  <c r="O86" s="1"/>
  <c r="O87" s="1"/>
  <c r="O88" s="1"/>
  <c r="O89" s="1"/>
  <c r="O90" s="1"/>
  <c r="O91" s="1"/>
  <c r="O92" s="1"/>
  <c r="O93" s="1"/>
  <c r="O94" s="1"/>
  <c r="O95" s="1"/>
  <c r="O96" s="1"/>
  <c r="O97" s="1"/>
  <c r="O98" s="1"/>
  <c r="O99" s="1"/>
  <c r="O100" s="1"/>
  <c r="O101" s="1"/>
  <c r="O102" s="1"/>
  <c r="O103" s="1"/>
  <c r="O104" s="1"/>
  <c r="O105" s="1"/>
  <c r="O106" s="1"/>
  <c r="O107" s="1"/>
  <c r="O108" s="1"/>
  <c r="O109" s="1"/>
  <c r="O110" s="1"/>
  <c r="O111" s="1"/>
  <c r="O112" s="1"/>
  <c r="O113" s="1"/>
  <c r="O114" s="1"/>
  <c r="O115" s="1"/>
  <c r="O116" s="1"/>
  <c r="O117" s="1"/>
  <c r="O118" s="1"/>
  <c r="O119" s="1"/>
  <c r="O120" s="1"/>
  <c r="O121" s="1"/>
  <c r="O122" s="1"/>
  <c r="O123" s="1"/>
  <c r="O124" s="1"/>
  <c r="O125" s="1"/>
  <c r="O126" s="1"/>
  <c r="O127" s="1"/>
  <c r="O128" s="1"/>
  <c r="O129" s="1"/>
  <c r="O130" s="1"/>
  <c r="O131" s="1"/>
  <c r="O132" s="1"/>
  <c r="O133" s="1"/>
  <c r="O134" s="1"/>
  <c r="O135" s="1"/>
  <c r="O136" s="1"/>
  <c r="O137" s="1"/>
  <c r="O138" s="1"/>
  <c r="O139" s="1"/>
  <c r="O140" s="1"/>
  <c r="O141" s="1"/>
  <c r="O142" s="1"/>
  <c r="O143" s="1"/>
  <c r="O144" s="1"/>
  <c r="O145" s="1"/>
  <c r="O146" s="1"/>
  <c r="O147" s="1"/>
  <c r="O148" s="1"/>
  <c r="O149" s="1"/>
  <c r="O150" s="1"/>
  <c r="O151" s="1"/>
  <c r="O152" s="1"/>
  <c r="O153" s="1"/>
  <c r="O154" s="1"/>
  <c r="O155" s="1"/>
  <c r="O156" s="1"/>
  <c r="O157" s="1"/>
  <c r="O158" s="1"/>
  <c r="O159" s="1"/>
  <c r="O160" s="1"/>
  <c r="O161" s="1"/>
  <c r="O162" s="1"/>
  <c r="O163" s="1"/>
  <c r="O164" s="1"/>
  <c r="O165" s="1"/>
  <c r="O166" s="1"/>
  <c r="O167" s="1"/>
  <c r="O168" s="1"/>
  <c r="O169" s="1"/>
  <c r="O170" s="1"/>
  <c r="O171" s="1"/>
  <c r="O172" s="1"/>
  <c r="O173" s="1"/>
  <c r="O174" s="1"/>
  <c r="O175" s="1"/>
  <c r="O176" s="1"/>
  <c r="O177" s="1"/>
  <c r="O178" s="1"/>
  <c r="O179" s="1"/>
  <c r="O180" s="1"/>
  <c r="O181" s="1"/>
  <c r="O182" s="1"/>
  <c r="O183" s="1"/>
  <c r="O184" s="1"/>
  <c r="O185" s="1"/>
  <c r="O186" s="1"/>
  <c r="O187" s="1"/>
  <c r="O188" s="1"/>
  <c r="O189" s="1"/>
  <c r="O190" s="1"/>
  <c r="O191" s="1"/>
  <c r="O192" s="1"/>
  <c r="O193" s="1"/>
  <c r="O194" s="1"/>
  <c r="O195" s="1"/>
  <c r="O196" s="1"/>
  <c r="O197" s="1"/>
  <c r="O198" s="1"/>
  <c r="O199" s="1"/>
  <c r="O200" s="1"/>
  <c r="O201" s="1"/>
  <c r="O202" s="1"/>
  <c r="O203" s="1"/>
  <c r="O204" s="1"/>
  <c r="O205" s="1"/>
  <c r="O206" s="1"/>
  <c r="O207" s="1"/>
  <c r="O208" s="1"/>
  <c r="O209" s="1"/>
  <c r="O210" s="1"/>
  <c r="O211" s="1"/>
  <c r="O212" s="1"/>
  <c r="O213" s="1"/>
  <c r="O214" s="1"/>
  <c r="O215" s="1"/>
  <c r="O216" s="1"/>
  <c r="O217" s="1"/>
  <c r="O218" s="1"/>
  <c r="O219" s="1"/>
  <c r="O220" s="1"/>
  <c r="O221" s="1"/>
  <c r="O222" s="1"/>
  <c r="O223" s="1"/>
  <c r="O224" s="1"/>
  <c r="O225" s="1"/>
  <c r="O226" s="1"/>
  <c r="O227" s="1"/>
  <c r="O228" s="1"/>
  <c r="O229" s="1"/>
  <c r="O230" s="1"/>
  <c r="O231" s="1"/>
  <c r="O232" s="1"/>
  <c r="O233" s="1"/>
  <c r="O234" s="1"/>
  <c r="O235" s="1"/>
  <c r="O236" s="1"/>
  <c r="O237" s="1"/>
  <c r="O238" s="1"/>
  <c r="O239" s="1"/>
  <c r="O240" s="1"/>
  <c r="O241" s="1"/>
  <c r="O242" s="1"/>
  <c r="O243" s="1"/>
  <c r="O244" s="1"/>
  <c r="O245" s="1"/>
  <c r="O246" s="1"/>
  <c r="O247" s="1"/>
  <c r="O248" s="1"/>
  <c r="O249" s="1"/>
  <c r="O250" s="1"/>
  <c r="O251" s="1"/>
  <c r="O252" s="1"/>
  <c r="O253" s="1"/>
  <c r="O254" s="1"/>
  <c r="O255" s="1"/>
  <c r="O256" s="1"/>
  <c r="O257" s="1"/>
  <c r="O258" s="1"/>
  <c r="O259" s="1"/>
  <c r="O260" s="1"/>
  <c r="O261" s="1"/>
  <c r="O262" s="1"/>
  <c r="O263" s="1"/>
  <c r="O264" s="1"/>
  <c r="O265" s="1"/>
  <c r="O266" s="1"/>
  <c r="O267" s="1"/>
  <c r="O268" s="1"/>
  <c r="O269" s="1"/>
  <c r="O270" s="1"/>
  <c r="O271" s="1"/>
  <c r="O272" s="1"/>
  <c r="O273" s="1"/>
  <c r="O274" s="1"/>
  <c r="O275" s="1"/>
  <c r="O276" s="1"/>
  <c r="O277" s="1"/>
  <c r="O278" s="1"/>
  <c r="O279" s="1"/>
  <c r="O280" s="1"/>
  <c r="O281" s="1"/>
  <c r="O282" s="1"/>
  <c r="O283" s="1"/>
  <c r="O284" s="1"/>
  <c r="O285" s="1"/>
  <c r="O286" s="1"/>
  <c r="O287" s="1"/>
  <c r="O288" s="1"/>
  <c r="O289" s="1"/>
  <c r="O290" s="1"/>
  <c r="O291" s="1"/>
  <c r="O292" s="1"/>
  <c r="O293" s="1"/>
  <c r="O294" s="1"/>
  <c r="O295" s="1"/>
  <c r="O296" s="1"/>
  <c r="O297" s="1"/>
  <c r="O298" s="1"/>
  <c r="O299" s="1"/>
  <c r="O300" s="1"/>
  <c r="O301" s="1"/>
  <c r="O302" s="1"/>
  <c r="O303" s="1"/>
  <c r="O304" s="1"/>
  <c r="O305" s="1"/>
  <c r="O306" s="1"/>
  <c r="O307" s="1"/>
  <c r="O308" s="1"/>
  <c r="O309" s="1"/>
  <c r="O310" s="1"/>
  <c r="O311" s="1"/>
  <c r="O312" s="1"/>
  <c r="O313" s="1"/>
  <c r="O314" s="1"/>
  <c r="O315" s="1"/>
  <c r="O316" s="1"/>
  <c r="O317" s="1"/>
  <c r="O318" s="1"/>
  <c r="O319" s="1"/>
  <c r="O320" s="1"/>
  <c r="O321" s="1"/>
  <c r="O322" s="1"/>
  <c r="O323" s="1"/>
  <c r="O324" s="1"/>
  <c r="O325" s="1"/>
  <c r="O326" s="1"/>
  <c r="O327" s="1"/>
  <c r="O328" s="1"/>
  <c r="O329" s="1"/>
  <c r="O330" s="1"/>
  <c r="O331" s="1"/>
  <c r="O332" s="1"/>
  <c r="O333" s="1"/>
  <c r="O334" s="1"/>
  <c r="O335" s="1"/>
  <c r="O336" s="1"/>
  <c r="O337" s="1"/>
  <c r="O338" s="1"/>
  <c r="O339" s="1"/>
  <c r="O340" s="1"/>
  <c r="O341" s="1"/>
  <c r="O342" s="1"/>
  <c r="O343" s="1"/>
  <c r="O344" s="1"/>
  <c r="O345" s="1"/>
  <c r="O346" s="1"/>
  <c r="O347" s="1"/>
  <c r="O348" s="1"/>
  <c r="O349" s="1"/>
  <c r="O350" s="1"/>
  <c r="O351" s="1"/>
  <c r="O352" s="1"/>
  <c r="O353" s="1"/>
  <c r="O354" s="1"/>
  <c r="O355" s="1"/>
  <c r="O356" s="1"/>
  <c r="O357" s="1"/>
  <c r="O358" s="1"/>
  <c r="O359" s="1"/>
  <c r="O360" s="1"/>
  <c r="O361" s="1"/>
  <c r="O362" s="1"/>
  <c r="O363" s="1"/>
  <c r="O364" s="1"/>
  <c r="O365" s="1"/>
  <c r="O366" s="1"/>
  <c r="O367" s="1"/>
  <c r="O368" s="1"/>
  <c r="O369" s="1"/>
  <c r="O370" s="1"/>
  <c r="O371" s="1"/>
  <c r="O372" s="1"/>
  <c r="O373" s="1"/>
  <c r="O374" s="1"/>
  <c r="O375" s="1"/>
  <c r="O376" s="1"/>
  <c r="O377" s="1"/>
  <c r="O378" s="1"/>
  <c r="O379" s="1"/>
  <c r="O380" s="1"/>
  <c r="O381" s="1"/>
  <c r="O382" s="1"/>
  <c r="O383" s="1"/>
  <c r="O384" s="1"/>
  <c r="O385" s="1"/>
  <c r="O386" s="1"/>
  <c r="O387" s="1"/>
  <c r="O388" s="1"/>
  <c r="O389" s="1"/>
  <c r="O390" s="1"/>
  <c r="O391" s="1"/>
  <c r="B7"/>
  <c r="R16" s="1"/>
  <c r="C36"/>
  <c r="A15" i="19" s="1"/>
  <c r="D15" i="2"/>
  <c r="B15" i="20" s="1"/>
  <c r="M22" i="2"/>
  <c r="B37" i="16"/>
  <c r="B38"/>
  <c r="B53"/>
  <c r="B54"/>
  <c r="B55"/>
  <c r="C96" i="2"/>
  <c r="A37" i="19" s="1"/>
  <c r="D20" i="2"/>
  <c r="C10" i="13" s="1"/>
  <c r="E10" s="1"/>
  <c r="C101" i="2"/>
  <c r="C110" s="1"/>
  <c r="C100"/>
  <c r="C109" s="1"/>
  <c r="C99"/>
  <c r="D99" s="1"/>
  <c r="E99" s="1"/>
  <c r="C98"/>
  <c r="A39" i="19" s="1"/>
  <c r="C97" i="2"/>
  <c r="A62" i="19" s="1"/>
  <c r="D18" i="2"/>
  <c r="A30" i="19" s="1"/>
  <c r="D14" i="12"/>
  <c r="C37" i="2"/>
  <c r="A16" i="19" s="1"/>
  <c r="C2" i="13"/>
  <c r="B5" i="2"/>
  <c r="D6" i="12"/>
  <c r="D24" s="1"/>
  <c r="D7"/>
  <c r="D16"/>
  <c r="C15" i="20"/>
  <c r="C18" s="1"/>
  <c r="AL16" i="19"/>
  <c r="AL26" s="1"/>
  <c r="C22" i="20"/>
  <c r="AL11" i="19"/>
  <c r="AL22" s="1"/>
  <c r="C38" i="2"/>
  <c r="C41" s="1"/>
  <c r="D41" s="1"/>
  <c r="E41" s="1"/>
  <c r="AE72"/>
  <c r="AE41"/>
  <c r="AE40"/>
  <c r="AE39"/>
  <c r="G20" i="12"/>
  <c r="G29" s="1"/>
  <c r="C63" i="16"/>
  <c r="C62"/>
  <c r="C48" i="12"/>
  <c r="C33" s="1"/>
  <c r="H33" s="1"/>
  <c r="I22"/>
  <c r="D15"/>
  <c r="I23"/>
  <c r="I24"/>
  <c r="I25"/>
  <c r="I33"/>
  <c r="AI17" i="19" s="1"/>
  <c r="D22" i="12"/>
  <c r="D25"/>
  <c r="D23"/>
  <c r="D26" s="1"/>
  <c r="D27" s="1"/>
  <c r="C51"/>
  <c r="C36" s="1"/>
  <c r="H36" s="1"/>
  <c r="C50"/>
  <c r="C35" s="1"/>
  <c r="H35" s="1"/>
  <c r="C49"/>
  <c r="C34" s="1"/>
  <c r="H34" s="1"/>
  <c r="C47"/>
  <c r="C32" s="1"/>
  <c r="H32" s="1"/>
  <c r="C46"/>
  <c r="C31" s="1"/>
  <c r="H31" s="1"/>
  <c r="I36"/>
  <c r="AI25" i="19" s="1"/>
  <c r="I35" i="12"/>
  <c r="AI24" i="19" s="1"/>
  <c r="I34" i="12"/>
  <c r="AI23" i="19" s="1"/>
  <c r="I32" i="12"/>
  <c r="AI16" i="19" s="1"/>
  <c r="I31" i="12"/>
  <c r="AI15" i="19" s="1"/>
  <c r="B20" i="12"/>
  <c r="C60" i="16"/>
  <c r="C61" s="1"/>
  <c r="C55"/>
  <c r="D16" i="2"/>
  <c r="A23" i="19" s="1"/>
  <c r="B22" i="20"/>
  <c r="D21" i="2"/>
  <c r="A46" i="19" s="1"/>
  <c r="AE15"/>
  <c r="AF15"/>
  <c r="AE23"/>
  <c r="AF23"/>
  <c r="AA5" i="3"/>
  <c r="AA6" s="1"/>
  <c r="AA7" s="1"/>
  <c r="AA8" s="1"/>
  <c r="AA9" s="1"/>
  <c r="AA10" s="1"/>
  <c r="AA11" s="1"/>
  <c r="AA12" s="1"/>
  <c r="AA13" s="1"/>
  <c r="AA14" s="1"/>
  <c r="AA15" s="1"/>
  <c r="AA16" s="1"/>
  <c r="AA17" s="1"/>
  <c r="AA18" s="1"/>
  <c r="AA19" s="1"/>
  <c r="AA20" s="1"/>
  <c r="AA21" s="1"/>
  <c r="AA22" s="1"/>
  <c r="AA23" s="1"/>
  <c r="AA24" s="1"/>
  <c r="AA25" s="1"/>
  <c r="AA26" s="1"/>
  <c r="AA27" s="1"/>
  <c r="AA28" s="1"/>
  <c r="AA29" s="1"/>
  <c r="AA30" s="1"/>
  <c r="AA31" s="1"/>
  <c r="AA32" s="1"/>
  <c r="AA33" s="1"/>
  <c r="AA34" s="1"/>
  <c r="AA35" s="1"/>
  <c r="AA36" s="1"/>
  <c r="AA37" s="1"/>
  <c r="AA38" s="1"/>
  <c r="AA39" s="1"/>
  <c r="AA40" s="1"/>
  <c r="AA41" s="1"/>
  <c r="AA42" s="1"/>
  <c r="AA43" s="1"/>
  <c r="AA44" s="1"/>
  <c r="AA45" s="1"/>
  <c r="AA46" s="1"/>
  <c r="AA47" s="1"/>
  <c r="AA48" s="1"/>
  <c r="AA49" s="1"/>
  <c r="AA50" s="1"/>
  <c r="AA51" s="1"/>
  <c r="AA52" s="1"/>
  <c r="AA53" s="1"/>
  <c r="AA54" s="1"/>
  <c r="AA55" s="1"/>
  <c r="AA56" s="1"/>
  <c r="AA57" s="1"/>
  <c r="AA58" s="1"/>
  <c r="AA59" s="1"/>
  <c r="AA60" s="1"/>
  <c r="AA61" s="1"/>
  <c r="AA62" s="1"/>
  <c r="AA63" s="1"/>
  <c r="AA64" s="1"/>
  <c r="AA65" s="1"/>
  <c r="AA66" s="1"/>
  <c r="AA67" s="1"/>
  <c r="AA68" s="1"/>
  <c r="AA69" s="1"/>
  <c r="AA70" s="1"/>
  <c r="AA71" s="1"/>
  <c r="AA72" s="1"/>
  <c r="AA73" s="1"/>
  <c r="AA74" s="1"/>
  <c r="AA75" s="1"/>
  <c r="AA76" s="1"/>
  <c r="AA77" s="1"/>
  <c r="AA78" s="1"/>
  <c r="AA79" s="1"/>
  <c r="AA80" s="1"/>
  <c r="AA81" s="1"/>
  <c r="AA82" s="1"/>
  <c r="AA83" s="1"/>
  <c r="AA84" s="1"/>
  <c r="AA85" s="1"/>
  <c r="AA86" s="1"/>
  <c r="AA87" s="1"/>
  <c r="AA88" s="1"/>
  <c r="AA89" s="1"/>
  <c r="AA90" s="1"/>
  <c r="AA91" s="1"/>
  <c r="AA92" s="1"/>
  <c r="AA93" s="1"/>
  <c r="AA94" s="1"/>
  <c r="AA95" s="1"/>
  <c r="AA96" s="1"/>
  <c r="AA97" s="1"/>
  <c r="AA98" s="1"/>
  <c r="AA99" s="1"/>
  <c r="AA100" s="1"/>
  <c r="AA101" s="1"/>
  <c r="AA102" s="1"/>
  <c r="AA103" s="1"/>
  <c r="E4" i="13"/>
  <c r="D7"/>
  <c r="C18"/>
  <c r="B43"/>
  <c r="E22" s="1"/>
  <c r="B44"/>
  <c r="F22" s="1"/>
  <c r="G7" i="12"/>
  <c r="G8"/>
  <c r="G9"/>
  <c r="G10"/>
  <c r="B40"/>
  <c r="B15" i="2"/>
  <c r="E15"/>
  <c r="B16"/>
  <c r="B17"/>
  <c r="D17"/>
  <c r="B18"/>
  <c r="AE21"/>
  <c r="AE22"/>
  <c r="AE23"/>
  <c r="AE24"/>
  <c r="AE25"/>
  <c r="AE26"/>
  <c r="AE27"/>
  <c r="AE28"/>
  <c r="AE29"/>
  <c r="AE30"/>
  <c r="AE31"/>
  <c r="AE32"/>
  <c r="AE33"/>
  <c r="AE34"/>
  <c r="AE35"/>
  <c r="AE36"/>
  <c r="AE37"/>
  <c r="AE38"/>
  <c r="B43"/>
  <c r="AE43"/>
  <c r="AE44"/>
  <c r="AE45"/>
  <c r="E46"/>
  <c r="AE46"/>
  <c r="E47"/>
  <c r="AE47"/>
  <c r="E48"/>
  <c r="AE48"/>
  <c r="AE49"/>
  <c r="AE50"/>
  <c r="AE51"/>
  <c r="AE52"/>
  <c r="AE53"/>
  <c r="AE54"/>
  <c r="AE55"/>
  <c r="AE56"/>
  <c r="AE57"/>
  <c r="AE58"/>
  <c r="AE59"/>
  <c r="AE60"/>
  <c r="AE61"/>
  <c r="AE62"/>
  <c r="AE63"/>
  <c r="AE64"/>
  <c r="AE65"/>
  <c r="AE66"/>
  <c r="AE67"/>
  <c r="AE68"/>
  <c r="AE69"/>
  <c r="AE70"/>
  <c r="AE71"/>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182"/>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E37" i="16"/>
  <c r="E38"/>
  <c r="E45"/>
  <c r="D55"/>
  <c r="D58"/>
  <c r="D59"/>
  <c r="C64"/>
  <c r="D68"/>
  <c r="C1" i="12"/>
  <c r="G22" i="13"/>
  <c r="C17" i="20"/>
  <c r="C108" i="2"/>
  <c r="R14"/>
  <c r="Y21" s="1"/>
  <c r="M24" i="21"/>
  <c r="J21"/>
  <c r="L21" s="1"/>
  <c r="J22"/>
  <c r="L22"/>
  <c r="C52"/>
  <c r="C106"/>
  <c r="B114"/>
  <c r="B46" i="2"/>
  <c r="B68" s="1"/>
  <c r="C16" i="20"/>
  <c r="C24" s="1"/>
  <c r="AM23" i="19" s="1"/>
  <c r="A91" i="2"/>
  <c r="L22"/>
  <c r="M25" i="21"/>
  <c r="M26" s="1"/>
  <c r="D52" i="2"/>
  <c r="C108" i="21"/>
  <c r="F99"/>
  <c r="B126"/>
  <c r="A63" i="19" l="1"/>
  <c r="Z21" i="2"/>
  <c r="B52" i="21"/>
  <c r="B52" i="2"/>
  <c r="D109" i="21"/>
  <c r="D110"/>
  <c r="C106" i="2"/>
  <c r="AC24" i="19" s="1"/>
  <c r="C114" i="21"/>
  <c r="D37"/>
  <c r="E37" s="1"/>
  <c r="F37" s="1"/>
  <c r="C52" i="2"/>
  <c r="C40" i="21"/>
  <c r="D40" s="1"/>
  <c r="E40" s="1"/>
  <c r="F40" s="1"/>
  <c r="A91"/>
  <c r="O37" i="19"/>
  <c r="A61"/>
  <c r="D96" i="2"/>
  <c r="E96" s="1"/>
  <c r="D96" i="21"/>
  <c r="E96" s="1"/>
  <c r="B114" i="2"/>
  <c r="B48"/>
  <c r="D68" s="1"/>
  <c r="C41" i="21"/>
  <c r="D41" s="1"/>
  <c r="E41" s="1"/>
  <c r="G41" s="1"/>
  <c r="B48"/>
  <c r="D68" s="1"/>
  <c r="D38"/>
  <c r="E38" s="1"/>
  <c r="F38" s="1"/>
  <c r="D114"/>
  <c r="D101"/>
  <c r="E101" s="1"/>
  <c r="G101" s="1"/>
  <c r="O38" i="19"/>
  <c r="D97" i="21"/>
  <c r="E97" s="1"/>
  <c r="F97" s="1"/>
  <c r="D126"/>
  <c r="D97" i="2"/>
  <c r="E97" s="1"/>
  <c r="G97" s="1"/>
  <c r="C39"/>
  <c r="D39" s="1"/>
  <c r="E39" s="1"/>
  <c r="C46" i="21"/>
  <c r="P15" i="19" s="1"/>
  <c r="AD15" s="1"/>
  <c r="AD23" s="1"/>
  <c r="C39" i="21"/>
  <c r="D39" s="1"/>
  <c r="E39" s="1"/>
  <c r="B46"/>
  <c r="B68" s="1"/>
  <c r="D36"/>
  <c r="E36" s="1"/>
  <c r="R13" i="2"/>
  <c r="V21" s="1"/>
  <c r="R12"/>
  <c r="S21" s="1"/>
  <c r="R11"/>
  <c r="P21" s="1"/>
  <c r="Q21"/>
  <c r="Q22" s="1"/>
  <c r="C25" i="20"/>
  <c r="AM24" i="19" s="1"/>
  <c r="A38"/>
  <c r="D101" i="2"/>
  <c r="E101" s="1"/>
  <c r="F101" s="1"/>
  <c r="D126"/>
  <c r="C105" i="21"/>
  <c r="D105" s="1"/>
  <c r="P37" i="19" s="1"/>
  <c r="D100" i="21"/>
  <c r="E100" s="1"/>
  <c r="G100" s="1"/>
  <c r="D98"/>
  <c r="E98" s="1"/>
  <c r="F98" s="1"/>
  <c r="O39" i="19"/>
  <c r="B47" i="21"/>
  <c r="C68" s="1"/>
  <c r="D108"/>
  <c r="B47" i="2"/>
  <c r="C68" s="1"/>
  <c r="C114"/>
  <c r="C107" i="21"/>
  <c r="D107" s="1"/>
  <c r="P39" i="19" s="1"/>
  <c r="D106" i="21"/>
  <c r="P38" i="19" s="1"/>
  <c r="C47" i="21"/>
  <c r="P16" i="19" s="1"/>
  <c r="AD16" s="1"/>
  <c r="AD24" s="1"/>
  <c r="C48" i="2"/>
  <c r="B17" i="19" s="1"/>
  <c r="D106" i="2"/>
  <c r="B38" i="19" s="1"/>
  <c r="R12" i="21"/>
  <c r="S21" s="1"/>
  <c r="S22" s="1"/>
  <c r="G38"/>
  <c r="D108" i="2"/>
  <c r="Y5" i="3"/>
  <c r="AC4" s="1"/>
  <c r="AC5" s="1"/>
  <c r="AC6" s="1"/>
  <c r="AC7" s="1"/>
  <c r="AC8" s="1"/>
  <c r="AC9" s="1"/>
  <c r="AC10" s="1"/>
  <c r="AC11" s="1"/>
  <c r="AC12" s="1"/>
  <c r="AC13" s="1"/>
  <c r="AC14" s="1"/>
  <c r="AC15" s="1"/>
  <c r="AC16" s="1"/>
  <c r="AC17" s="1"/>
  <c r="AC18" s="1"/>
  <c r="AC19" s="1"/>
  <c r="AC20" s="1"/>
  <c r="AC21" s="1"/>
  <c r="AC22" s="1"/>
  <c r="AC23" s="1"/>
  <c r="AC24" s="1"/>
  <c r="AC25" s="1"/>
  <c r="AC26" s="1"/>
  <c r="AC27" s="1"/>
  <c r="AC28" s="1"/>
  <c r="AC29" s="1"/>
  <c r="AC30" s="1"/>
  <c r="AC31" s="1"/>
  <c r="AC32" s="1"/>
  <c r="AC33" s="1"/>
  <c r="AC34" s="1"/>
  <c r="AC35" s="1"/>
  <c r="AC36" s="1"/>
  <c r="AC37" s="1"/>
  <c r="AC38" s="1"/>
  <c r="AC39" s="1"/>
  <c r="AC40" s="1"/>
  <c r="AC41" s="1"/>
  <c r="AC42" s="1"/>
  <c r="AC43" s="1"/>
  <c r="AC44" s="1"/>
  <c r="AC45" s="1"/>
  <c r="AC46" s="1"/>
  <c r="AC47" s="1"/>
  <c r="AC48" s="1"/>
  <c r="AC49" s="1"/>
  <c r="AC50" s="1"/>
  <c r="AC51" s="1"/>
  <c r="AC52" s="1"/>
  <c r="AC53" s="1"/>
  <c r="AC54" s="1"/>
  <c r="AC55" s="1"/>
  <c r="AC56" s="1"/>
  <c r="AC57" s="1"/>
  <c r="AC58" s="1"/>
  <c r="AC59" s="1"/>
  <c r="AC60" s="1"/>
  <c r="AC61" s="1"/>
  <c r="AC62" s="1"/>
  <c r="AC63" s="1"/>
  <c r="AC64" s="1"/>
  <c r="AC65" s="1"/>
  <c r="AC66" s="1"/>
  <c r="AC67" s="1"/>
  <c r="AC68" s="1"/>
  <c r="AC69" s="1"/>
  <c r="AC70" s="1"/>
  <c r="AC71" s="1"/>
  <c r="AC72" s="1"/>
  <c r="AC73" s="1"/>
  <c r="AC74" s="1"/>
  <c r="AC75" s="1"/>
  <c r="AC76" s="1"/>
  <c r="AC77" s="1"/>
  <c r="AC78" s="1"/>
  <c r="AC79" s="1"/>
  <c r="AC80" s="1"/>
  <c r="AC81" s="1"/>
  <c r="AC82" s="1"/>
  <c r="AC83" s="1"/>
  <c r="AC84" s="1"/>
  <c r="AC85" s="1"/>
  <c r="AC86" s="1"/>
  <c r="AC87" s="1"/>
  <c r="AC88" s="1"/>
  <c r="AC89" s="1"/>
  <c r="AC90" s="1"/>
  <c r="AC91" s="1"/>
  <c r="AC92" s="1"/>
  <c r="AC93" s="1"/>
  <c r="AC94" s="1"/>
  <c r="AC95" s="1"/>
  <c r="AC96" s="1"/>
  <c r="AC97" s="1"/>
  <c r="AC98" s="1"/>
  <c r="AC99" s="1"/>
  <c r="AC100" s="1"/>
  <c r="AC101" s="1"/>
  <c r="AC102" s="1"/>
  <c r="AC103" s="1"/>
  <c r="AC104" s="1"/>
  <c r="AC105" s="1"/>
  <c r="AC106" s="1"/>
  <c r="AC107" s="1"/>
  <c r="AC108" s="1"/>
  <c r="AC109" s="1"/>
  <c r="AC110" s="1"/>
  <c r="AC111" s="1"/>
  <c r="AC112" s="1"/>
  <c r="AC113" s="1"/>
  <c r="AC114" s="1"/>
  <c r="AC115" s="1"/>
  <c r="AC116" s="1"/>
  <c r="AC117" s="1"/>
  <c r="AC118" s="1"/>
  <c r="AC119" s="1"/>
  <c r="AC120" s="1"/>
  <c r="AC121" s="1"/>
  <c r="AC122" s="1"/>
  <c r="AC123" s="1"/>
  <c r="AC124" s="1"/>
  <c r="AC125" s="1"/>
  <c r="AC126" s="1"/>
  <c r="AC127" s="1"/>
  <c r="AC128" s="1"/>
  <c r="AC129" s="1"/>
  <c r="AC130" s="1"/>
  <c r="AC131" s="1"/>
  <c r="AC132" s="1"/>
  <c r="AC133" s="1"/>
  <c r="AC134" s="1"/>
  <c r="AC135" s="1"/>
  <c r="AC136" s="1"/>
  <c r="AC137" s="1"/>
  <c r="AC138" s="1"/>
  <c r="AC139" s="1"/>
  <c r="AC140" s="1"/>
  <c r="AC141" s="1"/>
  <c r="AC142" s="1"/>
  <c r="AC143" s="1"/>
  <c r="AC144" s="1"/>
  <c r="AC145" s="1"/>
  <c r="AC146" s="1"/>
  <c r="AC147" s="1"/>
  <c r="AC148" s="1"/>
  <c r="AC149" s="1"/>
  <c r="AC150" s="1"/>
  <c r="AC151" s="1"/>
  <c r="AC152" s="1"/>
  <c r="AC153" s="1"/>
  <c r="AC154" s="1"/>
  <c r="AC155" s="1"/>
  <c r="AC156" s="1"/>
  <c r="AC157" s="1"/>
  <c r="AC158" s="1"/>
  <c r="AC159" s="1"/>
  <c r="AC160" s="1"/>
  <c r="AC161" s="1"/>
  <c r="AC162" s="1"/>
  <c r="AC163" s="1"/>
  <c r="AC164" s="1"/>
  <c r="AC165" s="1"/>
  <c r="AC166" s="1"/>
  <c r="AC167" s="1"/>
  <c r="AC168" s="1"/>
  <c r="AC169" s="1"/>
  <c r="AC170" s="1"/>
  <c r="AC171" s="1"/>
  <c r="AC172" s="1"/>
  <c r="AC173" s="1"/>
  <c r="AC174" s="1"/>
  <c r="AC175" s="1"/>
  <c r="AC176" s="1"/>
  <c r="AC177" s="1"/>
  <c r="AC178" s="1"/>
  <c r="AC179" s="1"/>
  <c r="AC180" s="1"/>
  <c r="AC181" s="1"/>
  <c r="AC182" s="1"/>
  <c r="AC183" s="1"/>
  <c r="AC184" s="1"/>
  <c r="AC185" s="1"/>
  <c r="AC186" s="1"/>
  <c r="AC187" s="1"/>
  <c r="AC188" s="1"/>
  <c r="AC189" s="1"/>
  <c r="AC190" s="1"/>
  <c r="AC191" s="1"/>
  <c r="AC192" s="1"/>
  <c r="AC193" s="1"/>
  <c r="AC194" s="1"/>
  <c r="AC195" s="1"/>
  <c r="AC196" s="1"/>
  <c r="AC197" s="1"/>
  <c r="AC198" s="1"/>
  <c r="AC199" s="1"/>
  <c r="AC200" s="1"/>
  <c r="AC201" s="1"/>
  <c r="AC202" s="1"/>
  <c r="AC203" s="1"/>
  <c r="AC204" s="1"/>
  <c r="AC205" s="1"/>
  <c r="AC206" s="1"/>
  <c r="AC207" s="1"/>
  <c r="AC208" s="1"/>
  <c r="AC209" s="1"/>
  <c r="AC210" s="1"/>
  <c r="AC211" s="1"/>
  <c r="AC212" s="1"/>
  <c r="AC213" s="1"/>
  <c r="AC214" s="1"/>
  <c r="AC215" s="1"/>
  <c r="AC216" s="1"/>
  <c r="AC217" s="1"/>
  <c r="AC218" s="1"/>
  <c r="AC219" s="1"/>
  <c r="AC220" s="1"/>
  <c r="AC221" s="1"/>
  <c r="AC222" s="1"/>
  <c r="AC223" s="1"/>
  <c r="AC224" s="1"/>
  <c r="AC225" s="1"/>
  <c r="AC226" s="1"/>
  <c r="AC227" s="1"/>
  <c r="AC228" s="1"/>
  <c r="AC229" s="1"/>
  <c r="AC230" s="1"/>
  <c r="AC231" s="1"/>
  <c r="AC232" s="1"/>
  <c r="AC233" s="1"/>
  <c r="AC234" s="1"/>
  <c r="AC235" s="1"/>
  <c r="AC236" s="1"/>
  <c r="AC237" s="1"/>
  <c r="AC238" s="1"/>
  <c r="AC239" s="1"/>
  <c r="AC240" s="1"/>
  <c r="AC241" s="1"/>
  <c r="AC242" s="1"/>
  <c r="AC243" s="1"/>
  <c r="AC244" s="1"/>
  <c r="AC245" s="1"/>
  <c r="AC246" s="1"/>
  <c r="AC247" s="1"/>
  <c r="AC248" s="1"/>
  <c r="AC249" s="1"/>
  <c r="AC250" s="1"/>
  <c r="AC251" s="1"/>
  <c r="AC252" s="1"/>
  <c r="AC253" s="1"/>
  <c r="AC254" s="1"/>
  <c r="AC255" s="1"/>
  <c r="AC256" s="1"/>
  <c r="AC257" s="1"/>
  <c r="AC258" s="1"/>
  <c r="AC259" s="1"/>
  <c r="AC260" s="1"/>
  <c r="AC261" s="1"/>
  <c r="AC262" s="1"/>
  <c r="AC263" s="1"/>
  <c r="AC264" s="1"/>
  <c r="AC265" s="1"/>
  <c r="AC266" s="1"/>
  <c r="AC267" s="1"/>
  <c r="AC268" s="1"/>
  <c r="AC269" s="1"/>
  <c r="AC270" s="1"/>
  <c r="AC271" s="1"/>
  <c r="AC272" s="1"/>
  <c r="AC273" s="1"/>
  <c r="AC274" s="1"/>
  <c r="AC275" s="1"/>
  <c r="AC276" s="1"/>
  <c r="AC277" s="1"/>
  <c r="AC278" s="1"/>
  <c r="AC279" s="1"/>
  <c r="AC280" s="1"/>
  <c r="AC281" s="1"/>
  <c r="AC282" s="1"/>
  <c r="AC283" s="1"/>
  <c r="AC284" s="1"/>
  <c r="AC285" s="1"/>
  <c r="AC286" s="1"/>
  <c r="AC287" s="1"/>
  <c r="AC288" s="1"/>
  <c r="AC289" s="1"/>
  <c r="AC290" s="1"/>
  <c r="AC291" s="1"/>
  <c r="AC292" s="1"/>
  <c r="AC293" s="1"/>
  <c r="AC294" s="1"/>
  <c r="AC295" s="1"/>
  <c r="AC296" s="1"/>
  <c r="AC297" s="1"/>
  <c r="AC298" s="1"/>
  <c r="AC299" s="1"/>
  <c r="AC300" s="1"/>
  <c r="AC301" s="1"/>
  <c r="AC302" s="1"/>
  <c r="AC303" s="1"/>
  <c r="AC304" s="1"/>
  <c r="AC305" s="1"/>
  <c r="AC306" s="1"/>
  <c r="AC307" s="1"/>
  <c r="AC308" s="1"/>
  <c r="AC309" s="1"/>
  <c r="AC310" s="1"/>
  <c r="AC311" s="1"/>
  <c r="AC312" s="1"/>
  <c r="AC313" s="1"/>
  <c r="AC314" s="1"/>
  <c r="AC315" s="1"/>
  <c r="AC316" s="1"/>
  <c r="AC317" s="1"/>
  <c r="AC318" s="1"/>
  <c r="AC319" s="1"/>
  <c r="AC320" s="1"/>
  <c r="AC321" s="1"/>
  <c r="AC322" s="1"/>
  <c r="AC323" s="1"/>
  <c r="AC324" s="1"/>
  <c r="AC325" s="1"/>
  <c r="AC326" s="1"/>
  <c r="AC327" s="1"/>
  <c r="AC328" s="1"/>
  <c r="AC329" s="1"/>
  <c r="AC330" s="1"/>
  <c r="AC331" s="1"/>
  <c r="AC332" s="1"/>
  <c r="AC333" s="1"/>
  <c r="AC334" s="1"/>
  <c r="AC335" s="1"/>
  <c r="AC336" s="1"/>
  <c r="AC337" s="1"/>
  <c r="AC338" s="1"/>
  <c r="AC339" s="1"/>
  <c r="AC340" s="1"/>
  <c r="AC341" s="1"/>
  <c r="AC342" s="1"/>
  <c r="AC343" s="1"/>
  <c r="AC344" s="1"/>
  <c r="AC345" s="1"/>
  <c r="AC346" s="1"/>
  <c r="AC347" s="1"/>
  <c r="AC348" s="1"/>
  <c r="AC349" s="1"/>
  <c r="AC350" s="1"/>
  <c r="AC351" s="1"/>
  <c r="AC352" s="1"/>
  <c r="AC353" s="1"/>
  <c r="AC354" s="1"/>
  <c r="AC355" s="1"/>
  <c r="AC356" s="1"/>
  <c r="AC357" s="1"/>
  <c r="AC358" s="1"/>
  <c r="AC359" s="1"/>
  <c r="AC360" s="1"/>
  <c r="AC361" s="1"/>
  <c r="AC362" s="1"/>
  <c r="AC363" s="1"/>
  <c r="AC364" s="1"/>
  <c r="AC365" s="1"/>
  <c r="AC366" s="1"/>
  <c r="AC367" s="1"/>
  <c r="AC368" s="1"/>
  <c r="AC369" s="1"/>
  <c r="AC370" s="1"/>
  <c r="AC371" s="1"/>
  <c r="AC372" s="1"/>
  <c r="AC373" s="1"/>
  <c r="W21" i="2"/>
  <c r="W22" s="1"/>
  <c r="Y4" i="3"/>
  <c r="AB4" s="1"/>
  <c r="AB5" s="1"/>
  <c r="AB6" s="1"/>
  <c r="AB7" s="1"/>
  <c r="AB8" s="1"/>
  <c r="AB9" s="1"/>
  <c r="AB10" s="1"/>
  <c r="AB11" s="1"/>
  <c r="AB12" s="1"/>
  <c r="AB13" s="1"/>
  <c r="AB14" s="1"/>
  <c r="AB15" s="1"/>
  <c r="AB16" s="1"/>
  <c r="AB17" s="1"/>
  <c r="AB18" s="1"/>
  <c r="AB19" s="1"/>
  <c r="AB20" s="1"/>
  <c r="AB21" s="1"/>
  <c r="AB22" s="1"/>
  <c r="AB23" s="1"/>
  <c r="AB24" s="1"/>
  <c r="AB25" s="1"/>
  <c r="AB26" s="1"/>
  <c r="AB27" s="1"/>
  <c r="AB28" s="1"/>
  <c r="AB29" s="1"/>
  <c r="AB30" s="1"/>
  <c r="AB31" s="1"/>
  <c r="AB32" s="1"/>
  <c r="AB33" s="1"/>
  <c r="AB34" s="1"/>
  <c r="AB35" s="1"/>
  <c r="AB36" s="1"/>
  <c r="AB37" s="1"/>
  <c r="AB38" s="1"/>
  <c r="AB39" s="1"/>
  <c r="AB40" s="1"/>
  <c r="AB41" s="1"/>
  <c r="AB42" s="1"/>
  <c r="AB43" s="1"/>
  <c r="AB44" s="1"/>
  <c r="AB45" s="1"/>
  <c r="AB46" s="1"/>
  <c r="AB47" s="1"/>
  <c r="AB48" s="1"/>
  <c r="AB49" s="1"/>
  <c r="AB50" s="1"/>
  <c r="AB51" s="1"/>
  <c r="AB52" s="1"/>
  <c r="AB53" s="1"/>
  <c r="AB54" s="1"/>
  <c r="AB55" s="1"/>
  <c r="AB56" s="1"/>
  <c r="AB57" s="1"/>
  <c r="AB58" s="1"/>
  <c r="AB59" s="1"/>
  <c r="AB60" s="1"/>
  <c r="AB61" s="1"/>
  <c r="AB62" s="1"/>
  <c r="AB63" s="1"/>
  <c r="AB64" s="1"/>
  <c r="AB65" s="1"/>
  <c r="AB66" s="1"/>
  <c r="AB67" s="1"/>
  <c r="AB68" s="1"/>
  <c r="AB69" s="1"/>
  <c r="AB70" s="1"/>
  <c r="AB71" s="1"/>
  <c r="AB72" s="1"/>
  <c r="AB73" s="1"/>
  <c r="AB74" s="1"/>
  <c r="AB75" s="1"/>
  <c r="AB76" s="1"/>
  <c r="AB77" s="1"/>
  <c r="AB78" s="1"/>
  <c r="AB79" s="1"/>
  <c r="AB80" s="1"/>
  <c r="AB81" s="1"/>
  <c r="AB82" s="1"/>
  <c r="AB83" s="1"/>
  <c r="AB84" s="1"/>
  <c r="AB85" s="1"/>
  <c r="AB86" s="1"/>
  <c r="AB87" s="1"/>
  <c r="AB88" s="1"/>
  <c r="AB89" s="1"/>
  <c r="AB90" s="1"/>
  <c r="AB91" s="1"/>
  <c r="AB92" s="1"/>
  <c r="AB93" s="1"/>
  <c r="AB94" s="1"/>
  <c r="AB95" s="1"/>
  <c r="AB96" s="1"/>
  <c r="AB97" s="1"/>
  <c r="AB98" s="1"/>
  <c r="AB99" s="1"/>
  <c r="AB100" s="1"/>
  <c r="AB101" s="1"/>
  <c r="AB102" s="1"/>
  <c r="AB103" s="1"/>
  <c r="AB104" s="1"/>
  <c r="AB105" s="1"/>
  <c r="AB106" s="1"/>
  <c r="AB107" s="1"/>
  <c r="AB108" s="1"/>
  <c r="AB109" s="1"/>
  <c r="AB110" s="1"/>
  <c r="AB111" s="1"/>
  <c r="AB112" s="1"/>
  <c r="AB113" s="1"/>
  <c r="AB114" s="1"/>
  <c r="AB115" s="1"/>
  <c r="AB116" s="1"/>
  <c r="AB117" s="1"/>
  <c r="AB118" s="1"/>
  <c r="AB119" s="1"/>
  <c r="AB120" s="1"/>
  <c r="AB121" s="1"/>
  <c r="AB122" s="1"/>
  <c r="AB123" s="1"/>
  <c r="AB124" s="1"/>
  <c r="AB125" s="1"/>
  <c r="AB126" s="1"/>
  <c r="AB127" s="1"/>
  <c r="AB128" s="1"/>
  <c r="AB129" s="1"/>
  <c r="AB130" s="1"/>
  <c r="AB131" s="1"/>
  <c r="AB132" s="1"/>
  <c r="AB133" s="1"/>
  <c r="AB134" s="1"/>
  <c r="AB135" s="1"/>
  <c r="AB136" s="1"/>
  <c r="AB137" s="1"/>
  <c r="AB138" s="1"/>
  <c r="AB139" s="1"/>
  <c r="AB140" s="1"/>
  <c r="AB141" s="1"/>
  <c r="AB142" s="1"/>
  <c r="AB143" s="1"/>
  <c r="AB144" s="1"/>
  <c r="AB145" s="1"/>
  <c r="AB146" s="1"/>
  <c r="AB147" s="1"/>
  <c r="AB148" s="1"/>
  <c r="AB149" s="1"/>
  <c r="AB150" s="1"/>
  <c r="AB151" s="1"/>
  <c r="AB152" s="1"/>
  <c r="AB153" s="1"/>
  <c r="AB154" s="1"/>
  <c r="AB155" s="1"/>
  <c r="AB156" s="1"/>
  <c r="AB157" s="1"/>
  <c r="AB158" s="1"/>
  <c r="AB159" s="1"/>
  <c r="AB160" s="1"/>
  <c r="AB161" s="1"/>
  <c r="AB162" s="1"/>
  <c r="AB163" s="1"/>
  <c r="AB164" s="1"/>
  <c r="AB165" s="1"/>
  <c r="AB166" s="1"/>
  <c r="AB167" s="1"/>
  <c r="AB168" s="1"/>
  <c r="AB169" s="1"/>
  <c r="AB170" s="1"/>
  <c r="AB171" s="1"/>
  <c r="AB172" s="1"/>
  <c r="AB173" s="1"/>
  <c r="AB174" s="1"/>
  <c r="AB175" s="1"/>
  <c r="AB176" s="1"/>
  <c r="AB177" s="1"/>
  <c r="AB178" s="1"/>
  <c r="AB179" s="1"/>
  <c r="AB180" s="1"/>
  <c r="AB181" s="1"/>
  <c r="AB182" s="1"/>
  <c r="AB183" s="1"/>
  <c r="AB184" s="1"/>
  <c r="AB185" s="1"/>
  <c r="AB186" s="1"/>
  <c r="AB187" s="1"/>
  <c r="AB188" s="1"/>
  <c r="AB189" s="1"/>
  <c r="AB190" s="1"/>
  <c r="AB191" s="1"/>
  <c r="AB192" s="1"/>
  <c r="AB193" s="1"/>
  <c r="AB194" s="1"/>
  <c r="AB195" s="1"/>
  <c r="AB196" s="1"/>
  <c r="AB197" s="1"/>
  <c r="AB198" s="1"/>
  <c r="AB199" s="1"/>
  <c r="AB200" s="1"/>
  <c r="AB201" s="1"/>
  <c r="AB202" s="1"/>
  <c r="AB203" s="1"/>
  <c r="AB204" s="1"/>
  <c r="AB205" s="1"/>
  <c r="AB206" s="1"/>
  <c r="AB207" s="1"/>
  <c r="AB208" s="1"/>
  <c r="AB209" s="1"/>
  <c r="AB210" s="1"/>
  <c r="AB211" s="1"/>
  <c r="AB212" s="1"/>
  <c r="AB213" s="1"/>
  <c r="AB214" s="1"/>
  <c r="AB215" s="1"/>
  <c r="AB216" s="1"/>
  <c r="AB217" s="1"/>
  <c r="AB218" s="1"/>
  <c r="AB219" s="1"/>
  <c r="AB220" s="1"/>
  <c r="AB221" s="1"/>
  <c r="AB222" s="1"/>
  <c r="AB223" s="1"/>
  <c r="AB224" s="1"/>
  <c r="AB225" s="1"/>
  <c r="AB226" s="1"/>
  <c r="AB227" s="1"/>
  <c r="AB228" s="1"/>
  <c r="AB229" s="1"/>
  <c r="AB230" s="1"/>
  <c r="AB231" s="1"/>
  <c r="AB232" s="1"/>
  <c r="AB233" s="1"/>
  <c r="AB234" s="1"/>
  <c r="AB235" s="1"/>
  <c r="AB236" s="1"/>
  <c r="AB237" s="1"/>
  <c r="AB238" s="1"/>
  <c r="AB239" s="1"/>
  <c r="AB240" s="1"/>
  <c r="AB241" s="1"/>
  <c r="AB242" s="1"/>
  <c r="AB243" s="1"/>
  <c r="AB244" s="1"/>
  <c r="AB245" s="1"/>
  <c r="AB246" s="1"/>
  <c r="AB247" s="1"/>
  <c r="AB248" s="1"/>
  <c r="AB249" s="1"/>
  <c r="AB250" s="1"/>
  <c r="AB251" s="1"/>
  <c r="AB252" s="1"/>
  <c r="AB253" s="1"/>
  <c r="AB254" s="1"/>
  <c r="AB255" s="1"/>
  <c r="AB256" s="1"/>
  <c r="AB257" s="1"/>
  <c r="AB258" s="1"/>
  <c r="AB259" s="1"/>
  <c r="AB260" s="1"/>
  <c r="AB261" s="1"/>
  <c r="AB262" s="1"/>
  <c r="AB263" s="1"/>
  <c r="AB264" s="1"/>
  <c r="AB265" s="1"/>
  <c r="AB266" s="1"/>
  <c r="AB267" s="1"/>
  <c r="AB268" s="1"/>
  <c r="AB269" s="1"/>
  <c r="AB270" s="1"/>
  <c r="AB271" s="1"/>
  <c r="AB272" s="1"/>
  <c r="AB273" s="1"/>
  <c r="AB274" s="1"/>
  <c r="AB275" s="1"/>
  <c r="AB276" s="1"/>
  <c r="AB277" s="1"/>
  <c r="AB278" s="1"/>
  <c r="AB279" s="1"/>
  <c r="AB280" s="1"/>
  <c r="AB281" s="1"/>
  <c r="AB282" s="1"/>
  <c r="AB283" s="1"/>
  <c r="AB284" s="1"/>
  <c r="AB285" s="1"/>
  <c r="AB286" s="1"/>
  <c r="AB287" s="1"/>
  <c r="AB288" s="1"/>
  <c r="AB289" s="1"/>
  <c r="AB290" s="1"/>
  <c r="AB291" s="1"/>
  <c r="AB292" s="1"/>
  <c r="AB293" s="1"/>
  <c r="AB294" s="1"/>
  <c r="AB295" s="1"/>
  <c r="AB296" s="1"/>
  <c r="AB297" s="1"/>
  <c r="AB298" s="1"/>
  <c r="AB299" s="1"/>
  <c r="AB300" s="1"/>
  <c r="AB301" s="1"/>
  <c r="AB302" s="1"/>
  <c r="AB303" s="1"/>
  <c r="AB304" s="1"/>
  <c r="AB305" s="1"/>
  <c r="AB306" s="1"/>
  <c r="AB307" s="1"/>
  <c r="AB308" s="1"/>
  <c r="AB309" s="1"/>
  <c r="AB310" s="1"/>
  <c r="AB311" s="1"/>
  <c r="AB312" s="1"/>
  <c r="AB313" s="1"/>
  <c r="AB314" s="1"/>
  <c r="AB315" s="1"/>
  <c r="AB316" s="1"/>
  <c r="AB317" s="1"/>
  <c r="AB318" s="1"/>
  <c r="AB319" s="1"/>
  <c r="AB320" s="1"/>
  <c r="AB321" s="1"/>
  <c r="AB322" s="1"/>
  <c r="AB323" s="1"/>
  <c r="AB324" s="1"/>
  <c r="AB325" s="1"/>
  <c r="AB326" s="1"/>
  <c r="AB327" s="1"/>
  <c r="AB328" s="1"/>
  <c r="AB329" s="1"/>
  <c r="AB330" s="1"/>
  <c r="AB331" s="1"/>
  <c r="AB332" s="1"/>
  <c r="AB333" s="1"/>
  <c r="AB334" s="1"/>
  <c r="AB335" s="1"/>
  <c r="AB336" s="1"/>
  <c r="AB337" s="1"/>
  <c r="AB338" s="1"/>
  <c r="AB339" s="1"/>
  <c r="AB340" s="1"/>
  <c r="AB341" s="1"/>
  <c r="AB342" s="1"/>
  <c r="AB343" s="1"/>
  <c r="AB344" s="1"/>
  <c r="AB345" s="1"/>
  <c r="AB346" s="1"/>
  <c r="AB347" s="1"/>
  <c r="AB348" s="1"/>
  <c r="AB349" s="1"/>
  <c r="AB350" s="1"/>
  <c r="AB351" s="1"/>
  <c r="AB352" s="1"/>
  <c r="AB353" s="1"/>
  <c r="AB354" s="1"/>
  <c r="AB355" s="1"/>
  <c r="AB356" s="1"/>
  <c r="AB357" s="1"/>
  <c r="AB358" s="1"/>
  <c r="AB359" s="1"/>
  <c r="AB360" s="1"/>
  <c r="AB361" s="1"/>
  <c r="AB362" s="1"/>
  <c r="AB363" s="1"/>
  <c r="AB364" s="1"/>
  <c r="AB365" s="1"/>
  <c r="AB366" s="1"/>
  <c r="AB367" s="1"/>
  <c r="AB368" s="1"/>
  <c r="AB369" s="1"/>
  <c r="AB370" s="1"/>
  <c r="AB371" s="1"/>
  <c r="AB372" s="1"/>
  <c r="AB373" s="1"/>
  <c r="D110" i="2"/>
  <c r="T21"/>
  <c r="T22" s="1"/>
  <c r="R11" i="21"/>
  <c r="P21" s="1"/>
  <c r="P22" s="1"/>
  <c r="V22"/>
  <c r="V23" s="1"/>
  <c r="V24" s="1"/>
  <c r="R15"/>
  <c r="AB21" s="1"/>
  <c r="D98" i="2"/>
  <c r="E98" s="1"/>
  <c r="D114"/>
  <c r="C7" i="13"/>
  <c r="E9" s="1"/>
  <c r="B36" s="1"/>
  <c r="J22" i="2"/>
  <c r="D23" i="21"/>
  <c r="O54" i="19" s="1"/>
  <c r="D23" i="2"/>
  <c r="C11" i="13" s="1"/>
  <c r="M27" i="21"/>
  <c r="Y6" i="3"/>
  <c r="AD4" s="1"/>
  <c r="AD5" s="1"/>
  <c r="AD6" s="1"/>
  <c r="AD7" s="1"/>
  <c r="AD8" s="1"/>
  <c r="AD9" s="1"/>
  <c r="AD10" s="1"/>
  <c r="AD11" s="1"/>
  <c r="AD12" s="1"/>
  <c r="AD13" s="1"/>
  <c r="AD14" s="1"/>
  <c r="AD15" s="1"/>
  <c r="AD16" s="1"/>
  <c r="AD17" s="1"/>
  <c r="AD18" s="1"/>
  <c r="AD19" s="1"/>
  <c r="AD20" s="1"/>
  <c r="AD21" s="1"/>
  <c r="AD22" s="1"/>
  <c r="AD23" s="1"/>
  <c r="AD24" s="1"/>
  <c r="AD25" s="1"/>
  <c r="AD26" s="1"/>
  <c r="AD27" s="1"/>
  <c r="AD28" s="1"/>
  <c r="AD29" s="1"/>
  <c r="AD30" s="1"/>
  <c r="AD31" s="1"/>
  <c r="AD32" s="1"/>
  <c r="AD33" s="1"/>
  <c r="AD34" s="1"/>
  <c r="AD35" s="1"/>
  <c r="AD36" s="1"/>
  <c r="AD37" s="1"/>
  <c r="AD38" s="1"/>
  <c r="AD39" s="1"/>
  <c r="AD40" s="1"/>
  <c r="AD41" s="1"/>
  <c r="AD42" s="1"/>
  <c r="AD43" s="1"/>
  <c r="AD44" s="1"/>
  <c r="AD45" s="1"/>
  <c r="AD46" s="1"/>
  <c r="AD47" s="1"/>
  <c r="AD48" s="1"/>
  <c r="AD49" s="1"/>
  <c r="AD50" s="1"/>
  <c r="AD51" s="1"/>
  <c r="AD52" s="1"/>
  <c r="AD53" s="1"/>
  <c r="AD54" s="1"/>
  <c r="AD55" s="1"/>
  <c r="AD56" s="1"/>
  <c r="AD57" s="1"/>
  <c r="AD58" s="1"/>
  <c r="AD59" s="1"/>
  <c r="AD60" s="1"/>
  <c r="AD61" s="1"/>
  <c r="AD62" s="1"/>
  <c r="AD63" s="1"/>
  <c r="AD64" s="1"/>
  <c r="AD65" s="1"/>
  <c r="AD66" s="1"/>
  <c r="AD67" s="1"/>
  <c r="AD68" s="1"/>
  <c r="AD69" s="1"/>
  <c r="AD70" s="1"/>
  <c r="AD71" s="1"/>
  <c r="AD72" s="1"/>
  <c r="AD73" s="1"/>
  <c r="AD74" s="1"/>
  <c r="AD75" s="1"/>
  <c r="AD76" s="1"/>
  <c r="AD77" s="1"/>
  <c r="AD78" s="1"/>
  <c r="AD79" s="1"/>
  <c r="AD80" s="1"/>
  <c r="AD81" s="1"/>
  <c r="AD82" s="1"/>
  <c r="AD83" s="1"/>
  <c r="AD84" s="1"/>
  <c r="AD85" s="1"/>
  <c r="AD86" s="1"/>
  <c r="AD87" s="1"/>
  <c r="AD88" s="1"/>
  <c r="AD89" s="1"/>
  <c r="AD90" s="1"/>
  <c r="AD91" s="1"/>
  <c r="AD92" s="1"/>
  <c r="AD93" s="1"/>
  <c r="AD94" s="1"/>
  <c r="AD95" s="1"/>
  <c r="AD96" s="1"/>
  <c r="AD97" s="1"/>
  <c r="AD98" s="1"/>
  <c r="AD99" s="1"/>
  <c r="AD100" s="1"/>
  <c r="AD101" s="1"/>
  <c r="AD102" s="1"/>
  <c r="AD103" s="1"/>
  <c r="AD104" s="1"/>
  <c r="AD105" s="1"/>
  <c r="AD106" s="1"/>
  <c r="AD107" s="1"/>
  <c r="AD108" s="1"/>
  <c r="AD109" s="1"/>
  <c r="AD110" s="1"/>
  <c r="AD111" s="1"/>
  <c r="AD112" s="1"/>
  <c r="AD113" s="1"/>
  <c r="AD114" s="1"/>
  <c r="AD115" s="1"/>
  <c r="AD116" s="1"/>
  <c r="AD117" s="1"/>
  <c r="AD118" s="1"/>
  <c r="AD119" s="1"/>
  <c r="AD120" s="1"/>
  <c r="AD121" s="1"/>
  <c r="AD122" s="1"/>
  <c r="AD123" s="1"/>
  <c r="AD124" s="1"/>
  <c r="AD125" s="1"/>
  <c r="AD126" s="1"/>
  <c r="AD127" s="1"/>
  <c r="AD128" s="1"/>
  <c r="AD129" s="1"/>
  <c r="AD130" s="1"/>
  <c r="AD131" s="1"/>
  <c r="AD132" s="1"/>
  <c r="AD133" s="1"/>
  <c r="AD134" s="1"/>
  <c r="AD135" s="1"/>
  <c r="AD136" s="1"/>
  <c r="AD137" s="1"/>
  <c r="AD138" s="1"/>
  <c r="AD139" s="1"/>
  <c r="AD140" s="1"/>
  <c r="AD141" s="1"/>
  <c r="AD142" s="1"/>
  <c r="AD143" s="1"/>
  <c r="AD144" s="1"/>
  <c r="AD145" s="1"/>
  <c r="AD146" s="1"/>
  <c r="AD147" s="1"/>
  <c r="AD148" s="1"/>
  <c r="AD149" s="1"/>
  <c r="AD150" s="1"/>
  <c r="AD151" s="1"/>
  <c r="AD152" s="1"/>
  <c r="AD153" s="1"/>
  <c r="AD154" s="1"/>
  <c r="AD155" s="1"/>
  <c r="AD156" s="1"/>
  <c r="AD157" s="1"/>
  <c r="AD158" s="1"/>
  <c r="AD159" s="1"/>
  <c r="AD160" s="1"/>
  <c r="AD161" s="1"/>
  <c r="AD162" s="1"/>
  <c r="AD163" s="1"/>
  <c r="AD164" s="1"/>
  <c r="AD165" s="1"/>
  <c r="AD166" s="1"/>
  <c r="AD167" s="1"/>
  <c r="AD168" s="1"/>
  <c r="AD169" s="1"/>
  <c r="AD170" s="1"/>
  <c r="AD171" s="1"/>
  <c r="AD172" s="1"/>
  <c r="AD173" s="1"/>
  <c r="AD174" s="1"/>
  <c r="AD175" s="1"/>
  <c r="AD176" s="1"/>
  <c r="AD177" s="1"/>
  <c r="AD178" s="1"/>
  <c r="AD179" s="1"/>
  <c r="AD180" s="1"/>
  <c r="AD181" s="1"/>
  <c r="AD182" s="1"/>
  <c r="AD183" s="1"/>
  <c r="AD184" s="1"/>
  <c r="AD185" s="1"/>
  <c r="AD186" s="1"/>
  <c r="AD187" s="1"/>
  <c r="AD188" s="1"/>
  <c r="AD189" s="1"/>
  <c r="AD190" s="1"/>
  <c r="AD191" s="1"/>
  <c r="AD192" s="1"/>
  <c r="AD193" s="1"/>
  <c r="AD194" s="1"/>
  <c r="AD195" s="1"/>
  <c r="AD196" s="1"/>
  <c r="AD197" s="1"/>
  <c r="AD198" s="1"/>
  <c r="AD199" s="1"/>
  <c r="AD200" s="1"/>
  <c r="AD201" s="1"/>
  <c r="AD202" s="1"/>
  <c r="AD203" s="1"/>
  <c r="AD204" s="1"/>
  <c r="AD205" s="1"/>
  <c r="AD206" s="1"/>
  <c r="AD207" s="1"/>
  <c r="AD208" s="1"/>
  <c r="AD209" s="1"/>
  <c r="AD210" s="1"/>
  <c r="AD211" s="1"/>
  <c r="AD212" s="1"/>
  <c r="AD213" s="1"/>
  <c r="AD214" s="1"/>
  <c r="AD215" s="1"/>
  <c r="AD216" s="1"/>
  <c r="AD217" s="1"/>
  <c r="AD218" s="1"/>
  <c r="AD219" s="1"/>
  <c r="AD220" s="1"/>
  <c r="AD221" s="1"/>
  <c r="AD222" s="1"/>
  <c r="AD223" s="1"/>
  <c r="AD224" s="1"/>
  <c r="AD225" s="1"/>
  <c r="AD226" s="1"/>
  <c r="AD227" s="1"/>
  <c r="AD228" s="1"/>
  <c r="AD229" s="1"/>
  <c r="AD230" s="1"/>
  <c r="AD231" s="1"/>
  <c r="AD232" s="1"/>
  <c r="AD233" s="1"/>
  <c r="AD234" s="1"/>
  <c r="AD235" s="1"/>
  <c r="AD236" s="1"/>
  <c r="AD237" s="1"/>
  <c r="AD238" s="1"/>
  <c r="AD239" s="1"/>
  <c r="AD240" s="1"/>
  <c r="AD241" s="1"/>
  <c r="AD242" s="1"/>
  <c r="AD243" s="1"/>
  <c r="AD244" s="1"/>
  <c r="AD245" s="1"/>
  <c r="AD246" s="1"/>
  <c r="AD247" s="1"/>
  <c r="AD248" s="1"/>
  <c r="AD249" s="1"/>
  <c r="AD250" s="1"/>
  <c r="AD251" s="1"/>
  <c r="AD252" s="1"/>
  <c r="AD253" s="1"/>
  <c r="AD254" s="1"/>
  <c r="AD255" s="1"/>
  <c r="AD256" s="1"/>
  <c r="AD257" s="1"/>
  <c r="AD258" s="1"/>
  <c r="AD259" s="1"/>
  <c r="AD260" s="1"/>
  <c r="AD261" s="1"/>
  <c r="AD262" s="1"/>
  <c r="AD263" s="1"/>
  <c r="AD264" s="1"/>
  <c r="AD265" s="1"/>
  <c r="AD266" s="1"/>
  <c r="AD267" s="1"/>
  <c r="AD268" s="1"/>
  <c r="AD269" s="1"/>
  <c r="AD270" s="1"/>
  <c r="AD271" s="1"/>
  <c r="AD272" s="1"/>
  <c r="AD273" s="1"/>
  <c r="AD274" s="1"/>
  <c r="AD275" s="1"/>
  <c r="AD276" s="1"/>
  <c r="AD277" s="1"/>
  <c r="AD278" s="1"/>
  <c r="AD279" s="1"/>
  <c r="AD280" s="1"/>
  <c r="AD281" s="1"/>
  <c r="AD282" s="1"/>
  <c r="AD283" s="1"/>
  <c r="AD284" s="1"/>
  <c r="AD285" s="1"/>
  <c r="AD286" s="1"/>
  <c r="AD287" s="1"/>
  <c r="AD288" s="1"/>
  <c r="AD289" s="1"/>
  <c r="AD290" s="1"/>
  <c r="AD291" s="1"/>
  <c r="AD292" s="1"/>
  <c r="AD293" s="1"/>
  <c r="AD294" s="1"/>
  <c r="AD295" s="1"/>
  <c r="AD296" s="1"/>
  <c r="AD297" s="1"/>
  <c r="AD298" s="1"/>
  <c r="AD299" s="1"/>
  <c r="AD300" s="1"/>
  <c r="AD301" s="1"/>
  <c r="AD302" s="1"/>
  <c r="AD303" s="1"/>
  <c r="AD304" s="1"/>
  <c r="AD305" s="1"/>
  <c r="AD306" s="1"/>
  <c r="AD307" s="1"/>
  <c r="AD308" s="1"/>
  <c r="AD309" s="1"/>
  <c r="AD310" s="1"/>
  <c r="AD311" s="1"/>
  <c r="AD312" s="1"/>
  <c r="AD313" s="1"/>
  <c r="AD314" s="1"/>
  <c r="AD315" s="1"/>
  <c r="AD316" s="1"/>
  <c r="AD317" s="1"/>
  <c r="AD318" s="1"/>
  <c r="AD319" s="1"/>
  <c r="AD320" s="1"/>
  <c r="AD321" s="1"/>
  <c r="AD322" s="1"/>
  <c r="AD323" s="1"/>
  <c r="AD324" s="1"/>
  <c r="AD325" s="1"/>
  <c r="AD326" s="1"/>
  <c r="AD327" s="1"/>
  <c r="AD328" s="1"/>
  <c r="AD329" s="1"/>
  <c r="AD330" s="1"/>
  <c r="AD331" s="1"/>
  <c r="AD332" s="1"/>
  <c r="AD333" s="1"/>
  <c r="AD334" s="1"/>
  <c r="AD335" s="1"/>
  <c r="AD336" s="1"/>
  <c r="AD337" s="1"/>
  <c r="AD338" s="1"/>
  <c r="AD339" s="1"/>
  <c r="AD340" s="1"/>
  <c r="AD341" s="1"/>
  <c r="AD342" s="1"/>
  <c r="AD343" s="1"/>
  <c r="AD344" s="1"/>
  <c r="AD345" s="1"/>
  <c r="AD346" s="1"/>
  <c r="AD347" s="1"/>
  <c r="AD348" s="1"/>
  <c r="AD349" s="1"/>
  <c r="AD350" s="1"/>
  <c r="AD351" s="1"/>
  <c r="AD352" s="1"/>
  <c r="AD353" s="1"/>
  <c r="AD354" s="1"/>
  <c r="AD355" s="1"/>
  <c r="AD356" s="1"/>
  <c r="AD357" s="1"/>
  <c r="AD358" s="1"/>
  <c r="AD359" s="1"/>
  <c r="AD360" s="1"/>
  <c r="AD361" s="1"/>
  <c r="AD362" s="1"/>
  <c r="AD363" s="1"/>
  <c r="AD364" s="1"/>
  <c r="AD365" s="1"/>
  <c r="AD366" s="1"/>
  <c r="AD367" s="1"/>
  <c r="AD368" s="1"/>
  <c r="AD369" s="1"/>
  <c r="AD370" s="1"/>
  <c r="AD371" s="1"/>
  <c r="AD372" s="1"/>
  <c r="AD373" s="1"/>
  <c r="D100" i="2"/>
  <c r="E100" s="1"/>
  <c r="F100" s="1"/>
  <c r="C46"/>
  <c r="B15" i="19" s="1"/>
  <c r="AC15"/>
  <c r="D36" i="2"/>
  <c r="E36" s="1"/>
  <c r="G36" s="1"/>
  <c r="M23"/>
  <c r="F126"/>
  <c r="C26" i="20"/>
  <c r="AM25" i="19" s="1"/>
  <c r="D52" i="21"/>
  <c r="F30" i="13"/>
  <c r="J23" i="21"/>
  <c r="L23"/>
  <c r="AA21" i="2"/>
  <c r="AD21"/>
  <c r="R14" i="21"/>
  <c r="Y21" s="1"/>
  <c r="Y22" s="1"/>
  <c r="Y23" s="1"/>
  <c r="B18" i="20"/>
  <c r="B26" s="1"/>
  <c r="AM14" i="19" s="1"/>
  <c r="B17" i="20"/>
  <c r="B25" s="1"/>
  <c r="AM13" i="19" s="1"/>
  <c r="E30" i="13"/>
  <c r="D22" i="21"/>
  <c r="E110" s="1"/>
  <c r="D22" i="2"/>
  <c r="E110" s="1"/>
  <c r="E16" i="13" s="1"/>
  <c r="G36" s="1"/>
  <c r="E12"/>
  <c r="E36" s="1"/>
  <c r="E11"/>
  <c r="E33" s="1"/>
  <c r="B91" i="21"/>
  <c r="D10" i="12"/>
  <c r="D33" s="1"/>
  <c r="AH17" i="19" s="1"/>
  <c r="J24" i="21"/>
  <c r="L24" s="1"/>
  <c r="J25"/>
  <c r="L25" s="1"/>
  <c r="B16" i="20"/>
  <c r="B24" s="1"/>
  <c r="AM12" i="19" s="1"/>
  <c r="AC16"/>
  <c r="D37" i="2"/>
  <c r="E37" s="1"/>
  <c r="C105"/>
  <c r="C107"/>
  <c r="B126"/>
  <c r="C40"/>
  <c r="D40" s="1"/>
  <c r="E40" s="1"/>
  <c r="C8" i="13"/>
  <c r="C47" i="2"/>
  <c r="B16" i="19" s="1"/>
  <c r="Z21" i="21"/>
  <c r="Z22" s="1"/>
  <c r="Z23" s="1"/>
  <c r="Q21"/>
  <c r="Q22" s="1"/>
  <c r="Q23" s="1"/>
  <c r="W21"/>
  <c r="W22" s="1"/>
  <c r="W23" s="1"/>
  <c r="AC21"/>
  <c r="AC22" s="1"/>
  <c r="AC23" s="1"/>
  <c r="T21"/>
  <c r="T22" s="1"/>
  <c r="T23" s="1"/>
  <c r="F41" i="2"/>
  <c r="G41"/>
  <c r="G99"/>
  <c r="F99"/>
  <c r="AB22" i="21"/>
  <c r="F101"/>
  <c r="D109" i="2"/>
  <c r="AC22"/>
  <c r="F126" i="21"/>
  <c r="Z22" i="2"/>
  <c r="G97" i="21"/>
  <c r="G40"/>
  <c r="N27"/>
  <c r="G37"/>
  <c r="G39" i="2"/>
  <c r="F39"/>
  <c r="G39" i="21"/>
  <c r="F39"/>
  <c r="F96" i="2"/>
  <c r="G96"/>
  <c r="G36" i="21"/>
  <c r="F36"/>
  <c r="G96"/>
  <c r="F96"/>
  <c r="A17" i="19"/>
  <c r="D38" i="2"/>
  <c r="E38" s="1"/>
  <c r="AC17" i="19"/>
  <c r="B182" i="2"/>
  <c r="B91"/>
  <c r="C42" i="12"/>
  <c r="N22" i="2"/>
  <c r="T24" i="21" l="1"/>
  <c r="W24"/>
  <c r="Z24"/>
  <c r="F41"/>
  <c r="F97" i="2"/>
  <c r="G101"/>
  <c r="U21"/>
  <c r="R21"/>
  <c r="D9" i="12"/>
  <c r="D32" s="1"/>
  <c r="AH16" i="19" s="1"/>
  <c r="Y14" i="3"/>
  <c r="AL4" s="1"/>
  <c r="AL5" s="1"/>
  <c r="AL6" s="1"/>
  <c r="AL7" s="1"/>
  <c r="AL8" s="1"/>
  <c r="AL9" s="1"/>
  <c r="AL10" s="1"/>
  <c r="AL11" s="1"/>
  <c r="AL12" s="1"/>
  <c r="AL13" s="1"/>
  <c r="AL14" s="1"/>
  <c r="AL15" s="1"/>
  <c r="AL16" s="1"/>
  <c r="AL17" s="1"/>
  <c r="AL18" s="1"/>
  <c r="AL19" s="1"/>
  <c r="AL20" s="1"/>
  <c r="AL21" s="1"/>
  <c r="AL22" s="1"/>
  <c r="AL23" s="1"/>
  <c r="AL24" s="1"/>
  <c r="AL25" s="1"/>
  <c r="AL26" s="1"/>
  <c r="AL27" s="1"/>
  <c r="AL28" s="1"/>
  <c r="AL29" s="1"/>
  <c r="AL30" s="1"/>
  <c r="AL31" s="1"/>
  <c r="AL32" s="1"/>
  <c r="AL33" s="1"/>
  <c r="AL34" s="1"/>
  <c r="AL35" s="1"/>
  <c r="AL36" s="1"/>
  <c r="AL37" s="1"/>
  <c r="AL38" s="1"/>
  <c r="AL39" s="1"/>
  <c r="AL40" s="1"/>
  <c r="AL41" s="1"/>
  <c r="AL42" s="1"/>
  <c r="AL43" s="1"/>
  <c r="AL44" s="1"/>
  <c r="AL45" s="1"/>
  <c r="AL46" s="1"/>
  <c r="AL47" s="1"/>
  <c r="AL48" s="1"/>
  <c r="AL49" s="1"/>
  <c r="AL50" s="1"/>
  <c r="AL51" s="1"/>
  <c r="AL52" s="1"/>
  <c r="AL53" s="1"/>
  <c r="AL54" s="1"/>
  <c r="AL55" s="1"/>
  <c r="AL56" s="1"/>
  <c r="AL57" s="1"/>
  <c r="AL58" s="1"/>
  <c r="AL59" s="1"/>
  <c r="AL60" s="1"/>
  <c r="AL61" s="1"/>
  <c r="AL62" s="1"/>
  <c r="AL63" s="1"/>
  <c r="AL64" s="1"/>
  <c r="AL65" s="1"/>
  <c r="AL66" s="1"/>
  <c r="AL67" s="1"/>
  <c r="AL68" s="1"/>
  <c r="AL69" s="1"/>
  <c r="AL70" s="1"/>
  <c r="AL71" s="1"/>
  <c r="AL72" s="1"/>
  <c r="AL73" s="1"/>
  <c r="AL74" s="1"/>
  <c r="AL75" s="1"/>
  <c r="AL76" s="1"/>
  <c r="AL77" s="1"/>
  <c r="AL78" s="1"/>
  <c r="AL79" s="1"/>
  <c r="AL80" s="1"/>
  <c r="AL81" s="1"/>
  <c r="AL82" s="1"/>
  <c r="AL83" s="1"/>
  <c r="AL84" s="1"/>
  <c r="AL85" s="1"/>
  <c r="AL86" s="1"/>
  <c r="AL87" s="1"/>
  <c r="AL88" s="1"/>
  <c r="AL89" s="1"/>
  <c r="AL90" s="1"/>
  <c r="AL91" s="1"/>
  <c r="AL92" s="1"/>
  <c r="AL93" s="1"/>
  <c r="AL94" s="1"/>
  <c r="AL95" s="1"/>
  <c r="AL96" s="1"/>
  <c r="AL97" s="1"/>
  <c r="AL98" s="1"/>
  <c r="AL99" s="1"/>
  <c r="AL100" s="1"/>
  <c r="AL101" s="1"/>
  <c r="AL102" s="1"/>
  <c r="AL103" s="1"/>
  <c r="AL104" s="1"/>
  <c r="AL105" s="1"/>
  <c r="AL106" s="1"/>
  <c r="AL107" s="1"/>
  <c r="AL108" s="1"/>
  <c r="AL109" s="1"/>
  <c r="AL110" s="1"/>
  <c r="AL111" s="1"/>
  <c r="AL112" s="1"/>
  <c r="AL113" s="1"/>
  <c r="AL114" s="1"/>
  <c r="AL115" s="1"/>
  <c r="AL116" s="1"/>
  <c r="AL117" s="1"/>
  <c r="AL118" s="1"/>
  <c r="AL119" s="1"/>
  <c r="AL120" s="1"/>
  <c r="AL121" s="1"/>
  <c r="AL122" s="1"/>
  <c r="AL123" s="1"/>
  <c r="AL124" s="1"/>
  <c r="AL125" s="1"/>
  <c r="AL126" s="1"/>
  <c r="AL127" s="1"/>
  <c r="AL128" s="1"/>
  <c r="AL129" s="1"/>
  <c r="AL130" s="1"/>
  <c r="AL131" s="1"/>
  <c r="AL132" s="1"/>
  <c r="AL133" s="1"/>
  <c r="AL134" s="1"/>
  <c r="AL135" s="1"/>
  <c r="AL136" s="1"/>
  <c r="AL137" s="1"/>
  <c r="AL138" s="1"/>
  <c r="AL139" s="1"/>
  <c r="AL140" s="1"/>
  <c r="AL141" s="1"/>
  <c r="AL142" s="1"/>
  <c r="AL143" s="1"/>
  <c r="AL144" s="1"/>
  <c r="AL145" s="1"/>
  <c r="AL146" s="1"/>
  <c r="AL147" s="1"/>
  <c r="AL148" s="1"/>
  <c r="AL149" s="1"/>
  <c r="AL150" s="1"/>
  <c r="AL151" s="1"/>
  <c r="AL152" s="1"/>
  <c r="AL153" s="1"/>
  <c r="AL154" s="1"/>
  <c r="AL155" s="1"/>
  <c r="AL156" s="1"/>
  <c r="AL157" s="1"/>
  <c r="AL158" s="1"/>
  <c r="AL159" s="1"/>
  <c r="AL160" s="1"/>
  <c r="AL161" s="1"/>
  <c r="AL162" s="1"/>
  <c r="AL163" s="1"/>
  <c r="AL164" s="1"/>
  <c r="AL165" s="1"/>
  <c r="AL166" s="1"/>
  <c r="AL167" s="1"/>
  <c r="AL168" s="1"/>
  <c r="AL169" s="1"/>
  <c r="AL170" s="1"/>
  <c r="AL171" s="1"/>
  <c r="AL172" s="1"/>
  <c r="AL173" s="1"/>
  <c r="AL174" s="1"/>
  <c r="AL175" s="1"/>
  <c r="AL176" s="1"/>
  <c r="AL177" s="1"/>
  <c r="AL178" s="1"/>
  <c r="AL179" s="1"/>
  <c r="AL180" s="1"/>
  <c r="AL181" s="1"/>
  <c r="AL182" s="1"/>
  <c r="AL183" s="1"/>
  <c r="AL184" s="1"/>
  <c r="AL185" s="1"/>
  <c r="AL186" s="1"/>
  <c r="AL187" s="1"/>
  <c r="AL188" s="1"/>
  <c r="AL189" s="1"/>
  <c r="AL190" s="1"/>
  <c r="AL191" s="1"/>
  <c r="AL192" s="1"/>
  <c r="AL193" s="1"/>
  <c r="AL194" s="1"/>
  <c r="AL195" s="1"/>
  <c r="AL196" s="1"/>
  <c r="AL197" s="1"/>
  <c r="AL198" s="1"/>
  <c r="AL199" s="1"/>
  <c r="AL200" s="1"/>
  <c r="AL201" s="1"/>
  <c r="AL202" s="1"/>
  <c r="AL203" s="1"/>
  <c r="AL204" s="1"/>
  <c r="AL205" s="1"/>
  <c r="AL206" s="1"/>
  <c r="AL207" s="1"/>
  <c r="AL208" s="1"/>
  <c r="AL209" s="1"/>
  <c r="AL210" s="1"/>
  <c r="AL211" s="1"/>
  <c r="AL212" s="1"/>
  <c r="AL213" s="1"/>
  <c r="AL214" s="1"/>
  <c r="AL215" s="1"/>
  <c r="AL216" s="1"/>
  <c r="AL217" s="1"/>
  <c r="AL218" s="1"/>
  <c r="AL219" s="1"/>
  <c r="AL220" s="1"/>
  <c r="AL221" s="1"/>
  <c r="AL222" s="1"/>
  <c r="AL223" s="1"/>
  <c r="AL224" s="1"/>
  <c r="AL225" s="1"/>
  <c r="AL226" s="1"/>
  <c r="AL227" s="1"/>
  <c r="AL228" s="1"/>
  <c r="AL229" s="1"/>
  <c r="AL230" s="1"/>
  <c r="AL231" s="1"/>
  <c r="AL232" s="1"/>
  <c r="AL233" s="1"/>
  <c r="AL234" s="1"/>
  <c r="AL235" s="1"/>
  <c r="AL236" s="1"/>
  <c r="AL237" s="1"/>
  <c r="AL238" s="1"/>
  <c r="AL239" s="1"/>
  <c r="AL240" s="1"/>
  <c r="AL241" s="1"/>
  <c r="AL242" s="1"/>
  <c r="AL243" s="1"/>
  <c r="AL244" s="1"/>
  <c r="AL245" s="1"/>
  <c r="AL246" s="1"/>
  <c r="AL247" s="1"/>
  <c r="AL248" s="1"/>
  <c r="AL249" s="1"/>
  <c r="AL250" s="1"/>
  <c r="AL251" s="1"/>
  <c r="AL252" s="1"/>
  <c r="AL253" s="1"/>
  <c r="AL254" s="1"/>
  <c r="AL255" s="1"/>
  <c r="AL256" s="1"/>
  <c r="AL257" s="1"/>
  <c r="AL258" s="1"/>
  <c r="AL259" s="1"/>
  <c r="AL260" s="1"/>
  <c r="AL261" s="1"/>
  <c r="AL262" s="1"/>
  <c r="AL263" s="1"/>
  <c r="AL264" s="1"/>
  <c r="AL265" s="1"/>
  <c r="AL266" s="1"/>
  <c r="AL267" s="1"/>
  <c r="AL268" s="1"/>
  <c r="AL269" s="1"/>
  <c r="AL270" s="1"/>
  <c r="AL271" s="1"/>
  <c r="AL272" s="1"/>
  <c r="AL273" s="1"/>
  <c r="AL274" s="1"/>
  <c r="AL275" s="1"/>
  <c r="AL276" s="1"/>
  <c r="AL277" s="1"/>
  <c r="AL278" s="1"/>
  <c r="AL279" s="1"/>
  <c r="AL280" s="1"/>
  <c r="AL281" s="1"/>
  <c r="AL282" s="1"/>
  <c r="AL283" s="1"/>
  <c r="AL284" s="1"/>
  <c r="AL285" s="1"/>
  <c r="AL286" s="1"/>
  <c r="AL287" s="1"/>
  <c r="AL288" s="1"/>
  <c r="AL289" s="1"/>
  <c r="AL290" s="1"/>
  <c r="AL291" s="1"/>
  <c r="AL292" s="1"/>
  <c r="AL293" s="1"/>
  <c r="AL294" s="1"/>
  <c r="AL295" s="1"/>
  <c r="AL296" s="1"/>
  <c r="AL297" s="1"/>
  <c r="AL298" s="1"/>
  <c r="AL299" s="1"/>
  <c r="AL300" s="1"/>
  <c r="AL301" s="1"/>
  <c r="AL302" s="1"/>
  <c r="AL303" s="1"/>
  <c r="AL304" s="1"/>
  <c r="AL305" s="1"/>
  <c r="AL306" s="1"/>
  <c r="AL307" s="1"/>
  <c r="AL308" s="1"/>
  <c r="AL309" s="1"/>
  <c r="AL310" s="1"/>
  <c r="AL311" s="1"/>
  <c r="AL312" s="1"/>
  <c r="AL313" s="1"/>
  <c r="AL314" s="1"/>
  <c r="AL315" s="1"/>
  <c r="AL316" s="1"/>
  <c r="AL317" s="1"/>
  <c r="AL318" s="1"/>
  <c r="AL319" s="1"/>
  <c r="AL320" s="1"/>
  <c r="AL321" s="1"/>
  <c r="AL322" s="1"/>
  <c r="AL323" s="1"/>
  <c r="AL324" s="1"/>
  <c r="AL325" s="1"/>
  <c r="AL326" s="1"/>
  <c r="AL327" s="1"/>
  <c r="AL328" s="1"/>
  <c r="AL329" s="1"/>
  <c r="AL330" s="1"/>
  <c r="AL331" s="1"/>
  <c r="AL332" s="1"/>
  <c r="AL333" s="1"/>
  <c r="AL334" s="1"/>
  <c r="AL335" s="1"/>
  <c r="AL336" s="1"/>
  <c r="AL337" s="1"/>
  <c r="AL338" s="1"/>
  <c r="AL339" s="1"/>
  <c r="AL340" s="1"/>
  <c r="AL341" s="1"/>
  <c r="AL342" s="1"/>
  <c r="AL343" s="1"/>
  <c r="AL344" s="1"/>
  <c r="AL345" s="1"/>
  <c r="AL346" s="1"/>
  <c r="AL347" s="1"/>
  <c r="AL348" s="1"/>
  <c r="AL349" s="1"/>
  <c r="AL350" s="1"/>
  <c r="AL351" s="1"/>
  <c r="AL352" s="1"/>
  <c r="AL353" s="1"/>
  <c r="AL354" s="1"/>
  <c r="AL355" s="1"/>
  <c r="AL356" s="1"/>
  <c r="AL357" s="1"/>
  <c r="AL358" s="1"/>
  <c r="AL359" s="1"/>
  <c r="AL360" s="1"/>
  <c r="AL361" s="1"/>
  <c r="AL362" s="1"/>
  <c r="AL363" s="1"/>
  <c r="AL364" s="1"/>
  <c r="AL365" s="1"/>
  <c r="AL366" s="1"/>
  <c r="AL367" s="1"/>
  <c r="AL368" s="1"/>
  <c r="AL369" s="1"/>
  <c r="AL370" s="1"/>
  <c r="AL371" s="1"/>
  <c r="AL372" s="1"/>
  <c r="AL373" s="1"/>
  <c r="G98" i="21"/>
  <c r="AC24"/>
  <c r="AC25" s="1"/>
  <c r="Q24"/>
  <c r="Q25" s="1"/>
  <c r="X21" i="2"/>
  <c r="E7" i="13"/>
  <c r="C30" s="1"/>
  <c r="Y17" i="3"/>
  <c r="AO4" s="1"/>
  <c r="AO5" s="1"/>
  <c r="AO6" s="1"/>
  <c r="AO7" s="1"/>
  <c r="AO8" s="1"/>
  <c r="AO9" s="1"/>
  <c r="AO10" s="1"/>
  <c r="AO11" s="1"/>
  <c r="AO12" s="1"/>
  <c r="AO13" s="1"/>
  <c r="AO14" s="1"/>
  <c r="AO15" s="1"/>
  <c r="AO16" s="1"/>
  <c r="AO17" s="1"/>
  <c r="AO18" s="1"/>
  <c r="AO19" s="1"/>
  <c r="AO20" s="1"/>
  <c r="AO21" s="1"/>
  <c r="AO22" s="1"/>
  <c r="AO23" s="1"/>
  <c r="AO24" s="1"/>
  <c r="AO25" s="1"/>
  <c r="AO26" s="1"/>
  <c r="AO27" s="1"/>
  <c r="AO28" s="1"/>
  <c r="AO29" s="1"/>
  <c r="AO30" s="1"/>
  <c r="AO31" s="1"/>
  <c r="AO32" s="1"/>
  <c r="AO33" s="1"/>
  <c r="AO34" s="1"/>
  <c r="AO35" s="1"/>
  <c r="AO36" s="1"/>
  <c r="AO37" s="1"/>
  <c r="AO38" s="1"/>
  <c r="AO39" s="1"/>
  <c r="AO40" s="1"/>
  <c r="AO41" s="1"/>
  <c r="AO42" s="1"/>
  <c r="AO43" s="1"/>
  <c r="AO44" s="1"/>
  <c r="AO45" s="1"/>
  <c r="AO46" s="1"/>
  <c r="AO47" s="1"/>
  <c r="AO48" s="1"/>
  <c r="AO49" s="1"/>
  <c r="AO50" s="1"/>
  <c r="AO51" s="1"/>
  <c r="AO52" s="1"/>
  <c r="AO53" s="1"/>
  <c r="AO54" s="1"/>
  <c r="AO55" s="1"/>
  <c r="AO56" s="1"/>
  <c r="AO57" s="1"/>
  <c r="AO58" s="1"/>
  <c r="AO59" s="1"/>
  <c r="AO60" s="1"/>
  <c r="AO61" s="1"/>
  <c r="AO62" s="1"/>
  <c r="AO63" s="1"/>
  <c r="AO64" s="1"/>
  <c r="AO65" s="1"/>
  <c r="AO66" s="1"/>
  <c r="AO67" s="1"/>
  <c r="AO68" s="1"/>
  <c r="AO69" s="1"/>
  <c r="AO70" s="1"/>
  <c r="AO71" s="1"/>
  <c r="AO72" s="1"/>
  <c r="AO73" s="1"/>
  <c r="AO74" s="1"/>
  <c r="AO75" s="1"/>
  <c r="AO76" s="1"/>
  <c r="AO77" s="1"/>
  <c r="AO78" s="1"/>
  <c r="AO79" s="1"/>
  <c r="AO80" s="1"/>
  <c r="AO81" s="1"/>
  <c r="AO82" s="1"/>
  <c r="AO83" s="1"/>
  <c r="AO84" s="1"/>
  <c r="AO85" s="1"/>
  <c r="AO86" s="1"/>
  <c r="AO87" s="1"/>
  <c r="AO88" s="1"/>
  <c r="AO89" s="1"/>
  <c r="AO90" s="1"/>
  <c r="AO91" s="1"/>
  <c r="AO92" s="1"/>
  <c r="AO93" s="1"/>
  <c r="AO94" s="1"/>
  <c r="AO95" s="1"/>
  <c r="AO96" s="1"/>
  <c r="AO97" s="1"/>
  <c r="AO98" s="1"/>
  <c r="AO99" s="1"/>
  <c r="AO100" s="1"/>
  <c r="AO101" s="1"/>
  <c r="AO102" s="1"/>
  <c r="AO103" s="1"/>
  <c r="AO104" s="1"/>
  <c r="AO105" s="1"/>
  <c r="AO106" s="1"/>
  <c r="AO107" s="1"/>
  <c r="AO108" s="1"/>
  <c r="AO109" s="1"/>
  <c r="AO110" s="1"/>
  <c r="AO111" s="1"/>
  <c r="AO112" s="1"/>
  <c r="AO113" s="1"/>
  <c r="AO114" s="1"/>
  <c r="AO115" s="1"/>
  <c r="AO116" s="1"/>
  <c r="AO117" s="1"/>
  <c r="AO118" s="1"/>
  <c r="AO119" s="1"/>
  <c r="AO120" s="1"/>
  <c r="AO121" s="1"/>
  <c r="AO122" s="1"/>
  <c r="AO123" s="1"/>
  <c r="AO124" s="1"/>
  <c r="AO125" s="1"/>
  <c r="AO126" s="1"/>
  <c r="AO127" s="1"/>
  <c r="AO128" s="1"/>
  <c r="AO129" s="1"/>
  <c r="AO130" s="1"/>
  <c r="AO131" s="1"/>
  <c r="AO132" s="1"/>
  <c r="AO133" s="1"/>
  <c r="AO134" s="1"/>
  <c r="AO135" s="1"/>
  <c r="AO136" s="1"/>
  <c r="AO137" s="1"/>
  <c r="AO138" s="1"/>
  <c r="AO139" s="1"/>
  <c r="AO140" s="1"/>
  <c r="AO141" s="1"/>
  <c r="AO142" s="1"/>
  <c r="AO143" s="1"/>
  <c r="AO144" s="1"/>
  <c r="AO145" s="1"/>
  <c r="AO146" s="1"/>
  <c r="AO147" s="1"/>
  <c r="AO148" s="1"/>
  <c r="AO149" s="1"/>
  <c r="AO150" s="1"/>
  <c r="AO151" s="1"/>
  <c r="AO152" s="1"/>
  <c r="AO153" s="1"/>
  <c r="AO154" s="1"/>
  <c r="AO155" s="1"/>
  <c r="AO156" s="1"/>
  <c r="AO157" s="1"/>
  <c r="AO158" s="1"/>
  <c r="AO159" s="1"/>
  <c r="AO160" s="1"/>
  <c r="AO161" s="1"/>
  <c r="AO162" s="1"/>
  <c r="AO163" s="1"/>
  <c r="AO164" s="1"/>
  <c r="AO165" s="1"/>
  <c r="AO166" s="1"/>
  <c r="AO167" s="1"/>
  <c r="AO168" s="1"/>
  <c r="AO169" s="1"/>
  <c r="AO170" s="1"/>
  <c r="AO171" s="1"/>
  <c r="AO172" s="1"/>
  <c r="AO173" s="1"/>
  <c r="AO174" s="1"/>
  <c r="AO175" s="1"/>
  <c r="AO176" s="1"/>
  <c r="AO177" s="1"/>
  <c r="AO178" s="1"/>
  <c r="AO179" s="1"/>
  <c r="AO180" s="1"/>
  <c r="AO181" s="1"/>
  <c r="AO182" s="1"/>
  <c r="AO183" s="1"/>
  <c r="AO184" s="1"/>
  <c r="AO185" s="1"/>
  <c r="AO186" s="1"/>
  <c r="AO187" s="1"/>
  <c r="AO188" s="1"/>
  <c r="AO189" s="1"/>
  <c r="AO190" s="1"/>
  <c r="AO191" s="1"/>
  <c r="AO192" s="1"/>
  <c r="AO193" s="1"/>
  <c r="AO194" s="1"/>
  <c r="AO195" s="1"/>
  <c r="AO196" s="1"/>
  <c r="AO197" s="1"/>
  <c r="AO198" s="1"/>
  <c r="AO199" s="1"/>
  <c r="AO200" s="1"/>
  <c r="AO201" s="1"/>
  <c r="AO202" s="1"/>
  <c r="AO203" s="1"/>
  <c r="AO204" s="1"/>
  <c r="AO205" s="1"/>
  <c r="AO206" s="1"/>
  <c r="AO207" s="1"/>
  <c r="AO208" s="1"/>
  <c r="AO209" s="1"/>
  <c r="AO210" s="1"/>
  <c r="AO211" s="1"/>
  <c r="AO212" s="1"/>
  <c r="AO213" s="1"/>
  <c r="AO214" s="1"/>
  <c r="AO215" s="1"/>
  <c r="AO216" s="1"/>
  <c r="AO217" s="1"/>
  <c r="AO218" s="1"/>
  <c r="AO219" s="1"/>
  <c r="AO220" s="1"/>
  <c r="AO221" s="1"/>
  <c r="AO222" s="1"/>
  <c r="AO223" s="1"/>
  <c r="AO224" s="1"/>
  <c r="AO225" s="1"/>
  <c r="AO226" s="1"/>
  <c r="AO227" s="1"/>
  <c r="AO228" s="1"/>
  <c r="AO229" s="1"/>
  <c r="AO230" s="1"/>
  <c r="AO231" s="1"/>
  <c r="AO232" s="1"/>
  <c r="AO233" s="1"/>
  <c r="AO234" s="1"/>
  <c r="AO235" s="1"/>
  <c r="AO236" s="1"/>
  <c r="AO237" s="1"/>
  <c r="AO238" s="1"/>
  <c r="AO239" s="1"/>
  <c r="AO240" s="1"/>
  <c r="AO241" s="1"/>
  <c r="AO242" s="1"/>
  <c r="AO243" s="1"/>
  <c r="AO244" s="1"/>
  <c r="AO245" s="1"/>
  <c r="AO246" s="1"/>
  <c r="AO247" s="1"/>
  <c r="AO248" s="1"/>
  <c r="AO249" s="1"/>
  <c r="AO250" s="1"/>
  <c r="AO251" s="1"/>
  <c r="AO252" s="1"/>
  <c r="AO253" s="1"/>
  <c r="AO254" s="1"/>
  <c r="AO255" s="1"/>
  <c r="AO256" s="1"/>
  <c r="AO257" s="1"/>
  <c r="AO258" s="1"/>
  <c r="AO259" s="1"/>
  <c r="AO260" s="1"/>
  <c r="AO261" s="1"/>
  <c r="AO262" s="1"/>
  <c r="AO263" s="1"/>
  <c r="AO264" s="1"/>
  <c r="AO265" s="1"/>
  <c r="AO266" s="1"/>
  <c r="AO267" s="1"/>
  <c r="AO268" s="1"/>
  <c r="AO269" s="1"/>
  <c r="AO270" s="1"/>
  <c r="AO271" s="1"/>
  <c r="AO272" s="1"/>
  <c r="AO273" s="1"/>
  <c r="AO274" s="1"/>
  <c r="AO275" s="1"/>
  <c r="AO276" s="1"/>
  <c r="AO277" s="1"/>
  <c r="AO278" s="1"/>
  <c r="AO279" s="1"/>
  <c r="AO280" s="1"/>
  <c r="AO281" s="1"/>
  <c r="AO282" s="1"/>
  <c r="AO283" s="1"/>
  <c r="AO284" s="1"/>
  <c r="AO285" s="1"/>
  <c r="AO286" s="1"/>
  <c r="AO287" s="1"/>
  <c r="AO288" s="1"/>
  <c r="AO289" s="1"/>
  <c r="AO290" s="1"/>
  <c r="AO291" s="1"/>
  <c r="AO292" s="1"/>
  <c r="AO293" s="1"/>
  <c r="AO294" s="1"/>
  <c r="AO295" s="1"/>
  <c r="AO296" s="1"/>
  <c r="AO297" s="1"/>
  <c r="AO298" s="1"/>
  <c r="AO299" s="1"/>
  <c r="AO300" s="1"/>
  <c r="AO301" s="1"/>
  <c r="AO302" s="1"/>
  <c r="AO303" s="1"/>
  <c r="AO304" s="1"/>
  <c r="AO305" s="1"/>
  <c r="AO306" s="1"/>
  <c r="AO307" s="1"/>
  <c r="AO308" s="1"/>
  <c r="AO309" s="1"/>
  <c r="AO310" s="1"/>
  <c r="AO311" s="1"/>
  <c r="AO312" s="1"/>
  <c r="AO313" s="1"/>
  <c r="AO314" s="1"/>
  <c r="AO315" s="1"/>
  <c r="AO316" s="1"/>
  <c r="AO317" s="1"/>
  <c r="AO318" s="1"/>
  <c r="AO319" s="1"/>
  <c r="AO320" s="1"/>
  <c r="AO321" s="1"/>
  <c r="AO322" s="1"/>
  <c r="AO323" s="1"/>
  <c r="AO324" s="1"/>
  <c r="AO325" s="1"/>
  <c r="AO326" s="1"/>
  <c r="AO327" s="1"/>
  <c r="AO328" s="1"/>
  <c r="AO329" s="1"/>
  <c r="AO330" s="1"/>
  <c r="AO331" s="1"/>
  <c r="AO332" s="1"/>
  <c r="AO333" s="1"/>
  <c r="AO334" s="1"/>
  <c r="AO335" s="1"/>
  <c r="AO336" s="1"/>
  <c r="AO337" s="1"/>
  <c r="AO338" s="1"/>
  <c r="AO339" s="1"/>
  <c r="AO340" s="1"/>
  <c r="AO341" s="1"/>
  <c r="AO342" s="1"/>
  <c r="AO343" s="1"/>
  <c r="AO344" s="1"/>
  <c r="AO345" s="1"/>
  <c r="AO346" s="1"/>
  <c r="AO347" s="1"/>
  <c r="AO348" s="1"/>
  <c r="AO349" s="1"/>
  <c r="AO350" s="1"/>
  <c r="AO351" s="1"/>
  <c r="AO352" s="1"/>
  <c r="AO353" s="1"/>
  <c r="AO354" s="1"/>
  <c r="AO355" s="1"/>
  <c r="AO356" s="1"/>
  <c r="AO357" s="1"/>
  <c r="AO358" s="1"/>
  <c r="AO359" s="1"/>
  <c r="AO360" s="1"/>
  <c r="AO361" s="1"/>
  <c r="AO362" s="1"/>
  <c r="AO363" s="1"/>
  <c r="AO364" s="1"/>
  <c r="AO365" s="1"/>
  <c r="AO366" s="1"/>
  <c r="AO367" s="1"/>
  <c r="AO368" s="1"/>
  <c r="AO369" s="1"/>
  <c r="AO370" s="1"/>
  <c r="AO371" s="1"/>
  <c r="AO372" s="1"/>
  <c r="AO373" s="1"/>
  <c r="D12" i="12"/>
  <c r="F36" i="2"/>
  <c r="AG21" s="1"/>
  <c r="F100" i="21"/>
  <c r="G100" i="2"/>
  <c r="Y8" i="3"/>
  <c r="AF4" s="1"/>
  <c r="AF5" s="1"/>
  <c r="AF6" s="1"/>
  <c r="AF7" s="1"/>
  <c r="AF8" s="1"/>
  <c r="AF9" s="1"/>
  <c r="AF10" s="1"/>
  <c r="AF11" s="1"/>
  <c r="AF12" s="1"/>
  <c r="AF13" s="1"/>
  <c r="AF14" s="1"/>
  <c r="AF15" s="1"/>
  <c r="AF16" s="1"/>
  <c r="AF17" s="1"/>
  <c r="AF18" s="1"/>
  <c r="AF19" s="1"/>
  <c r="AF20" s="1"/>
  <c r="AF21" s="1"/>
  <c r="AF22" s="1"/>
  <c r="AF23" s="1"/>
  <c r="AF24" s="1"/>
  <c r="AF25" s="1"/>
  <c r="AF26" s="1"/>
  <c r="AF27" s="1"/>
  <c r="AF28" s="1"/>
  <c r="AF29" s="1"/>
  <c r="AF30" s="1"/>
  <c r="AF31" s="1"/>
  <c r="AF32" s="1"/>
  <c r="AF33" s="1"/>
  <c r="AF34" s="1"/>
  <c r="AF35" s="1"/>
  <c r="AF36" s="1"/>
  <c r="AF37" s="1"/>
  <c r="AF38" s="1"/>
  <c r="AF39" s="1"/>
  <c r="AF40" s="1"/>
  <c r="AF41" s="1"/>
  <c r="AF42" s="1"/>
  <c r="AF43" s="1"/>
  <c r="AF44" s="1"/>
  <c r="AF45" s="1"/>
  <c r="AF46" s="1"/>
  <c r="AF47" s="1"/>
  <c r="AF48" s="1"/>
  <c r="AF49" s="1"/>
  <c r="AF50" s="1"/>
  <c r="AF51" s="1"/>
  <c r="AF52" s="1"/>
  <c r="AF53" s="1"/>
  <c r="AF54" s="1"/>
  <c r="AF55" s="1"/>
  <c r="AF56" s="1"/>
  <c r="AF57" s="1"/>
  <c r="AF58" s="1"/>
  <c r="AF59" s="1"/>
  <c r="AF60" s="1"/>
  <c r="AF61" s="1"/>
  <c r="AF62" s="1"/>
  <c r="AF63" s="1"/>
  <c r="AF64" s="1"/>
  <c r="AF65" s="1"/>
  <c r="AF66" s="1"/>
  <c r="AF67" s="1"/>
  <c r="AF68" s="1"/>
  <c r="AF69" s="1"/>
  <c r="AF70" s="1"/>
  <c r="AF71" s="1"/>
  <c r="AF72" s="1"/>
  <c r="AF73" s="1"/>
  <c r="AF74" s="1"/>
  <c r="AF75" s="1"/>
  <c r="AF76" s="1"/>
  <c r="AF77" s="1"/>
  <c r="AF78" s="1"/>
  <c r="AF79" s="1"/>
  <c r="AF80" s="1"/>
  <c r="AF81" s="1"/>
  <c r="AF82" s="1"/>
  <c r="AF83" s="1"/>
  <c r="AF84" s="1"/>
  <c r="AF85" s="1"/>
  <c r="AF86" s="1"/>
  <c r="AF87" s="1"/>
  <c r="AF88" s="1"/>
  <c r="AF89" s="1"/>
  <c r="AF90" s="1"/>
  <c r="AF91" s="1"/>
  <c r="AF92" s="1"/>
  <c r="AF93" s="1"/>
  <c r="AF94" s="1"/>
  <c r="AF95" s="1"/>
  <c r="AF96" s="1"/>
  <c r="AF97" s="1"/>
  <c r="AF98" s="1"/>
  <c r="AF99" s="1"/>
  <c r="AF100" s="1"/>
  <c r="AF101" s="1"/>
  <c r="AF102" s="1"/>
  <c r="AF103" s="1"/>
  <c r="AF104" s="1"/>
  <c r="AF105" s="1"/>
  <c r="AF106" s="1"/>
  <c r="AF107" s="1"/>
  <c r="AF108" s="1"/>
  <c r="AF109" s="1"/>
  <c r="AF110" s="1"/>
  <c r="AF111" s="1"/>
  <c r="AF112" s="1"/>
  <c r="AF113" s="1"/>
  <c r="AF114" s="1"/>
  <c r="AF115" s="1"/>
  <c r="AF116" s="1"/>
  <c r="AF117" s="1"/>
  <c r="AF118" s="1"/>
  <c r="AF119" s="1"/>
  <c r="AF120" s="1"/>
  <c r="AF121" s="1"/>
  <c r="AF122" s="1"/>
  <c r="AF123" s="1"/>
  <c r="AF124" s="1"/>
  <c r="AF125" s="1"/>
  <c r="AF126" s="1"/>
  <c r="AF127" s="1"/>
  <c r="AF128" s="1"/>
  <c r="AF129" s="1"/>
  <c r="AF130" s="1"/>
  <c r="AF131" s="1"/>
  <c r="AF132" s="1"/>
  <c r="AF133" s="1"/>
  <c r="AF134" s="1"/>
  <c r="AF135" s="1"/>
  <c r="AF136" s="1"/>
  <c r="AF137" s="1"/>
  <c r="AF138" s="1"/>
  <c r="AF139" s="1"/>
  <c r="AF140" s="1"/>
  <c r="AF141" s="1"/>
  <c r="AF142" s="1"/>
  <c r="AF143" s="1"/>
  <c r="AF144" s="1"/>
  <c r="AF145" s="1"/>
  <c r="AF146" s="1"/>
  <c r="AF147" s="1"/>
  <c r="AF148" s="1"/>
  <c r="AF149" s="1"/>
  <c r="AF150" s="1"/>
  <c r="AF151" s="1"/>
  <c r="AF152" s="1"/>
  <c r="AF153" s="1"/>
  <c r="AF154" s="1"/>
  <c r="AF155" s="1"/>
  <c r="AF156" s="1"/>
  <c r="AF157" s="1"/>
  <c r="AF158" s="1"/>
  <c r="AF159" s="1"/>
  <c r="AF160" s="1"/>
  <c r="AF161" s="1"/>
  <c r="AF162" s="1"/>
  <c r="AF163" s="1"/>
  <c r="AF164" s="1"/>
  <c r="AF165" s="1"/>
  <c r="AF166" s="1"/>
  <c r="AF167" s="1"/>
  <c r="AF168" s="1"/>
  <c r="AF169" s="1"/>
  <c r="AF170" s="1"/>
  <c r="AF171" s="1"/>
  <c r="AF172" s="1"/>
  <c r="AF173" s="1"/>
  <c r="AF174" s="1"/>
  <c r="AF175" s="1"/>
  <c r="AF176" s="1"/>
  <c r="AF177" s="1"/>
  <c r="AF178" s="1"/>
  <c r="AF179" s="1"/>
  <c r="AF180" s="1"/>
  <c r="AF181" s="1"/>
  <c r="AF182" s="1"/>
  <c r="AF183" s="1"/>
  <c r="AF184" s="1"/>
  <c r="AF185" s="1"/>
  <c r="AF186" s="1"/>
  <c r="AF187" s="1"/>
  <c r="AF188" s="1"/>
  <c r="AF189" s="1"/>
  <c r="AF190" s="1"/>
  <c r="AF191" s="1"/>
  <c r="AF192" s="1"/>
  <c r="AF193" s="1"/>
  <c r="AF194" s="1"/>
  <c r="AF195" s="1"/>
  <c r="AF196" s="1"/>
  <c r="AF197" s="1"/>
  <c r="AF198" s="1"/>
  <c r="AF199" s="1"/>
  <c r="AF200" s="1"/>
  <c r="AF201" s="1"/>
  <c r="AF202" s="1"/>
  <c r="AF203" s="1"/>
  <c r="AF204" s="1"/>
  <c r="AF205" s="1"/>
  <c r="AF206" s="1"/>
  <c r="AF207" s="1"/>
  <c r="AF208" s="1"/>
  <c r="AF209" s="1"/>
  <c r="AF210" s="1"/>
  <c r="AF211" s="1"/>
  <c r="AF212" s="1"/>
  <c r="AF213" s="1"/>
  <c r="AF214" s="1"/>
  <c r="AF215" s="1"/>
  <c r="AF216" s="1"/>
  <c r="AF217" s="1"/>
  <c r="AF218" s="1"/>
  <c r="AF219" s="1"/>
  <c r="AF220" s="1"/>
  <c r="AF221" s="1"/>
  <c r="AF222" s="1"/>
  <c r="AF223" s="1"/>
  <c r="AF224" s="1"/>
  <c r="AF225" s="1"/>
  <c r="AF226" s="1"/>
  <c r="AF227" s="1"/>
  <c r="AF228" s="1"/>
  <c r="AF229" s="1"/>
  <c r="AF230" s="1"/>
  <c r="AF231" s="1"/>
  <c r="AF232" s="1"/>
  <c r="AF233" s="1"/>
  <c r="AF234" s="1"/>
  <c r="AF235" s="1"/>
  <c r="AF236" s="1"/>
  <c r="AF237" s="1"/>
  <c r="AF238" s="1"/>
  <c r="AF239" s="1"/>
  <c r="AF240" s="1"/>
  <c r="AF241" s="1"/>
  <c r="AF242" s="1"/>
  <c r="AF243" s="1"/>
  <c r="AF244" s="1"/>
  <c r="AF245" s="1"/>
  <c r="AF246" s="1"/>
  <c r="AF247" s="1"/>
  <c r="AF248" s="1"/>
  <c r="AF249" s="1"/>
  <c r="AF250" s="1"/>
  <c r="AF251" s="1"/>
  <c r="AF252" s="1"/>
  <c r="AF253" s="1"/>
  <c r="AF254" s="1"/>
  <c r="AF255" s="1"/>
  <c r="AF256" s="1"/>
  <c r="AF257" s="1"/>
  <c r="AF258" s="1"/>
  <c r="AF259" s="1"/>
  <c r="AF260" s="1"/>
  <c r="AF261" s="1"/>
  <c r="AF262" s="1"/>
  <c r="AF263" s="1"/>
  <c r="AF264" s="1"/>
  <c r="AF265" s="1"/>
  <c r="AF266" s="1"/>
  <c r="AF267" s="1"/>
  <c r="AF268" s="1"/>
  <c r="AF269" s="1"/>
  <c r="AF270" s="1"/>
  <c r="AF271" s="1"/>
  <c r="AF272" s="1"/>
  <c r="AF273" s="1"/>
  <c r="AF274" s="1"/>
  <c r="AF275" s="1"/>
  <c r="AF276" s="1"/>
  <c r="AF277" s="1"/>
  <c r="AF278" s="1"/>
  <c r="AF279" s="1"/>
  <c r="AF280" s="1"/>
  <c r="AF281" s="1"/>
  <c r="AF282" s="1"/>
  <c r="AF283" s="1"/>
  <c r="AF284" s="1"/>
  <c r="AF285" s="1"/>
  <c r="AF286" s="1"/>
  <c r="AF287" s="1"/>
  <c r="AF288" s="1"/>
  <c r="AF289" s="1"/>
  <c r="AF290" s="1"/>
  <c r="AF291" s="1"/>
  <c r="AF292" s="1"/>
  <c r="AF293" s="1"/>
  <c r="AF294" s="1"/>
  <c r="AF295" s="1"/>
  <c r="AF296" s="1"/>
  <c r="AF297" s="1"/>
  <c r="AF298" s="1"/>
  <c r="AF299" s="1"/>
  <c r="AF300" s="1"/>
  <c r="AF301" s="1"/>
  <c r="AF302" s="1"/>
  <c r="AF303" s="1"/>
  <c r="AF304" s="1"/>
  <c r="AF305" s="1"/>
  <c r="AF306" s="1"/>
  <c r="AF307" s="1"/>
  <c r="AF308" s="1"/>
  <c r="AF309" s="1"/>
  <c r="AF310" s="1"/>
  <c r="AF311" s="1"/>
  <c r="AF312" s="1"/>
  <c r="AF313" s="1"/>
  <c r="AF314" s="1"/>
  <c r="AF315" s="1"/>
  <c r="AF316" s="1"/>
  <c r="AF317" s="1"/>
  <c r="AF318" s="1"/>
  <c r="AF319" s="1"/>
  <c r="AF320" s="1"/>
  <c r="AF321" s="1"/>
  <c r="AF322" s="1"/>
  <c r="AF323" s="1"/>
  <c r="AF324" s="1"/>
  <c r="AF325" s="1"/>
  <c r="AF326" s="1"/>
  <c r="AF327" s="1"/>
  <c r="AF328" s="1"/>
  <c r="AF329" s="1"/>
  <c r="AF330" s="1"/>
  <c r="AF331" s="1"/>
  <c r="AF332" s="1"/>
  <c r="AF333" s="1"/>
  <c r="AF334" s="1"/>
  <c r="AF335" s="1"/>
  <c r="AF336" s="1"/>
  <c r="AF337" s="1"/>
  <c r="AF338" s="1"/>
  <c r="AF339" s="1"/>
  <c r="AF340" s="1"/>
  <c r="AF341" s="1"/>
  <c r="AF342" s="1"/>
  <c r="AF343" s="1"/>
  <c r="AF344" s="1"/>
  <c r="AF345" s="1"/>
  <c r="AF346" s="1"/>
  <c r="AF347" s="1"/>
  <c r="AF348" s="1"/>
  <c r="AF349" s="1"/>
  <c r="AF350" s="1"/>
  <c r="AF351" s="1"/>
  <c r="AF352" s="1"/>
  <c r="AF353" s="1"/>
  <c r="AF354" s="1"/>
  <c r="AF355" s="1"/>
  <c r="AF356" s="1"/>
  <c r="AF357" s="1"/>
  <c r="AF358" s="1"/>
  <c r="AF359" s="1"/>
  <c r="AF360" s="1"/>
  <c r="AF361" s="1"/>
  <c r="AF362" s="1"/>
  <c r="AF363" s="1"/>
  <c r="AF364" s="1"/>
  <c r="AF365" s="1"/>
  <c r="AF366" s="1"/>
  <c r="AF367" s="1"/>
  <c r="AF368" s="1"/>
  <c r="AF369" s="1"/>
  <c r="AF370" s="1"/>
  <c r="AF371" s="1"/>
  <c r="AF372" s="1"/>
  <c r="AF373" s="1"/>
  <c r="Y11"/>
  <c r="AI4" s="1"/>
  <c r="AI5" s="1"/>
  <c r="AI6" s="1"/>
  <c r="AI7" s="1"/>
  <c r="AI8" s="1"/>
  <c r="AI9" s="1"/>
  <c r="AI10" s="1"/>
  <c r="AI11" s="1"/>
  <c r="AI12" s="1"/>
  <c r="AI13" s="1"/>
  <c r="AI14" s="1"/>
  <c r="AI15" s="1"/>
  <c r="AI16" s="1"/>
  <c r="AI17" s="1"/>
  <c r="AI18" s="1"/>
  <c r="AI19" s="1"/>
  <c r="AI20" s="1"/>
  <c r="AI21" s="1"/>
  <c r="AI22" s="1"/>
  <c r="AI23" s="1"/>
  <c r="AI24" s="1"/>
  <c r="AI25" s="1"/>
  <c r="AI26" s="1"/>
  <c r="AI27" s="1"/>
  <c r="AI28" s="1"/>
  <c r="AI29" s="1"/>
  <c r="AI30" s="1"/>
  <c r="AI31" s="1"/>
  <c r="AI32" s="1"/>
  <c r="AI33" s="1"/>
  <c r="AI34" s="1"/>
  <c r="AI35" s="1"/>
  <c r="AI36" s="1"/>
  <c r="AI37" s="1"/>
  <c r="AI38" s="1"/>
  <c r="AI39" s="1"/>
  <c r="AI40" s="1"/>
  <c r="AI41" s="1"/>
  <c r="AI42" s="1"/>
  <c r="AI43" s="1"/>
  <c r="AI44" s="1"/>
  <c r="AI45" s="1"/>
  <c r="AI46" s="1"/>
  <c r="AI47" s="1"/>
  <c r="AI48" s="1"/>
  <c r="AI49" s="1"/>
  <c r="AI50" s="1"/>
  <c r="AI51" s="1"/>
  <c r="AI52" s="1"/>
  <c r="AI53" s="1"/>
  <c r="AI54" s="1"/>
  <c r="AI55" s="1"/>
  <c r="AI56" s="1"/>
  <c r="AI57" s="1"/>
  <c r="AI58" s="1"/>
  <c r="AI59" s="1"/>
  <c r="AI60" s="1"/>
  <c r="AI61" s="1"/>
  <c r="AI62" s="1"/>
  <c r="AI63" s="1"/>
  <c r="AI64" s="1"/>
  <c r="AI65" s="1"/>
  <c r="AI66" s="1"/>
  <c r="AI67" s="1"/>
  <c r="AI68" s="1"/>
  <c r="AI69" s="1"/>
  <c r="AI70" s="1"/>
  <c r="AI71" s="1"/>
  <c r="AI72" s="1"/>
  <c r="AI73" s="1"/>
  <c r="AI74" s="1"/>
  <c r="AI75" s="1"/>
  <c r="AI76" s="1"/>
  <c r="AI77" s="1"/>
  <c r="AI78" s="1"/>
  <c r="AI79" s="1"/>
  <c r="AI80" s="1"/>
  <c r="AI81" s="1"/>
  <c r="AI82" s="1"/>
  <c r="AI83" s="1"/>
  <c r="AI84" s="1"/>
  <c r="AI85" s="1"/>
  <c r="AI86" s="1"/>
  <c r="AI87" s="1"/>
  <c r="AI88" s="1"/>
  <c r="AI89" s="1"/>
  <c r="AI90" s="1"/>
  <c r="AI91" s="1"/>
  <c r="AI92" s="1"/>
  <c r="AI93" s="1"/>
  <c r="AI94" s="1"/>
  <c r="AI95" s="1"/>
  <c r="AI96" s="1"/>
  <c r="AI97" s="1"/>
  <c r="AI98" s="1"/>
  <c r="AI99" s="1"/>
  <c r="AI100" s="1"/>
  <c r="AI101" s="1"/>
  <c r="AI102" s="1"/>
  <c r="AI103" s="1"/>
  <c r="AI104" s="1"/>
  <c r="AI105" s="1"/>
  <c r="AI106" s="1"/>
  <c r="AI107" s="1"/>
  <c r="AI108" s="1"/>
  <c r="AI109" s="1"/>
  <c r="AI110" s="1"/>
  <c r="AI111" s="1"/>
  <c r="AI112" s="1"/>
  <c r="AI113" s="1"/>
  <c r="AI114" s="1"/>
  <c r="AI115" s="1"/>
  <c r="AI116" s="1"/>
  <c r="AI117" s="1"/>
  <c r="AI118" s="1"/>
  <c r="AI119" s="1"/>
  <c r="AI120" s="1"/>
  <c r="AI121" s="1"/>
  <c r="AI122" s="1"/>
  <c r="AI123" s="1"/>
  <c r="AI124" s="1"/>
  <c r="AI125" s="1"/>
  <c r="AI126" s="1"/>
  <c r="AI127" s="1"/>
  <c r="AI128" s="1"/>
  <c r="AI129" s="1"/>
  <c r="AI130" s="1"/>
  <c r="AI131" s="1"/>
  <c r="AI132" s="1"/>
  <c r="AI133" s="1"/>
  <c r="AI134" s="1"/>
  <c r="AI135" s="1"/>
  <c r="AI136" s="1"/>
  <c r="AI137" s="1"/>
  <c r="AI138" s="1"/>
  <c r="AI139" s="1"/>
  <c r="AI140" s="1"/>
  <c r="AI141" s="1"/>
  <c r="AI142" s="1"/>
  <c r="AI143" s="1"/>
  <c r="AI144" s="1"/>
  <c r="AI145" s="1"/>
  <c r="AI146" s="1"/>
  <c r="AI147" s="1"/>
  <c r="AI148" s="1"/>
  <c r="AI149" s="1"/>
  <c r="AI150" s="1"/>
  <c r="AI151" s="1"/>
  <c r="AI152" s="1"/>
  <c r="AI153" s="1"/>
  <c r="AI154" s="1"/>
  <c r="AI155" s="1"/>
  <c r="AI156" s="1"/>
  <c r="AI157" s="1"/>
  <c r="AI158" s="1"/>
  <c r="AI159" s="1"/>
  <c r="AI160" s="1"/>
  <c r="AI161" s="1"/>
  <c r="AI162" s="1"/>
  <c r="AI163" s="1"/>
  <c r="AI164" s="1"/>
  <c r="AI165" s="1"/>
  <c r="AI166" s="1"/>
  <c r="AI167" s="1"/>
  <c r="AI168" s="1"/>
  <c r="AI169" s="1"/>
  <c r="AI170" s="1"/>
  <c r="AI171" s="1"/>
  <c r="AI172" s="1"/>
  <c r="AI173" s="1"/>
  <c r="AI174" s="1"/>
  <c r="AI175" s="1"/>
  <c r="AI176" s="1"/>
  <c r="AI177" s="1"/>
  <c r="AI178" s="1"/>
  <c r="AI179" s="1"/>
  <c r="AI180" s="1"/>
  <c r="AI181" s="1"/>
  <c r="AI182" s="1"/>
  <c r="AI183" s="1"/>
  <c r="AI184" s="1"/>
  <c r="AI185" s="1"/>
  <c r="AI186" s="1"/>
  <c r="AI187" s="1"/>
  <c r="AI188" s="1"/>
  <c r="AI189" s="1"/>
  <c r="AI190" s="1"/>
  <c r="AI191" s="1"/>
  <c r="AI192" s="1"/>
  <c r="AI193" s="1"/>
  <c r="AI194" s="1"/>
  <c r="AI195" s="1"/>
  <c r="AI196" s="1"/>
  <c r="AI197" s="1"/>
  <c r="AI198" s="1"/>
  <c r="AI199" s="1"/>
  <c r="AI200" s="1"/>
  <c r="AI201" s="1"/>
  <c r="AI202" s="1"/>
  <c r="AI203" s="1"/>
  <c r="AI204" s="1"/>
  <c r="AI205" s="1"/>
  <c r="AI206" s="1"/>
  <c r="AI207" s="1"/>
  <c r="AI208" s="1"/>
  <c r="AI209" s="1"/>
  <c r="AI210" s="1"/>
  <c r="AI211" s="1"/>
  <c r="AI212" s="1"/>
  <c r="AI213" s="1"/>
  <c r="AI214" s="1"/>
  <c r="AI215" s="1"/>
  <c r="AI216" s="1"/>
  <c r="AI217" s="1"/>
  <c r="AI218" s="1"/>
  <c r="AI219" s="1"/>
  <c r="AI220" s="1"/>
  <c r="AI221" s="1"/>
  <c r="AI222" s="1"/>
  <c r="AI223" s="1"/>
  <c r="AI224" s="1"/>
  <c r="AI225" s="1"/>
  <c r="AI226" s="1"/>
  <c r="AI227" s="1"/>
  <c r="AI228" s="1"/>
  <c r="AI229" s="1"/>
  <c r="AI230" s="1"/>
  <c r="AI231" s="1"/>
  <c r="AI232" s="1"/>
  <c r="AI233" s="1"/>
  <c r="AI234" s="1"/>
  <c r="AI235" s="1"/>
  <c r="AI236" s="1"/>
  <c r="AI237" s="1"/>
  <c r="AI238" s="1"/>
  <c r="AI239" s="1"/>
  <c r="AI240" s="1"/>
  <c r="AI241" s="1"/>
  <c r="AI242" s="1"/>
  <c r="AI243" s="1"/>
  <c r="AI244" s="1"/>
  <c r="AI245" s="1"/>
  <c r="AI246" s="1"/>
  <c r="AI247" s="1"/>
  <c r="AI248" s="1"/>
  <c r="AI249" s="1"/>
  <c r="AI250" s="1"/>
  <c r="AI251" s="1"/>
  <c r="AI252" s="1"/>
  <c r="AI253" s="1"/>
  <c r="AI254" s="1"/>
  <c r="AI255" s="1"/>
  <c r="AI256" s="1"/>
  <c r="AI257" s="1"/>
  <c r="AI258" s="1"/>
  <c r="AI259" s="1"/>
  <c r="AI260" s="1"/>
  <c r="AI261" s="1"/>
  <c r="AI262" s="1"/>
  <c r="AI263" s="1"/>
  <c r="AI264" s="1"/>
  <c r="AI265" s="1"/>
  <c r="AI266" s="1"/>
  <c r="AI267" s="1"/>
  <c r="AI268" s="1"/>
  <c r="AI269" s="1"/>
  <c r="AI270" s="1"/>
  <c r="AI271" s="1"/>
  <c r="AI272" s="1"/>
  <c r="AI273" s="1"/>
  <c r="AI274" s="1"/>
  <c r="AI275" s="1"/>
  <c r="AI276" s="1"/>
  <c r="AI277" s="1"/>
  <c r="AI278" s="1"/>
  <c r="AI279" s="1"/>
  <c r="AI280" s="1"/>
  <c r="AI281" s="1"/>
  <c r="AI282" s="1"/>
  <c r="AI283" s="1"/>
  <c r="AI284" s="1"/>
  <c r="AI285" s="1"/>
  <c r="AI286" s="1"/>
  <c r="AI287" s="1"/>
  <c r="AI288" s="1"/>
  <c r="AI289" s="1"/>
  <c r="AI290" s="1"/>
  <c r="AI291" s="1"/>
  <c r="AI292" s="1"/>
  <c r="AI293" s="1"/>
  <c r="AI294" s="1"/>
  <c r="AI295" s="1"/>
  <c r="AI296" s="1"/>
  <c r="AI297" s="1"/>
  <c r="AI298" s="1"/>
  <c r="AI299" s="1"/>
  <c r="AI300" s="1"/>
  <c r="AI301" s="1"/>
  <c r="AI302" s="1"/>
  <c r="AI303" s="1"/>
  <c r="AI304" s="1"/>
  <c r="AI305" s="1"/>
  <c r="AI306" s="1"/>
  <c r="AI307" s="1"/>
  <c r="AI308" s="1"/>
  <c r="AI309" s="1"/>
  <c r="AI310" s="1"/>
  <c r="AI311" s="1"/>
  <c r="AI312" s="1"/>
  <c r="AI313" s="1"/>
  <c r="AI314" s="1"/>
  <c r="AI315" s="1"/>
  <c r="AI316" s="1"/>
  <c r="AI317" s="1"/>
  <c r="AI318" s="1"/>
  <c r="AI319" s="1"/>
  <c r="AI320" s="1"/>
  <c r="AI321" s="1"/>
  <c r="AI322" s="1"/>
  <c r="AI323" s="1"/>
  <c r="AI324" s="1"/>
  <c r="AI325" s="1"/>
  <c r="AI326" s="1"/>
  <c r="AI327" s="1"/>
  <c r="AI328" s="1"/>
  <c r="AI329" s="1"/>
  <c r="AI330" s="1"/>
  <c r="AI331" s="1"/>
  <c r="AI332" s="1"/>
  <c r="AI333" s="1"/>
  <c r="AI334" s="1"/>
  <c r="AI335" s="1"/>
  <c r="AI336" s="1"/>
  <c r="AI337" s="1"/>
  <c r="AI338" s="1"/>
  <c r="AI339" s="1"/>
  <c r="AI340" s="1"/>
  <c r="AI341" s="1"/>
  <c r="AI342" s="1"/>
  <c r="AI343" s="1"/>
  <c r="AI344" s="1"/>
  <c r="AI345" s="1"/>
  <c r="AI346" s="1"/>
  <c r="AI347" s="1"/>
  <c r="AI348" s="1"/>
  <c r="AI349" s="1"/>
  <c r="AI350" s="1"/>
  <c r="AI351" s="1"/>
  <c r="AI352" s="1"/>
  <c r="AI353" s="1"/>
  <c r="AI354" s="1"/>
  <c r="AI355" s="1"/>
  <c r="AI356" s="1"/>
  <c r="AI357" s="1"/>
  <c r="AI358" s="1"/>
  <c r="AI359" s="1"/>
  <c r="AI360" s="1"/>
  <c r="AI361" s="1"/>
  <c r="AI362" s="1"/>
  <c r="AI363" s="1"/>
  <c r="AI364" s="1"/>
  <c r="AI365" s="1"/>
  <c r="AI366" s="1"/>
  <c r="AI367" s="1"/>
  <c r="AI368" s="1"/>
  <c r="AI369" s="1"/>
  <c r="AI370" s="1"/>
  <c r="AI371" s="1"/>
  <c r="AI372" s="1"/>
  <c r="AI373" s="1"/>
  <c r="E8" i="13"/>
  <c r="B33" s="1"/>
  <c r="E109" i="21"/>
  <c r="D8" i="12"/>
  <c r="F98" i="2"/>
  <c r="G98"/>
  <c r="T25" i="21"/>
  <c r="E105"/>
  <c r="P61" i="19" s="1"/>
  <c r="AI22" i="21"/>
  <c r="Z25"/>
  <c r="W25"/>
  <c r="M28"/>
  <c r="M24" i="2"/>
  <c r="Q23"/>
  <c r="J26" i="21"/>
  <c r="L26" s="1"/>
  <c r="A54" i="19"/>
  <c r="Y19" i="3"/>
  <c r="AQ4" s="1"/>
  <c r="AQ5" s="1"/>
  <c r="AQ6" s="1"/>
  <c r="AQ7" s="1"/>
  <c r="AQ8" s="1"/>
  <c r="AQ9" s="1"/>
  <c r="AQ10" s="1"/>
  <c r="AQ11" s="1"/>
  <c r="AQ12" s="1"/>
  <c r="AQ13" s="1"/>
  <c r="AQ14" s="1"/>
  <c r="AQ15" s="1"/>
  <c r="AQ16" s="1"/>
  <c r="AQ17" s="1"/>
  <c r="AQ18" s="1"/>
  <c r="AQ19" s="1"/>
  <c r="AQ20" s="1"/>
  <c r="AQ21" s="1"/>
  <c r="AQ22" s="1"/>
  <c r="AQ23" s="1"/>
  <c r="AQ24" s="1"/>
  <c r="AQ25" s="1"/>
  <c r="AQ26" s="1"/>
  <c r="AQ27" s="1"/>
  <c r="AQ28" s="1"/>
  <c r="AQ29" s="1"/>
  <c r="AQ30" s="1"/>
  <c r="AQ31" s="1"/>
  <c r="AQ32" s="1"/>
  <c r="AQ33" s="1"/>
  <c r="AQ34" s="1"/>
  <c r="AQ35" s="1"/>
  <c r="AQ36" s="1"/>
  <c r="AQ37" s="1"/>
  <c r="AQ38" s="1"/>
  <c r="AQ39" s="1"/>
  <c r="AQ40" s="1"/>
  <c r="AQ41" s="1"/>
  <c r="AQ42" s="1"/>
  <c r="AQ43" s="1"/>
  <c r="AQ44" s="1"/>
  <c r="AQ45" s="1"/>
  <c r="AQ46" s="1"/>
  <c r="AQ47" s="1"/>
  <c r="AQ48" s="1"/>
  <c r="AQ49" s="1"/>
  <c r="AQ50" s="1"/>
  <c r="AQ51" s="1"/>
  <c r="AQ52" s="1"/>
  <c r="AQ53" s="1"/>
  <c r="AQ54" s="1"/>
  <c r="AQ55" s="1"/>
  <c r="AQ56" s="1"/>
  <c r="AQ57" s="1"/>
  <c r="AQ58" s="1"/>
  <c r="AQ59" s="1"/>
  <c r="AQ60" s="1"/>
  <c r="AQ61" s="1"/>
  <c r="AQ62" s="1"/>
  <c r="AQ63" s="1"/>
  <c r="AQ64" s="1"/>
  <c r="AQ65" s="1"/>
  <c r="AQ66" s="1"/>
  <c r="AQ67" s="1"/>
  <c r="AQ68" s="1"/>
  <c r="AQ69" s="1"/>
  <c r="AQ70" s="1"/>
  <c r="AQ71" s="1"/>
  <c r="AQ72" s="1"/>
  <c r="AQ73" s="1"/>
  <c r="AQ74" s="1"/>
  <c r="AQ75" s="1"/>
  <c r="AQ76" s="1"/>
  <c r="AQ77" s="1"/>
  <c r="AQ78" s="1"/>
  <c r="AQ79" s="1"/>
  <c r="AQ80" s="1"/>
  <c r="AQ81" s="1"/>
  <c r="AQ82" s="1"/>
  <c r="AQ83" s="1"/>
  <c r="AQ84" s="1"/>
  <c r="AQ85" s="1"/>
  <c r="AQ86" s="1"/>
  <c r="AQ87" s="1"/>
  <c r="AQ88" s="1"/>
  <c r="AQ89" s="1"/>
  <c r="AQ90" s="1"/>
  <c r="AQ91" s="1"/>
  <c r="AQ92" s="1"/>
  <c r="AQ93" s="1"/>
  <c r="AQ94" s="1"/>
  <c r="AQ95" s="1"/>
  <c r="AQ96" s="1"/>
  <c r="AQ97" s="1"/>
  <c r="AQ98" s="1"/>
  <c r="AQ99" s="1"/>
  <c r="AQ100" s="1"/>
  <c r="AQ101" s="1"/>
  <c r="AQ102" s="1"/>
  <c r="AQ103" s="1"/>
  <c r="AQ104" s="1"/>
  <c r="AQ105" s="1"/>
  <c r="AQ106" s="1"/>
  <c r="AQ107" s="1"/>
  <c r="AQ108" s="1"/>
  <c r="AQ109" s="1"/>
  <c r="AQ110" s="1"/>
  <c r="AQ111" s="1"/>
  <c r="AQ112" s="1"/>
  <c r="AQ113" s="1"/>
  <c r="AQ114" s="1"/>
  <c r="AQ115" s="1"/>
  <c r="AQ116" s="1"/>
  <c r="AQ117" s="1"/>
  <c r="AQ118" s="1"/>
  <c r="AQ119" s="1"/>
  <c r="AQ120" s="1"/>
  <c r="AQ121" s="1"/>
  <c r="AQ122" s="1"/>
  <c r="AQ123" s="1"/>
  <c r="AQ124" s="1"/>
  <c r="AQ125" s="1"/>
  <c r="AQ126" s="1"/>
  <c r="AQ127" s="1"/>
  <c r="AQ128" s="1"/>
  <c r="AQ129" s="1"/>
  <c r="AQ130" s="1"/>
  <c r="AQ131" s="1"/>
  <c r="AQ132" s="1"/>
  <c r="AQ133" s="1"/>
  <c r="AQ134" s="1"/>
  <c r="AQ135" s="1"/>
  <c r="AQ136" s="1"/>
  <c r="AQ137" s="1"/>
  <c r="AQ138" s="1"/>
  <c r="AQ139" s="1"/>
  <c r="AQ140" s="1"/>
  <c r="AQ141" s="1"/>
  <c r="AQ142" s="1"/>
  <c r="AQ143" s="1"/>
  <c r="AQ144" s="1"/>
  <c r="AQ145" s="1"/>
  <c r="AQ146" s="1"/>
  <c r="AQ147" s="1"/>
  <c r="AQ148" s="1"/>
  <c r="AQ149" s="1"/>
  <c r="AQ150" s="1"/>
  <c r="AQ151" s="1"/>
  <c r="AQ152" s="1"/>
  <c r="AQ153" s="1"/>
  <c r="AQ154" s="1"/>
  <c r="AQ155" s="1"/>
  <c r="AQ156" s="1"/>
  <c r="AQ157" s="1"/>
  <c r="AQ158" s="1"/>
  <c r="AQ159" s="1"/>
  <c r="AQ160" s="1"/>
  <c r="AQ161" s="1"/>
  <c r="AQ162" s="1"/>
  <c r="AQ163" s="1"/>
  <c r="AQ164" s="1"/>
  <c r="AQ165" s="1"/>
  <c r="AQ166" s="1"/>
  <c r="AQ167" s="1"/>
  <c r="AQ168" s="1"/>
  <c r="AQ169" s="1"/>
  <c r="AQ170" s="1"/>
  <c r="AQ171" s="1"/>
  <c r="AQ172" s="1"/>
  <c r="AQ173" s="1"/>
  <c r="AQ174" s="1"/>
  <c r="AQ175" s="1"/>
  <c r="AQ176" s="1"/>
  <c r="AQ177" s="1"/>
  <c r="AQ178" s="1"/>
  <c r="AQ179" s="1"/>
  <c r="AQ180" s="1"/>
  <c r="AQ181" s="1"/>
  <c r="AQ182" s="1"/>
  <c r="AQ183" s="1"/>
  <c r="AQ184" s="1"/>
  <c r="AQ185" s="1"/>
  <c r="AQ186" s="1"/>
  <c r="AQ187" s="1"/>
  <c r="AQ188" s="1"/>
  <c r="AQ189" s="1"/>
  <c r="AQ190" s="1"/>
  <c r="AQ191" s="1"/>
  <c r="AQ192" s="1"/>
  <c r="AQ193" s="1"/>
  <c r="AQ194" s="1"/>
  <c r="AQ195" s="1"/>
  <c r="AQ196" s="1"/>
  <c r="AQ197" s="1"/>
  <c r="AQ198" s="1"/>
  <c r="AQ199" s="1"/>
  <c r="AQ200" s="1"/>
  <c r="AQ201" s="1"/>
  <c r="AQ202" s="1"/>
  <c r="AQ203" s="1"/>
  <c r="AQ204" s="1"/>
  <c r="AQ205" s="1"/>
  <c r="AQ206" s="1"/>
  <c r="AQ207" s="1"/>
  <c r="AQ208" s="1"/>
  <c r="AQ209" s="1"/>
  <c r="AQ210" s="1"/>
  <c r="AQ211" s="1"/>
  <c r="AQ212" s="1"/>
  <c r="AQ213" s="1"/>
  <c r="AQ214" s="1"/>
  <c r="AQ215" s="1"/>
  <c r="AQ216" s="1"/>
  <c r="AQ217" s="1"/>
  <c r="AQ218" s="1"/>
  <c r="AQ219" s="1"/>
  <c r="AQ220" s="1"/>
  <c r="AQ221" s="1"/>
  <c r="AQ222" s="1"/>
  <c r="AQ223" s="1"/>
  <c r="AQ224" s="1"/>
  <c r="AQ225" s="1"/>
  <c r="AQ226" s="1"/>
  <c r="AQ227" s="1"/>
  <c r="AQ228" s="1"/>
  <c r="AQ229" s="1"/>
  <c r="AQ230" s="1"/>
  <c r="AQ231" s="1"/>
  <c r="AQ232" s="1"/>
  <c r="AQ233" s="1"/>
  <c r="AQ234" s="1"/>
  <c r="AQ235" s="1"/>
  <c r="AQ236" s="1"/>
  <c r="AQ237" s="1"/>
  <c r="AQ238" s="1"/>
  <c r="AQ239" s="1"/>
  <c r="AQ240" s="1"/>
  <c r="AQ241" s="1"/>
  <c r="AQ242" s="1"/>
  <c r="AQ243" s="1"/>
  <c r="AQ244" s="1"/>
  <c r="AQ245" s="1"/>
  <c r="AQ246" s="1"/>
  <c r="AQ247" s="1"/>
  <c r="AQ248" s="1"/>
  <c r="AQ249" s="1"/>
  <c r="AQ250" s="1"/>
  <c r="AQ251" s="1"/>
  <c r="AQ252" s="1"/>
  <c r="AQ253" s="1"/>
  <c r="AQ254" s="1"/>
  <c r="AQ255" s="1"/>
  <c r="AQ256" s="1"/>
  <c r="AQ257" s="1"/>
  <c r="AQ258" s="1"/>
  <c r="AQ259" s="1"/>
  <c r="AQ260" s="1"/>
  <c r="AQ261" s="1"/>
  <c r="AQ262" s="1"/>
  <c r="AQ263" s="1"/>
  <c r="AQ264" s="1"/>
  <c r="AQ265" s="1"/>
  <c r="AQ266" s="1"/>
  <c r="AQ267" s="1"/>
  <c r="AQ268" s="1"/>
  <c r="AQ269" s="1"/>
  <c r="AQ270" s="1"/>
  <c r="AQ271" s="1"/>
  <c r="AQ272" s="1"/>
  <c r="AQ273" s="1"/>
  <c r="AQ274" s="1"/>
  <c r="AQ275" s="1"/>
  <c r="AQ276" s="1"/>
  <c r="AQ277" s="1"/>
  <c r="AQ278" s="1"/>
  <c r="AQ279" s="1"/>
  <c r="AQ280" s="1"/>
  <c r="AQ281" s="1"/>
  <c r="AQ282" s="1"/>
  <c r="AQ283" s="1"/>
  <c r="AQ284" s="1"/>
  <c r="AQ285" s="1"/>
  <c r="AQ286" s="1"/>
  <c r="AQ287" s="1"/>
  <c r="AQ288" s="1"/>
  <c r="AQ289" s="1"/>
  <c r="AQ290" s="1"/>
  <c r="AQ291" s="1"/>
  <c r="AQ292" s="1"/>
  <c r="AQ293" s="1"/>
  <c r="AQ294" s="1"/>
  <c r="AQ295" s="1"/>
  <c r="AQ296" s="1"/>
  <c r="AQ297" s="1"/>
  <c r="AQ298" s="1"/>
  <c r="AQ299" s="1"/>
  <c r="AQ300" s="1"/>
  <c r="AQ301" s="1"/>
  <c r="AQ302" s="1"/>
  <c r="AQ303" s="1"/>
  <c r="AQ304" s="1"/>
  <c r="AQ305" s="1"/>
  <c r="AQ306" s="1"/>
  <c r="AQ307" s="1"/>
  <c r="AQ308" s="1"/>
  <c r="AQ309" s="1"/>
  <c r="AQ310" s="1"/>
  <c r="AQ311" s="1"/>
  <c r="AQ312" s="1"/>
  <c r="AQ313" s="1"/>
  <c r="AQ314" s="1"/>
  <c r="AQ315" s="1"/>
  <c r="AQ316" s="1"/>
  <c r="AQ317" s="1"/>
  <c r="AQ318" s="1"/>
  <c r="AQ319" s="1"/>
  <c r="AQ320" s="1"/>
  <c r="AQ321" s="1"/>
  <c r="AQ322" s="1"/>
  <c r="AQ323" s="1"/>
  <c r="AQ324" s="1"/>
  <c r="AQ325" s="1"/>
  <c r="AQ326" s="1"/>
  <c r="AQ327" s="1"/>
  <c r="AQ328" s="1"/>
  <c r="AQ329" s="1"/>
  <c r="AQ330" s="1"/>
  <c r="AQ331" s="1"/>
  <c r="AQ332" s="1"/>
  <c r="AQ333" s="1"/>
  <c r="AQ334" s="1"/>
  <c r="AQ335" s="1"/>
  <c r="AQ336" s="1"/>
  <c r="AQ337" s="1"/>
  <c r="AQ338" s="1"/>
  <c r="AQ339" s="1"/>
  <c r="AQ340" s="1"/>
  <c r="AQ341" s="1"/>
  <c r="AQ342" s="1"/>
  <c r="AQ343" s="1"/>
  <c r="AQ344" s="1"/>
  <c r="AQ345" s="1"/>
  <c r="AQ346" s="1"/>
  <c r="AQ347" s="1"/>
  <c r="AQ348" s="1"/>
  <c r="AQ349" s="1"/>
  <c r="AQ350" s="1"/>
  <c r="AQ351" s="1"/>
  <c r="AQ352" s="1"/>
  <c r="AQ353" s="1"/>
  <c r="AQ354" s="1"/>
  <c r="AQ355" s="1"/>
  <c r="AQ356" s="1"/>
  <c r="AQ357" s="1"/>
  <c r="AQ358" s="1"/>
  <c r="AQ359" s="1"/>
  <c r="AQ360" s="1"/>
  <c r="AQ361" s="1"/>
  <c r="AQ362" s="1"/>
  <c r="AQ363" s="1"/>
  <c r="AQ364" s="1"/>
  <c r="AQ365" s="1"/>
  <c r="AQ366" s="1"/>
  <c r="AQ367" s="1"/>
  <c r="AQ368" s="1"/>
  <c r="AQ369" s="1"/>
  <c r="AQ370" s="1"/>
  <c r="AQ371" s="1"/>
  <c r="AQ372" s="1"/>
  <c r="AQ373" s="1"/>
  <c r="F36" i="13"/>
  <c r="F33"/>
  <c r="AD21" i="21"/>
  <c r="E109" i="2"/>
  <c r="E15" i="13" s="1"/>
  <c r="G33" s="1"/>
  <c r="AA22" i="21"/>
  <c r="U22"/>
  <c r="X23"/>
  <c r="AA21"/>
  <c r="X21"/>
  <c r="U21"/>
  <c r="R21"/>
  <c r="X22"/>
  <c r="D30" i="13"/>
  <c r="D33"/>
  <c r="D36"/>
  <c r="E107" i="21"/>
  <c r="P63" i="19" s="1"/>
  <c r="E108" i="21"/>
  <c r="E106"/>
  <c r="P62" i="19" s="1"/>
  <c r="E106" i="2"/>
  <c r="B62" i="19" s="1"/>
  <c r="E108" i="2"/>
  <c r="E14" i="13" s="1"/>
  <c r="G30" s="1"/>
  <c r="C36"/>
  <c r="G40" i="2"/>
  <c r="F40"/>
  <c r="D107"/>
  <c r="E107"/>
  <c r="B63" i="19" s="1"/>
  <c r="AC25"/>
  <c r="F37" i="2"/>
  <c r="G37"/>
  <c r="AC23" i="19"/>
  <c r="D105" i="2"/>
  <c r="E105"/>
  <c r="B61" i="19" s="1"/>
  <c r="S23" i="21"/>
  <c r="P23"/>
  <c r="AI23" s="1"/>
  <c r="AD22"/>
  <c r="AB23"/>
  <c r="AI21"/>
  <c r="AI21" i="2"/>
  <c r="AA23" i="21"/>
  <c r="Y24"/>
  <c r="C30" i="20"/>
  <c r="C31" s="1"/>
  <c r="B30"/>
  <c r="B31" s="1"/>
  <c r="AG15" i="19"/>
  <c r="AG23"/>
  <c r="D48" i="12"/>
  <c r="AJ17" i="19" s="1"/>
  <c r="D47" i="12"/>
  <c r="AJ16" i="19" s="1"/>
  <c r="F38" i="2"/>
  <c r="G38"/>
  <c r="N23"/>
  <c r="Y22"/>
  <c r="AA22" s="1"/>
  <c r="P22"/>
  <c r="S22"/>
  <c r="U22" s="1"/>
  <c r="V22"/>
  <c r="X22" s="1"/>
  <c r="AB22"/>
  <c r="AD22" s="1"/>
  <c r="X24" i="21"/>
  <c r="V25"/>
  <c r="N28"/>
  <c r="D50" i="12" l="1"/>
  <c r="AJ24" i="19" s="1"/>
  <c r="D35" i="12"/>
  <c r="AH24" i="19" s="1"/>
  <c r="D46" i="12"/>
  <c r="AJ15" i="19" s="1"/>
  <c r="D31" i="12"/>
  <c r="AH15" i="19" s="1"/>
  <c r="AC26" i="21"/>
  <c r="W26"/>
  <c r="T26"/>
  <c r="Z26"/>
  <c r="Q26"/>
  <c r="AG21"/>
  <c r="AG22"/>
  <c r="B30" i="13"/>
  <c r="C33"/>
  <c r="T23" i="2"/>
  <c r="L23"/>
  <c r="J23"/>
  <c r="J27" i="21"/>
  <c r="L27" s="1"/>
  <c r="AC23" i="2"/>
  <c r="Z23"/>
  <c r="W23"/>
  <c r="M25"/>
  <c r="M29" i="21"/>
  <c r="R22"/>
  <c r="B39" i="19"/>
  <c r="Y15" i="3"/>
  <c r="AM4" s="1"/>
  <c r="AM5" s="1"/>
  <c r="AM6" s="1"/>
  <c r="AM7" s="1"/>
  <c r="AM8" s="1"/>
  <c r="AM9" s="1"/>
  <c r="AM10" s="1"/>
  <c r="AM11" s="1"/>
  <c r="AM12" s="1"/>
  <c r="AM13" s="1"/>
  <c r="AM14" s="1"/>
  <c r="AM15" s="1"/>
  <c r="AM16" s="1"/>
  <c r="AM17" s="1"/>
  <c r="AM18" s="1"/>
  <c r="AM19" s="1"/>
  <c r="AM20" s="1"/>
  <c r="AM21" s="1"/>
  <c r="AM22" s="1"/>
  <c r="AM23" s="1"/>
  <c r="AM24" s="1"/>
  <c r="AM25" s="1"/>
  <c r="AM26" s="1"/>
  <c r="AM27" s="1"/>
  <c r="AM28" s="1"/>
  <c r="AM29" s="1"/>
  <c r="AM30" s="1"/>
  <c r="AM31" s="1"/>
  <c r="AM32" s="1"/>
  <c r="AM33" s="1"/>
  <c r="AM34" s="1"/>
  <c r="AM35" s="1"/>
  <c r="AM36" s="1"/>
  <c r="AM37" s="1"/>
  <c r="AM38" s="1"/>
  <c r="AM39" s="1"/>
  <c r="AM40" s="1"/>
  <c r="AM41" s="1"/>
  <c r="AM42" s="1"/>
  <c r="AM43" s="1"/>
  <c r="AM44" s="1"/>
  <c r="AM45" s="1"/>
  <c r="AM46" s="1"/>
  <c r="AM47" s="1"/>
  <c r="AM48" s="1"/>
  <c r="AM49" s="1"/>
  <c r="AM50" s="1"/>
  <c r="AM51" s="1"/>
  <c r="AM52" s="1"/>
  <c r="AM53" s="1"/>
  <c r="AM54" s="1"/>
  <c r="AM55" s="1"/>
  <c r="AM56" s="1"/>
  <c r="AM57" s="1"/>
  <c r="AM58" s="1"/>
  <c r="AM59" s="1"/>
  <c r="AM60" s="1"/>
  <c r="AM61" s="1"/>
  <c r="AM62" s="1"/>
  <c r="AM63" s="1"/>
  <c r="AM64" s="1"/>
  <c r="AM65" s="1"/>
  <c r="AM66" s="1"/>
  <c r="AM67" s="1"/>
  <c r="AM68" s="1"/>
  <c r="AM69" s="1"/>
  <c r="AM70" s="1"/>
  <c r="AM71" s="1"/>
  <c r="AM72" s="1"/>
  <c r="AM73" s="1"/>
  <c r="AM74" s="1"/>
  <c r="AM75" s="1"/>
  <c r="AM76" s="1"/>
  <c r="AM77" s="1"/>
  <c r="AM78" s="1"/>
  <c r="AM79" s="1"/>
  <c r="AM80" s="1"/>
  <c r="AM81" s="1"/>
  <c r="AM82" s="1"/>
  <c r="AM83" s="1"/>
  <c r="AM84" s="1"/>
  <c r="AM85" s="1"/>
  <c r="AM86" s="1"/>
  <c r="AM87" s="1"/>
  <c r="AM88" s="1"/>
  <c r="AM89" s="1"/>
  <c r="AM90" s="1"/>
  <c r="AM91" s="1"/>
  <c r="AM92" s="1"/>
  <c r="AM93" s="1"/>
  <c r="AM94" s="1"/>
  <c r="AM95" s="1"/>
  <c r="AM96" s="1"/>
  <c r="AM97" s="1"/>
  <c r="AM98" s="1"/>
  <c r="AM99" s="1"/>
  <c r="AM100" s="1"/>
  <c r="AM101" s="1"/>
  <c r="AM102" s="1"/>
  <c r="AM103" s="1"/>
  <c r="AM104" s="1"/>
  <c r="AM105" s="1"/>
  <c r="AM106" s="1"/>
  <c r="AM107" s="1"/>
  <c r="AM108" s="1"/>
  <c r="AM109" s="1"/>
  <c r="AM110" s="1"/>
  <c r="AM111" s="1"/>
  <c r="AM112" s="1"/>
  <c r="AM113" s="1"/>
  <c r="AM114" s="1"/>
  <c r="AM115" s="1"/>
  <c r="AM116" s="1"/>
  <c r="AM117" s="1"/>
  <c r="AM118" s="1"/>
  <c r="AM119" s="1"/>
  <c r="AM120" s="1"/>
  <c r="AM121" s="1"/>
  <c r="AM122" s="1"/>
  <c r="AM123" s="1"/>
  <c r="AM124" s="1"/>
  <c r="AM125" s="1"/>
  <c r="AM126" s="1"/>
  <c r="AM127" s="1"/>
  <c r="AM128" s="1"/>
  <c r="AM129" s="1"/>
  <c r="AM130" s="1"/>
  <c r="AM131" s="1"/>
  <c r="AM132" s="1"/>
  <c r="AM133" s="1"/>
  <c r="AM134" s="1"/>
  <c r="AM135" s="1"/>
  <c r="AM136" s="1"/>
  <c r="AM137" s="1"/>
  <c r="AM138" s="1"/>
  <c r="AM139" s="1"/>
  <c r="AM140" s="1"/>
  <c r="AM141" s="1"/>
  <c r="AM142" s="1"/>
  <c r="AM143" s="1"/>
  <c r="AM144" s="1"/>
  <c r="AM145" s="1"/>
  <c r="AM146" s="1"/>
  <c r="AM147" s="1"/>
  <c r="AM148" s="1"/>
  <c r="AM149" s="1"/>
  <c r="AM150" s="1"/>
  <c r="AM151" s="1"/>
  <c r="AM152" s="1"/>
  <c r="AM153" s="1"/>
  <c r="AM154" s="1"/>
  <c r="AM155" s="1"/>
  <c r="AM156" s="1"/>
  <c r="AM157" s="1"/>
  <c r="AM158" s="1"/>
  <c r="AM159" s="1"/>
  <c r="AM160" s="1"/>
  <c r="AM161" s="1"/>
  <c r="AM162" s="1"/>
  <c r="AM163" s="1"/>
  <c r="AM164" s="1"/>
  <c r="AM165" s="1"/>
  <c r="AM166" s="1"/>
  <c r="AM167" s="1"/>
  <c r="AM168" s="1"/>
  <c r="AM169" s="1"/>
  <c r="AM170" s="1"/>
  <c r="AM171" s="1"/>
  <c r="AM172" s="1"/>
  <c r="AM173" s="1"/>
  <c r="AM174" s="1"/>
  <c r="AM175" s="1"/>
  <c r="AM176" s="1"/>
  <c r="AM177" s="1"/>
  <c r="AM178" s="1"/>
  <c r="AM179" s="1"/>
  <c r="AM180" s="1"/>
  <c r="AM181" s="1"/>
  <c r="AM182" s="1"/>
  <c r="AM183" s="1"/>
  <c r="AM184" s="1"/>
  <c r="AM185" s="1"/>
  <c r="AM186" s="1"/>
  <c r="AM187" s="1"/>
  <c r="AM188" s="1"/>
  <c r="AM189" s="1"/>
  <c r="AM190" s="1"/>
  <c r="AM191" s="1"/>
  <c r="AM192" s="1"/>
  <c r="AM193" s="1"/>
  <c r="AM194" s="1"/>
  <c r="AM195" s="1"/>
  <c r="AM196" s="1"/>
  <c r="AM197" s="1"/>
  <c r="AM198" s="1"/>
  <c r="AM199" s="1"/>
  <c r="AM200" s="1"/>
  <c r="AM201" s="1"/>
  <c r="AM202" s="1"/>
  <c r="AM203" s="1"/>
  <c r="AM204" s="1"/>
  <c r="AM205" s="1"/>
  <c r="AM206" s="1"/>
  <c r="AM207" s="1"/>
  <c r="AM208" s="1"/>
  <c r="AM209" s="1"/>
  <c r="AM210" s="1"/>
  <c r="AM211" s="1"/>
  <c r="AM212" s="1"/>
  <c r="AM213" s="1"/>
  <c r="AM214" s="1"/>
  <c r="AM215" s="1"/>
  <c r="AM216" s="1"/>
  <c r="AM217" s="1"/>
  <c r="AM218" s="1"/>
  <c r="AM219" s="1"/>
  <c r="AM220" s="1"/>
  <c r="AM221" s="1"/>
  <c r="AM222" s="1"/>
  <c r="AM223" s="1"/>
  <c r="AM224" s="1"/>
  <c r="AM225" s="1"/>
  <c r="AM226" s="1"/>
  <c r="AM227" s="1"/>
  <c r="AM228" s="1"/>
  <c r="AM229" s="1"/>
  <c r="AM230" s="1"/>
  <c r="AM231" s="1"/>
  <c r="AM232" s="1"/>
  <c r="AM233" s="1"/>
  <c r="AM234" s="1"/>
  <c r="AM235" s="1"/>
  <c r="AM236" s="1"/>
  <c r="AM237" s="1"/>
  <c r="AM238" s="1"/>
  <c r="AM239" s="1"/>
  <c r="AM240" s="1"/>
  <c r="AM241" s="1"/>
  <c r="AM242" s="1"/>
  <c r="AM243" s="1"/>
  <c r="AM244" s="1"/>
  <c r="AM245" s="1"/>
  <c r="AM246" s="1"/>
  <c r="AM247" s="1"/>
  <c r="AM248" s="1"/>
  <c r="AM249" s="1"/>
  <c r="AM250" s="1"/>
  <c r="AM251" s="1"/>
  <c r="AM252" s="1"/>
  <c r="AM253" s="1"/>
  <c r="AM254" s="1"/>
  <c r="AM255" s="1"/>
  <c r="AM256" s="1"/>
  <c r="AM257" s="1"/>
  <c r="AM258" s="1"/>
  <c r="AM259" s="1"/>
  <c r="AM260" s="1"/>
  <c r="AM261" s="1"/>
  <c r="AM262" s="1"/>
  <c r="AM263" s="1"/>
  <c r="AM264" s="1"/>
  <c r="AM265" s="1"/>
  <c r="AM266" s="1"/>
  <c r="AM267" s="1"/>
  <c r="AM268" s="1"/>
  <c r="AM269" s="1"/>
  <c r="AM270" s="1"/>
  <c r="AM271" s="1"/>
  <c r="AM272" s="1"/>
  <c r="AM273" s="1"/>
  <c r="AM274" s="1"/>
  <c r="AM275" s="1"/>
  <c r="AM276" s="1"/>
  <c r="AM277" s="1"/>
  <c r="AM278" s="1"/>
  <c r="AM279" s="1"/>
  <c r="AM280" s="1"/>
  <c r="AM281" s="1"/>
  <c r="AM282" s="1"/>
  <c r="AM283" s="1"/>
  <c r="AM284" s="1"/>
  <c r="AM285" s="1"/>
  <c r="AM286" s="1"/>
  <c r="AM287" s="1"/>
  <c r="AM288" s="1"/>
  <c r="AM289" s="1"/>
  <c r="AM290" s="1"/>
  <c r="AM291" s="1"/>
  <c r="AM292" s="1"/>
  <c r="AM293" s="1"/>
  <c r="AM294" s="1"/>
  <c r="AM295" s="1"/>
  <c r="AM296" s="1"/>
  <c r="AM297" s="1"/>
  <c r="AM298" s="1"/>
  <c r="AM299" s="1"/>
  <c r="AM300" s="1"/>
  <c r="AM301" s="1"/>
  <c r="AM302" s="1"/>
  <c r="AM303" s="1"/>
  <c r="AM304" s="1"/>
  <c r="AM305" s="1"/>
  <c r="AM306" s="1"/>
  <c r="AM307" s="1"/>
  <c r="AM308" s="1"/>
  <c r="AM309" s="1"/>
  <c r="AM310" s="1"/>
  <c r="AM311" s="1"/>
  <c r="AM312" s="1"/>
  <c r="AM313" s="1"/>
  <c r="AM314" s="1"/>
  <c r="AM315" s="1"/>
  <c r="AM316" s="1"/>
  <c r="AM317" s="1"/>
  <c r="AM318" s="1"/>
  <c r="AM319" s="1"/>
  <c r="AM320" s="1"/>
  <c r="AM321" s="1"/>
  <c r="AM322" s="1"/>
  <c r="AM323" s="1"/>
  <c r="AM324" s="1"/>
  <c r="AM325" s="1"/>
  <c r="AM326" s="1"/>
  <c r="AM327" s="1"/>
  <c r="AM328" s="1"/>
  <c r="AM329" s="1"/>
  <c r="AM330" s="1"/>
  <c r="AM331" s="1"/>
  <c r="AM332" s="1"/>
  <c r="AM333" s="1"/>
  <c r="AM334" s="1"/>
  <c r="AM335" s="1"/>
  <c r="AM336" s="1"/>
  <c r="AM337" s="1"/>
  <c r="AM338" s="1"/>
  <c r="AM339" s="1"/>
  <c r="AM340" s="1"/>
  <c r="AM341" s="1"/>
  <c r="AM342" s="1"/>
  <c r="AM343" s="1"/>
  <c r="AM344" s="1"/>
  <c r="AM345" s="1"/>
  <c r="AM346" s="1"/>
  <c r="AM347" s="1"/>
  <c r="AM348" s="1"/>
  <c r="AM349" s="1"/>
  <c r="AM350" s="1"/>
  <c r="AM351" s="1"/>
  <c r="AM352" s="1"/>
  <c r="AM353" s="1"/>
  <c r="AM354" s="1"/>
  <c r="AM355" s="1"/>
  <c r="AM356" s="1"/>
  <c r="AM357" s="1"/>
  <c r="AM358" s="1"/>
  <c r="AM359" s="1"/>
  <c r="AM360" s="1"/>
  <c r="AM361" s="1"/>
  <c r="AM362" s="1"/>
  <c r="AM363" s="1"/>
  <c r="AM364" s="1"/>
  <c r="AM365" s="1"/>
  <c r="AM366" s="1"/>
  <c r="AM367" s="1"/>
  <c r="AM368" s="1"/>
  <c r="AM369" s="1"/>
  <c r="AM370" s="1"/>
  <c r="AM371" s="1"/>
  <c r="AM372" s="1"/>
  <c r="AM373" s="1"/>
  <c r="D13" i="12"/>
  <c r="Y12" i="3"/>
  <c r="AJ4" s="1"/>
  <c r="AJ5" s="1"/>
  <c r="AJ6" s="1"/>
  <c r="AJ7" s="1"/>
  <c r="AJ8" s="1"/>
  <c r="AJ9" s="1"/>
  <c r="AJ10" s="1"/>
  <c r="AJ11" s="1"/>
  <c r="AJ12" s="1"/>
  <c r="AJ13" s="1"/>
  <c r="AJ14" s="1"/>
  <c r="AJ15" s="1"/>
  <c r="AJ16" s="1"/>
  <c r="AJ17" s="1"/>
  <c r="AJ18" s="1"/>
  <c r="AJ19" s="1"/>
  <c r="AJ20" s="1"/>
  <c r="AJ21" s="1"/>
  <c r="AJ22" s="1"/>
  <c r="AJ23" s="1"/>
  <c r="AJ24" s="1"/>
  <c r="AJ25" s="1"/>
  <c r="AJ26" s="1"/>
  <c r="AJ27" s="1"/>
  <c r="AJ28" s="1"/>
  <c r="AJ29" s="1"/>
  <c r="AJ30" s="1"/>
  <c r="AJ31" s="1"/>
  <c r="AJ32" s="1"/>
  <c r="AJ33" s="1"/>
  <c r="AJ34" s="1"/>
  <c r="AJ35" s="1"/>
  <c r="AJ36" s="1"/>
  <c r="AJ37" s="1"/>
  <c r="AJ38" s="1"/>
  <c r="AJ39" s="1"/>
  <c r="AJ40" s="1"/>
  <c r="AJ41" s="1"/>
  <c r="AJ42" s="1"/>
  <c r="AJ43" s="1"/>
  <c r="AJ44" s="1"/>
  <c r="AJ45" s="1"/>
  <c r="AJ46" s="1"/>
  <c r="AJ47" s="1"/>
  <c r="AJ48" s="1"/>
  <c r="AJ49" s="1"/>
  <c r="AJ50" s="1"/>
  <c r="AJ51" s="1"/>
  <c r="AJ52" s="1"/>
  <c r="AJ53" s="1"/>
  <c r="AJ54" s="1"/>
  <c r="AJ55" s="1"/>
  <c r="AJ56" s="1"/>
  <c r="AJ57" s="1"/>
  <c r="AJ58" s="1"/>
  <c r="AJ59" s="1"/>
  <c r="AJ60" s="1"/>
  <c r="AJ61" s="1"/>
  <c r="AJ62" s="1"/>
  <c r="AJ63" s="1"/>
  <c r="AJ64" s="1"/>
  <c r="AJ65" s="1"/>
  <c r="AJ66" s="1"/>
  <c r="AJ67" s="1"/>
  <c r="AJ68" s="1"/>
  <c r="AJ69" s="1"/>
  <c r="AJ70" s="1"/>
  <c r="AJ71" s="1"/>
  <c r="AJ72" s="1"/>
  <c r="AJ73" s="1"/>
  <c r="AJ74" s="1"/>
  <c r="AJ75" s="1"/>
  <c r="AJ76" s="1"/>
  <c r="AJ77" s="1"/>
  <c r="AJ78" s="1"/>
  <c r="AJ79" s="1"/>
  <c r="AJ80" s="1"/>
  <c r="AJ81" s="1"/>
  <c r="AJ82" s="1"/>
  <c r="AJ83" s="1"/>
  <c r="AJ84" s="1"/>
  <c r="AJ85" s="1"/>
  <c r="AJ86" s="1"/>
  <c r="AJ87" s="1"/>
  <c r="AJ88" s="1"/>
  <c r="AJ89" s="1"/>
  <c r="AJ90" s="1"/>
  <c r="AJ91" s="1"/>
  <c r="AJ92" s="1"/>
  <c r="AJ93" s="1"/>
  <c r="AJ94" s="1"/>
  <c r="AJ95" s="1"/>
  <c r="AJ96" s="1"/>
  <c r="AJ97" s="1"/>
  <c r="AJ98" s="1"/>
  <c r="AJ99" s="1"/>
  <c r="AJ100" s="1"/>
  <c r="AJ101" s="1"/>
  <c r="AJ102" s="1"/>
  <c r="AJ103" s="1"/>
  <c r="AJ104" s="1"/>
  <c r="AJ105" s="1"/>
  <c r="AJ106" s="1"/>
  <c r="AJ107" s="1"/>
  <c r="AJ108" s="1"/>
  <c r="AJ109" s="1"/>
  <c r="AJ110" s="1"/>
  <c r="AJ111" s="1"/>
  <c r="AJ112" s="1"/>
  <c r="AJ113" s="1"/>
  <c r="AJ114" s="1"/>
  <c r="AJ115" s="1"/>
  <c r="AJ116" s="1"/>
  <c r="AJ117" s="1"/>
  <c r="AJ118" s="1"/>
  <c r="AJ119" s="1"/>
  <c r="AJ120" s="1"/>
  <c r="AJ121" s="1"/>
  <c r="AJ122" s="1"/>
  <c r="AJ123" s="1"/>
  <c r="AJ124" s="1"/>
  <c r="AJ125" s="1"/>
  <c r="AJ126" s="1"/>
  <c r="AJ127" s="1"/>
  <c r="AJ128" s="1"/>
  <c r="AJ129" s="1"/>
  <c r="AJ130" s="1"/>
  <c r="AJ131" s="1"/>
  <c r="AJ132" s="1"/>
  <c r="AJ133" s="1"/>
  <c r="AJ134" s="1"/>
  <c r="AJ135" s="1"/>
  <c r="AJ136" s="1"/>
  <c r="AJ137" s="1"/>
  <c r="AJ138" s="1"/>
  <c r="AJ139" s="1"/>
  <c r="AJ140" s="1"/>
  <c r="AJ141" s="1"/>
  <c r="AJ142" s="1"/>
  <c r="AJ143" s="1"/>
  <c r="AJ144" s="1"/>
  <c r="AJ145" s="1"/>
  <c r="AJ146" s="1"/>
  <c r="AJ147" s="1"/>
  <c r="AJ148" s="1"/>
  <c r="AJ149" s="1"/>
  <c r="AJ150" s="1"/>
  <c r="AJ151" s="1"/>
  <c r="AJ152" s="1"/>
  <c r="AJ153" s="1"/>
  <c r="AJ154" s="1"/>
  <c r="AJ155" s="1"/>
  <c r="AJ156" s="1"/>
  <c r="AJ157" s="1"/>
  <c r="AJ158" s="1"/>
  <c r="AJ159" s="1"/>
  <c r="AJ160" s="1"/>
  <c r="AJ161" s="1"/>
  <c r="AJ162" s="1"/>
  <c r="AJ163" s="1"/>
  <c r="AJ164" s="1"/>
  <c r="AJ165" s="1"/>
  <c r="AJ166" s="1"/>
  <c r="AJ167" s="1"/>
  <c r="AJ168" s="1"/>
  <c r="AJ169" s="1"/>
  <c r="AJ170" s="1"/>
  <c r="AJ171" s="1"/>
  <c r="AJ172" s="1"/>
  <c r="AJ173" s="1"/>
  <c r="AJ174" s="1"/>
  <c r="AJ175" s="1"/>
  <c r="AJ176" s="1"/>
  <c r="AJ177" s="1"/>
  <c r="AJ178" s="1"/>
  <c r="AJ179" s="1"/>
  <c r="AJ180" s="1"/>
  <c r="AJ181" s="1"/>
  <c r="AJ182" s="1"/>
  <c r="AJ183" s="1"/>
  <c r="AJ184" s="1"/>
  <c r="AJ185" s="1"/>
  <c r="AJ186" s="1"/>
  <c r="AJ187" s="1"/>
  <c r="AJ188" s="1"/>
  <c r="AJ189" s="1"/>
  <c r="AJ190" s="1"/>
  <c r="AJ191" s="1"/>
  <c r="AJ192" s="1"/>
  <c r="AJ193" s="1"/>
  <c r="AJ194" s="1"/>
  <c r="AJ195" s="1"/>
  <c r="AJ196" s="1"/>
  <c r="AJ197" s="1"/>
  <c r="AJ198" s="1"/>
  <c r="AJ199" s="1"/>
  <c r="AJ200" s="1"/>
  <c r="AJ201" s="1"/>
  <c r="AJ202" s="1"/>
  <c r="AJ203" s="1"/>
  <c r="AJ204" s="1"/>
  <c r="AJ205" s="1"/>
  <c r="AJ206" s="1"/>
  <c r="AJ207" s="1"/>
  <c r="AJ208" s="1"/>
  <c r="AJ209" s="1"/>
  <c r="AJ210" s="1"/>
  <c r="AJ211" s="1"/>
  <c r="AJ212" s="1"/>
  <c r="AJ213" s="1"/>
  <c r="AJ214" s="1"/>
  <c r="AJ215" s="1"/>
  <c r="AJ216" s="1"/>
  <c r="AJ217" s="1"/>
  <c r="AJ218" s="1"/>
  <c r="AJ219" s="1"/>
  <c r="AJ220" s="1"/>
  <c r="AJ221" s="1"/>
  <c r="AJ222" s="1"/>
  <c r="AJ223" s="1"/>
  <c r="AJ224" s="1"/>
  <c r="AJ225" s="1"/>
  <c r="AJ226" s="1"/>
  <c r="AJ227" s="1"/>
  <c r="AJ228" s="1"/>
  <c r="AJ229" s="1"/>
  <c r="AJ230" s="1"/>
  <c r="AJ231" s="1"/>
  <c r="AJ232" s="1"/>
  <c r="AJ233" s="1"/>
  <c r="AJ234" s="1"/>
  <c r="AJ235" s="1"/>
  <c r="AJ236" s="1"/>
  <c r="AJ237" s="1"/>
  <c r="AJ238" s="1"/>
  <c r="AJ239" s="1"/>
  <c r="AJ240" s="1"/>
  <c r="AJ241" s="1"/>
  <c r="AJ242" s="1"/>
  <c r="AJ243" s="1"/>
  <c r="AJ244" s="1"/>
  <c r="AJ245" s="1"/>
  <c r="AJ246" s="1"/>
  <c r="AJ247" s="1"/>
  <c r="AJ248" s="1"/>
  <c r="AJ249" s="1"/>
  <c r="AJ250" s="1"/>
  <c r="AJ251" s="1"/>
  <c r="AJ252" s="1"/>
  <c r="AJ253" s="1"/>
  <c r="AJ254" s="1"/>
  <c r="AJ255" s="1"/>
  <c r="AJ256" s="1"/>
  <c r="AJ257" s="1"/>
  <c r="AJ258" s="1"/>
  <c r="AJ259" s="1"/>
  <c r="AJ260" s="1"/>
  <c r="AJ261" s="1"/>
  <c r="AJ262" s="1"/>
  <c r="AJ263" s="1"/>
  <c r="AJ264" s="1"/>
  <c r="AJ265" s="1"/>
  <c r="AJ266" s="1"/>
  <c r="AJ267" s="1"/>
  <c r="AJ268" s="1"/>
  <c r="AJ269" s="1"/>
  <c r="AJ270" s="1"/>
  <c r="AJ271" s="1"/>
  <c r="AJ272" s="1"/>
  <c r="AJ273" s="1"/>
  <c r="AJ274" s="1"/>
  <c r="AJ275" s="1"/>
  <c r="AJ276" s="1"/>
  <c r="AJ277" s="1"/>
  <c r="AJ278" s="1"/>
  <c r="AJ279" s="1"/>
  <c r="AJ280" s="1"/>
  <c r="AJ281" s="1"/>
  <c r="AJ282" s="1"/>
  <c r="AJ283" s="1"/>
  <c r="AJ284" s="1"/>
  <c r="AJ285" s="1"/>
  <c r="AJ286" s="1"/>
  <c r="AJ287" s="1"/>
  <c r="AJ288" s="1"/>
  <c r="AJ289" s="1"/>
  <c r="AJ290" s="1"/>
  <c r="AJ291" s="1"/>
  <c r="AJ292" s="1"/>
  <c r="AJ293" s="1"/>
  <c r="AJ294" s="1"/>
  <c r="AJ295" s="1"/>
  <c r="AJ296" s="1"/>
  <c r="AJ297" s="1"/>
  <c r="AJ298" s="1"/>
  <c r="AJ299" s="1"/>
  <c r="AJ300" s="1"/>
  <c r="AJ301" s="1"/>
  <c r="AJ302" s="1"/>
  <c r="AJ303" s="1"/>
  <c r="AJ304" s="1"/>
  <c r="AJ305" s="1"/>
  <c r="AJ306" s="1"/>
  <c r="AJ307" s="1"/>
  <c r="AJ308" s="1"/>
  <c r="AJ309" s="1"/>
  <c r="AJ310" s="1"/>
  <c r="AJ311" s="1"/>
  <c r="AJ312" s="1"/>
  <c r="AJ313" s="1"/>
  <c r="AJ314" s="1"/>
  <c r="AJ315" s="1"/>
  <c r="AJ316" s="1"/>
  <c r="AJ317" s="1"/>
  <c r="AJ318" s="1"/>
  <c r="AJ319" s="1"/>
  <c r="AJ320" s="1"/>
  <c r="AJ321" s="1"/>
  <c r="AJ322" s="1"/>
  <c r="AJ323" s="1"/>
  <c r="AJ324" s="1"/>
  <c r="AJ325" s="1"/>
  <c r="AJ326" s="1"/>
  <c r="AJ327" s="1"/>
  <c r="AJ328" s="1"/>
  <c r="AJ329" s="1"/>
  <c r="AJ330" s="1"/>
  <c r="AJ331" s="1"/>
  <c r="AJ332" s="1"/>
  <c r="AJ333" s="1"/>
  <c r="AJ334" s="1"/>
  <c r="AJ335" s="1"/>
  <c r="AJ336" s="1"/>
  <c r="AJ337" s="1"/>
  <c r="AJ338" s="1"/>
  <c r="AJ339" s="1"/>
  <c r="AJ340" s="1"/>
  <c r="AJ341" s="1"/>
  <c r="AJ342" s="1"/>
  <c r="AJ343" s="1"/>
  <c r="AJ344" s="1"/>
  <c r="AJ345" s="1"/>
  <c r="AJ346" s="1"/>
  <c r="AJ347" s="1"/>
  <c r="AJ348" s="1"/>
  <c r="AJ349" s="1"/>
  <c r="AJ350" s="1"/>
  <c r="AJ351" s="1"/>
  <c r="AJ352" s="1"/>
  <c r="AJ353" s="1"/>
  <c r="AJ354" s="1"/>
  <c r="AJ355" s="1"/>
  <c r="AJ356" s="1"/>
  <c r="AJ357" s="1"/>
  <c r="AJ358" s="1"/>
  <c r="AJ359" s="1"/>
  <c r="AJ360" s="1"/>
  <c r="AJ361" s="1"/>
  <c r="AJ362" s="1"/>
  <c r="AJ363" s="1"/>
  <c r="AJ364" s="1"/>
  <c r="AJ365" s="1"/>
  <c r="AJ366" s="1"/>
  <c r="AJ367" s="1"/>
  <c r="AJ368" s="1"/>
  <c r="AJ369" s="1"/>
  <c r="AJ370" s="1"/>
  <c r="AJ371" s="1"/>
  <c r="AJ372" s="1"/>
  <c r="AJ373" s="1"/>
  <c r="Y18"/>
  <c r="AP4" s="1"/>
  <c r="AP5" s="1"/>
  <c r="AP6" s="1"/>
  <c r="AP7" s="1"/>
  <c r="AP8" s="1"/>
  <c r="AP9" s="1"/>
  <c r="AP10" s="1"/>
  <c r="AP11" s="1"/>
  <c r="AP12" s="1"/>
  <c r="AP13" s="1"/>
  <c r="AP14" s="1"/>
  <c r="AP15" s="1"/>
  <c r="AP16" s="1"/>
  <c r="AP17" s="1"/>
  <c r="AP18" s="1"/>
  <c r="AP19" s="1"/>
  <c r="AP20" s="1"/>
  <c r="AP21" s="1"/>
  <c r="AP22" s="1"/>
  <c r="AP23" s="1"/>
  <c r="AP24" s="1"/>
  <c r="AP25" s="1"/>
  <c r="AP26" s="1"/>
  <c r="AP27" s="1"/>
  <c r="AP28" s="1"/>
  <c r="AP29" s="1"/>
  <c r="AP30" s="1"/>
  <c r="AP31" s="1"/>
  <c r="AP32" s="1"/>
  <c r="AP33" s="1"/>
  <c r="AP34" s="1"/>
  <c r="AP35" s="1"/>
  <c r="AP36" s="1"/>
  <c r="AP37" s="1"/>
  <c r="AP38" s="1"/>
  <c r="AP39" s="1"/>
  <c r="AP40" s="1"/>
  <c r="AP41" s="1"/>
  <c r="AP42" s="1"/>
  <c r="AP43" s="1"/>
  <c r="AP44" s="1"/>
  <c r="AP45" s="1"/>
  <c r="AP46" s="1"/>
  <c r="AP47" s="1"/>
  <c r="AP48" s="1"/>
  <c r="AP49" s="1"/>
  <c r="AP50" s="1"/>
  <c r="AP51" s="1"/>
  <c r="AP52" s="1"/>
  <c r="AP53" s="1"/>
  <c r="AP54" s="1"/>
  <c r="AP55" s="1"/>
  <c r="AP56" s="1"/>
  <c r="AP57" s="1"/>
  <c r="AP58" s="1"/>
  <c r="AP59" s="1"/>
  <c r="AP60" s="1"/>
  <c r="AP61" s="1"/>
  <c r="AP62" s="1"/>
  <c r="AP63" s="1"/>
  <c r="AP64" s="1"/>
  <c r="AP65" s="1"/>
  <c r="AP66" s="1"/>
  <c r="AP67" s="1"/>
  <c r="AP68" s="1"/>
  <c r="AP69" s="1"/>
  <c r="AP70" s="1"/>
  <c r="AP71" s="1"/>
  <c r="AP72" s="1"/>
  <c r="AP73" s="1"/>
  <c r="AP74" s="1"/>
  <c r="AP75" s="1"/>
  <c r="AP76" s="1"/>
  <c r="AP77" s="1"/>
  <c r="AP78" s="1"/>
  <c r="AP79" s="1"/>
  <c r="AP80" s="1"/>
  <c r="AP81" s="1"/>
  <c r="AP82" s="1"/>
  <c r="AP83" s="1"/>
  <c r="AP84" s="1"/>
  <c r="AP85" s="1"/>
  <c r="AP86" s="1"/>
  <c r="AP87" s="1"/>
  <c r="AP88" s="1"/>
  <c r="AP89" s="1"/>
  <c r="AP90" s="1"/>
  <c r="AP91" s="1"/>
  <c r="AP92" s="1"/>
  <c r="AP93" s="1"/>
  <c r="AP94" s="1"/>
  <c r="AP95" s="1"/>
  <c r="AP96" s="1"/>
  <c r="AP97" s="1"/>
  <c r="AP98" s="1"/>
  <c r="AP99" s="1"/>
  <c r="AP100" s="1"/>
  <c r="AP101" s="1"/>
  <c r="AP102" s="1"/>
  <c r="AP103" s="1"/>
  <c r="AP104" s="1"/>
  <c r="AP105" s="1"/>
  <c r="AP106" s="1"/>
  <c r="AP107" s="1"/>
  <c r="AP108" s="1"/>
  <c r="AP109" s="1"/>
  <c r="AP110" s="1"/>
  <c r="AP111" s="1"/>
  <c r="AP112" s="1"/>
  <c r="AP113" s="1"/>
  <c r="AP114" s="1"/>
  <c r="AP115" s="1"/>
  <c r="AP116" s="1"/>
  <c r="AP117" s="1"/>
  <c r="AP118" s="1"/>
  <c r="AP119" s="1"/>
  <c r="AP120" s="1"/>
  <c r="AP121" s="1"/>
  <c r="AP122" s="1"/>
  <c r="AP123" s="1"/>
  <c r="AP124" s="1"/>
  <c r="AP125" s="1"/>
  <c r="AP126" s="1"/>
  <c r="AP127" s="1"/>
  <c r="AP128" s="1"/>
  <c r="AP129" s="1"/>
  <c r="AP130" s="1"/>
  <c r="AP131" s="1"/>
  <c r="AP132" s="1"/>
  <c r="AP133" s="1"/>
  <c r="AP134" s="1"/>
  <c r="AP135" s="1"/>
  <c r="AP136" s="1"/>
  <c r="AP137" s="1"/>
  <c r="AP138" s="1"/>
  <c r="AP139" s="1"/>
  <c r="AP140" s="1"/>
  <c r="AP141" s="1"/>
  <c r="AP142" s="1"/>
  <c r="AP143" s="1"/>
  <c r="AP144" s="1"/>
  <c r="AP145" s="1"/>
  <c r="AP146" s="1"/>
  <c r="AP147" s="1"/>
  <c r="AP148" s="1"/>
  <c r="AP149" s="1"/>
  <c r="AP150" s="1"/>
  <c r="AP151" s="1"/>
  <c r="AP152" s="1"/>
  <c r="AP153" s="1"/>
  <c r="AP154" s="1"/>
  <c r="AP155" s="1"/>
  <c r="AP156" s="1"/>
  <c r="AP157" s="1"/>
  <c r="AP158" s="1"/>
  <c r="AP159" s="1"/>
  <c r="AP160" s="1"/>
  <c r="AP161" s="1"/>
  <c r="AP162" s="1"/>
  <c r="AP163" s="1"/>
  <c r="AP164" s="1"/>
  <c r="AP165" s="1"/>
  <c r="AP166" s="1"/>
  <c r="AP167" s="1"/>
  <c r="AP168" s="1"/>
  <c r="AP169" s="1"/>
  <c r="AP170" s="1"/>
  <c r="AP171" s="1"/>
  <c r="AP172" s="1"/>
  <c r="AP173" s="1"/>
  <c r="AP174" s="1"/>
  <c r="AP175" s="1"/>
  <c r="AP176" s="1"/>
  <c r="AP177" s="1"/>
  <c r="AP178" s="1"/>
  <c r="AP179" s="1"/>
  <c r="AP180" s="1"/>
  <c r="AP181" s="1"/>
  <c r="AP182" s="1"/>
  <c r="AP183" s="1"/>
  <c r="AP184" s="1"/>
  <c r="AP185" s="1"/>
  <c r="AP186" s="1"/>
  <c r="AP187" s="1"/>
  <c r="AP188" s="1"/>
  <c r="AP189" s="1"/>
  <c r="AP190" s="1"/>
  <c r="AP191" s="1"/>
  <c r="AP192" s="1"/>
  <c r="AP193" s="1"/>
  <c r="AP194" s="1"/>
  <c r="AP195" s="1"/>
  <c r="AP196" s="1"/>
  <c r="AP197" s="1"/>
  <c r="AP198" s="1"/>
  <c r="AP199" s="1"/>
  <c r="AP200" s="1"/>
  <c r="AP201" s="1"/>
  <c r="AP202" s="1"/>
  <c r="AP203" s="1"/>
  <c r="AP204" s="1"/>
  <c r="AP205" s="1"/>
  <c r="AP206" s="1"/>
  <c r="AP207" s="1"/>
  <c r="AP208" s="1"/>
  <c r="AP209" s="1"/>
  <c r="AP210" s="1"/>
  <c r="AP211" s="1"/>
  <c r="AP212" s="1"/>
  <c r="AP213" s="1"/>
  <c r="AP214" s="1"/>
  <c r="AP215" s="1"/>
  <c r="AP216" s="1"/>
  <c r="AP217" s="1"/>
  <c r="AP218" s="1"/>
  <c r="AP219" s="1"/>
  <c r="AP220" s="1"/>
  <c r="AP221" s="1"/>
  <c r="AP222" s="1"/>
  <c r="AP223" s="1"/>
  <c r="AP224" s="1"/>
  <c r="AP225" s="1"/>
  <c r="AP226" s="1"/>
  <c r="AP227" s="1"/>
  <c r="AP228" s="1"/>
  <c r="AP229" s="1"/>
  <c r="AP230" s="1"/>
  <c r="AP231" s="1"/>
  <c r="AP232" s="1"/>
  <c r="AP233" s="1"/>
  <c r="AP234" s="1"/>
  <c r="AP235" s="1"/>
  <c r="AP236" s="1"/>
  <c r="AP237" s="1"/>
  <c r="AP238" s="1"/>
  <c r="AP239" s="1"/>
  <c r="AP240" s="1"/>
  <c r="AP241" s="1"/>
  <c r="AP242" s="1"/>
  <c r="AP243" s="1"/>
  <c r="AP244" s="1"/>
  <c r="AP245" s="1"/>
  <c r="AP246" s="1"/>
  <c r="AP247" s="1"/>
  <c r="AP248" s="1"/>
  <c r="AP249" s="1"/>
  <c r="AP250" s="1"/>
  <c r="AP251" s="1"/>
  <c r="AP252" s="1"/>
  <c r="AP253" s="1"/>
  <c r="AP254" s="1"/>
  <c r="AP255" s="1"/>
  <c r="AP256" s="1"/>
  <c r="AP257" s="1"/>
  <c r="AP258" s="1"/>
  <c r="AP259" s="1"/>
  <c r="AP260" s="1"/>
  <c r="AP261" s="1"/>
  <c r="AP262" s="1"/>
  <c r="AP263" s="1"/>
  <c r="AP264" s="1"/>
  <c r="AP265" s="1"/>
  <c r="AP266" s="1"/>
  <c r="AP267" s="1"/>
  <c r="AP268" s="1"/>
  <c r="AP269" s="1"/>
  <c r="AP270" s="1"/>
  <c r="AP271" s="1"/>
  <c r="AP272" s="1"/>
  <c r="AP273" s="1"/>
  <c r="AP274" s="1"/>
  <c r="AP275" s="1"/>
  <c r="AP276" s="1"/>
  <c r="AP277" s="1"/>
  <c r="AP278" s="1"/>
  <c r="AP279" s="1"/>
  <c r="AP280" s="1"/>
  <c r="AP281" s="1"/>
  <c r="AP282" s="1"/>
  <c r="AP283" s="1"/>
  <c r="AP284" s="1"/>
  <c r="AP285" s="1"/>
  <c r="AP286" s="1"/>
  <c r="AP287" s="1"/>
  <c r="AP288" s="1"/>
  <c r="AP289" s="1"/>
  <c r="AP290" s="1"/>
  <c r="AP291" s="1"/>
  <c r="AP292" s="1"/>
  <c r="AP293" s="1"/>
  <c r="AP294" s="1"/>
  <c r="AP295" s="1"/>
  <c r="AP296" s="1"/>
  <c r="AP297" s="1"/>
  <c r="AP298" s="1"/>
  <c r="AP299" s="1"/>
  <c r="AP300" s="1"/>
  <c r="AP301" s="1"/>
  <c r="AP302" s="1"/>
  <c r="AP303" s="1"/>
  <c r="AP304" s="1"/>
  <c r="AP305" s="1"/>
  <c r="AP306" s="1"/>
  <c r="AP307" s="1"/>
  <c r="AP308" s="1"/>
  <c r="AP309" s="1"/>
  <c r="AP310" s="1"/>
  <c r="AP311" s="1"/>
  <c r="AP312" s="1"/>
  <c r="AP313" s="1"/>
  <c r="AP314" s="1"/>
  <c r="AP315" s="1"/>
  <c r="AP316" s="1"/>
  <c r="AP317" s="1"/>
  <c r="AP318" s="1"/>
  <c r="AP319" s="1"/>
  <c r="AP320" s="1"/>
  <c r="AP321" s="1"/>
  <c r="AP322" s="1"/>
  <c r="AP323" s="1"/>
  <c r="AP324" s="1"/>
  <c r="AP325" s="1"/>
  <c r="AP326" s="1"/>
  <c r="AP327" s="1"/>
  <c r="AP328" s="1"/>
  <c r="AP329" s="1"/>
  <c r="AP330" s="1"/>
  <c r="AP331" s="1"/>
  <c r="AP332" s="1"/>
  <c r="AP333" s="1"/>
  <c r="AP334" s="1"/>
  <c r="AP335" s="1"/>
  <c r="AP336" s="1"/>
  <c r="AP337" s="1"/>
  <c r="AP338" s="1"/>
  <c r="AP339" s="1"/>
  <c r="AP340" s="1"/>
  <c r="AP341" s="1"/>
  <c r="AP342" s="1"/>
  <c r="AP343" s="1"/>
  <c r="AP344" s="1"/>
  <c r="AP345" s="1"/>
  <c r="AP346" s="1"/>
  <c r="AP347" s="1"/>
  <c r="AP348" s="1"/>
  <c r="AP349" s="1"/>
  <c r="AP350" s="1"/>
  <c r="AP351" s="1"/>
  <c r="AP352" s="1"/>
  <c r="AP353" s="1"/>
  <c r="AP354" s="1"/>
  <c r="AP355" s="1"/>
  <c r="AP356" s="1"/>
  <c r="AP357" s="1"/>
  <c r="AP358" s="1"/>
  <c r="AP359" s="1"/>
  <c r="AP360" s="1"/>
  <c r="AP361" s="1"/>
  <c r="AP362" s="1"/>
  <c r="AP363" s="1"/>
  <c r="AP364" s="1"/>
  <c r="AP365" s="1"/>
  <c r="AP366" s="1"/>
  <c r="AP367" s="1"/>
  <c r="AP368" s="1"/>
  <c r="AP369" s="1"/>
  <c r="AP370" s="1"/>
  <c r="AP371" s="1"/>
  <c r="AP372" s="1"/>
  <c r="AP373" s="1"/>
  <c r="Y9"/>
  <c r="AG4" s="1"/>
  <c r="AG5" s="1"/>
  <c r="AG6" s="1"/>
  <c r="AG7" s="1"/>
  <c r="AG8" s="1"/>
  <c r="AG9" s="1"/>
  <c r="AG10" s="1"/>
  <c r="AG11" s="1"/>
  <c r="AG12" s="1"/>
  <c r="AG13" s="1"/>
  <c r="AG14" s="1"/>
  <c r="AG15" s="1"/>
  <c r="AG16" s="1"/>
  <c r="AG17" s="1"/>
  <c r="AG18" s="1"/>
  <c r="AG19" s="1"/>
  <c r="AG20" s="1"/>
  <c r="AG21" s="1"/>
  <c r="AG22" s="1"/>
  <c r="AG23" s="1"/>
  <c r="AG24" s="1"/>
  <c r="AG25" s="1"/>
  <c r="AG26" s="1"/>
  <c r="AG27" s="1"/>
  <c r="AG28" s="1"/>
  <c r="AG29" s="1"/>
  <c r="AG30" s="1"/>
  <c r="AG31" s="1"/>
  <c r="AG32" s="1"/>
  <c r="AG33" s="1"/>
  <c r="AG34" s="1"/>
  <c r="AG35" s="1"/>
  <c r="AG36" s="1"/>
  <c r="AG37" s="1"/>
  <c r="AG38" s="1"/>
  <c r="AG39" s="1"/>
  <c r="AG40" s="1"/>
  <c r="AG41" s="1"/>
  <c r="AG42" s="1"/>
  <c r="AG43" s="1"/>
  <c r="AG44" s="1"/>
  <c r="AG45" s="1"/>
  <c r="AG46" s="1"/>
  <c r="AG47" s="1"/>
  <c r="AG48" s="1"/>
  <c r="AG49" s="1"/>
  <c r="AG50" s="1"/>
  <c r="AG51" s="1"/>
  <c r="AG52" s="1"/>
  <c r="AG53" s="1"/>
  <c r="AG54" s="1"/>
  <c r="AG55" s="1"/>
  <c r="AG56" s="1"/>
  <c r="AG57" s="1"/>
  <c r="AG58" s="1"/>
  <c r="AG59" s="1"/>
  <c r="AG60" s="1"/>
  <c r="AG61" s="1"/>
  <c r="AG62" s="1"/>
  <c r="AG63" s="1"/>
  <c r="AG64" s="1"/>
  <c r="AG65" s="1"/>
  <c r="AG66" s="1"/>
  <c r="AG67" s="1"/>
  <c r="AG68" s="1"/>
  <c r="AG69" s="1"/>
  <c r="AG70" s="1"/>
  <c r="AG71" s="1"/>
  <c r="AG72" s="1"/>
  <c r="AG73" s="1"/>
  <c r="AG74" s="1"/>
  <c r="AG75" s="1"/>
  <c r="AG76" s="1"/>
  <c r="AG77" s="1"/>
  <c r="AG78" s="1"/>
  <c r="AG79" s="1"/>
  <c r="AG80" s="1"/>
  <c r="AG81" s="1"/>
  <c r="AG82" s="1"/>
  <c r="AG83" s="1"/>
  <c r="AG84" s="1"/>
  <c r="AG85" s="1"/>
  <c r="AG86" s="1"/>
  <c r="AG87" s="1"/>
  <c r="AG88" s="1"/>
  <c r="AG89" s="1"/>
  <c r="AG90" s="1"/>
  <c r="AG91" s="1"/>
  <c r="AG92" s="1"/>
  <c r="AG93" s="1"/>
  <c r="AG94" s="1"/>
  <c r="AG95" s="1"/>
  <c r="AG96" s="1"/>
  <c r="AG97" s="1"/>
  <c r="AG98" s="1"/>
  <c r="AG99" s="1"/>
  <c r="AG100" s="1"/>
  <c r="AG101" s="1"/>
  <c r="AG102" s="1"/>
  <c r="AG103" s="1"/>
  <c r="AG104" s="1"/>
  <c r="AG105" s="1"/>
  <c r="AG106" s="1"/>
  <c r="AG107" s="1"/>
  <c r="AG108" s="1"/>
  <c r="AG109" s="1"/>
  <c r="AG110" s="1"/>
  <c r="AG111" s="1"/>
  <c r="AG112" s="1"/>
  <c r="AG113" s="1"/>
  <c r="AG114" s="1"/>
  <c r="AG115" s="1"/>
  <c r="AG116" s="1"/>
  <c r="AG117" s="1"/>
  <c r="AG118" s="1"/>
  <c r="AG119" s="1"/>
  <c r="AG120" s="1"/>
  <c r="AG121" s="1"/>
  <c r="AG122" s="1"/>
  <c r="AG123" s="1"/>
  <c r="AG124" s="1"/>
  <c r="AG125" s="1"/>
  <c r="AG126" s="1"/>
  <c r="AG127" s="1"/>
  <c r="AG128" s="1"/>
  <c r="AG129" s="1"/>
  <c r="AG130" s="1"/>
  <c r="AG131" s="1"/>
  <c r="AG132" s="1"/>
  <c r="AG133" s="1"/>
  <c r="AG134" s="1"/>
  <c r="AG135" s="1"/>
  <c r="AG136" s="1"/>
  <c r="AG137" s="1"/>
  <c r="AG138" s="1"/>
  <c r="AG139" s="1"/>
  <c r="AG140" s="1"/>
  <c r="AG141" s="1"/>
  <c r="AG142" s="1"/>
  <c r="AG143" s="1"/>
  <c r="AG144" s="1"/>
  <c r="AG145" s="1"/>
  <c r="AG146" s="1"/>
  <c r="AG147" s="1"/>
  <c r="AG148" s="1"/>
  <c r="AG149" s="1"/>
  <c r="AG150" s="1"/>
  <c r="AG151" s="1"/>
  <c r="AG152" s="1"/>
  <c r="AG153" s="1"/>
  <c r="AG154" s="1"/>
  <c r="AG155" s="1"/>
  <c r="AG156" s="1"/>
  <c r="AG157" s="1"/>
  <c r="AG158" s="1"/>
  <c r="AG159" s="1"/>
  <c r="AG160" s="1"/>
  <c r="AG161" s="1"/>
  <c r="AG162" s="1"/>
  <c r="AG163" s="1"/>
  <c r="AG164" s="1"/>
  <c r="AG165" s="1"/>
  <c r="AG166" s="1"/>
  <c r="AG167" s="1"/>
  <c r="AG168" s="1"/>
  <c r="AG169" s="1"/>
  <c r="AG170" s="1"/>
  <c r="AG171" s="1"/>
  <c r="AG172" s="1"/>
  <c r="AG173" s="1"/>
  <c r="AG174" s="1"/>
  <c r="AG175" s="1"/>
  <c r="AG176" s="1"/>
  <c r="AG177" s="1"/>
  <c r="AG178" s="1"/>
  <c r="AG179" s="1"/>
  <c r="AG180" s="1"/>
  <c r="AG181" s="1"/>
  <c r="AG182" s="1"/>
  <c r="AG183" s="1"/>
  <c r="AG184" s="1"/>
  <c r="AG185" s="1"/>
  <c r="AG186" s="1"/>
  <c r="AG187" s="1"/>
  <c r="AG188" s="1"/>
  <c r="AG189" s="1"/>
  <c r="AG190" s="1"/>
  <c r="AG191" s="1"/>
  <c r="AG192" s="1"/>
  <c r="AG193" s="1"/>
  <c r="AG194" s="1"/>
  <c r="AG195" s="1"/>
  <c r="AG196" s="1"/>
  <c r="AG197" s="1"/>
  <c r="AG198" s="1"/>
  <c r="AG199" s="1"/>
  <c r="AG200" s="1"/>
  <c r="AG201" s="1"/>
  <c r="AG202" s="1"/>
  <c r="AG203" s="1"/>
  <c r="AG204" s="1"/>
  <c r="AG205" s="1"/>
  <c r="AG206" s="1"/>
  <c r="AG207" s="1"/>
  <c r="AG208" s="1"/>
  <c r="AG209" s="1"/>
  <c r="AG210" s="1"/>
  <c r="AG211" s="1"/>
  <c r="AG212" s="1"/>
  <c r="AG213" s="1"/>
  <c r="AG214" s="1"/>
  <c r="AG215" s="1"/>
  <c r="AG216" s="1"/>
  <c r="AG217" s="1"/>
  <c r="AG218" s="1"/>
  <c r="AG219" s="1"/>
  <c r="AG220" s="1"/>
  <c r="AG221" s="1"/>
  <c r="AG222" s="1"/>
  <c r="AG223" s="1"/>
  <c r="AG224" s="1"/>
  <c r="AG225" s="1"/>
  <c r="AG226" s="1"/>
  <c r="AG227" s="1"/>
  <c r="AG228" s="1"/>
  <c r="AG229" s="1"/>
  <c r="AG230" s="1"/>
  <c r="AG231" s="1"/>
  <c r="AG232" s="1"/>
  <c r="AG233" s="1"/>
  <c r="AG234" s="1"/>
  <c r="AG235" s="1"/>
  <c r="AG236" s="1"/>
  <c r="AG237" s="1"/>
  <c r="AG238" s="1"/>
  <c r="AG239" s="1"/>
  <c r="AG240" s="1"/>
  <c r="AG241" s="1"/>
  <c r="AG242" s="1"/>
  <c r="AG243" s="1"/>
  <c r="AG244" s="1"/>
  <c r="AG245" s="1"/>
  <c r="AG246" s="1"/>
  <c r="AG247" s="1"/>
  <c r="AG248" s="1"/>
  <c r="AG249" s="1"/>
  <c r="AG250" s="1"/>
  <c r="AG251" s="1"/>
  <c r="AG252" s="1"/>
  <c r="AG253" s="1"/>
  <c r="AG254" s="1"/>
  <c r="AG255" s="1"/>
  <c r="AG256" s="1"/>
  <c r="AG257" s="1"/>
  <c r="AG258" s="1"/>
  <c r="AG259" s="1"/>
  <c r="AG260" s="1"/>
  <c r="AG261" s="1"/>
  <c r="AG262" s="1"/>
  <c r="AG263" s="1"/>
  <c r="AG264" s="1"/>
  <c r="AG265" s="1"/>
  <c r="AG266" s="1"/>
  <c r="AG267" s="1"/>
  <c r="AG268" s="1"/>
  <c r="AG269" s="1"/>
  <c r="AG270" s="1"/>
  <c r="AG271" s="1"/>
  <c r="AG272" s="1"/>
  <c r="AG273" s="1"/>
  <c r="AG274" s="1"/>
  <c r="AG275" s="1"/>
  <c r="AG276" s="1"/>
  <c r="AG277" s="1"/>
  <c r="AG278" s="1"/>
  <c r="AG279" s="1"/>
  <c r="AG280" s="1"/>
  <c r="AG281" s="1"/>
  <c r="AG282" s="1"/>
  <c r="AG283" s="1"/>
  <c r="AG284" s="1"/>
  <c r="AG285" s="1"/>
  <c r="AG286" s="1"/>
  <c r="AG287" s="1"/>
  <c r="AG288" s="1"/>
  <c r="AG289" s="1"/>
  <c r="AG290" s="1"/>
  <c r="AG291" s="1"/>
  <c r="AG292" s="1"/>
  <c r="AG293" s="1"/>
  <c r="AG294" s="1"/>
  <c r="AG295" s="1"/>
  <c r="AG296" s="1"/>
  <c r="AG297" s="1"/>
  <c r="AG298" s="1"/>
  <c r="AG299" s="1"/>
  <c r="AG300" s="1"/>
  <c r="AG301" s="1"/>
  <c r="AG302" s="1"/>
  <c r="AG303" s="1"/>
  <c r="AG304" s="1"/>
  <c r="AG305" s="1"/>
  <c r="AG306" s="1"/>
  <c r="AG307" s="1"/>
  <c r="AG308" s="1"/>
  <c r="AG309" s="1"/>
  <c r="AG310" s="1"/>
  <c r="AG311" s="1"/>
  <c r="AG312" s="1"/>
  <c r="AG313" s="1"/>
  <c r="AG314" s="1"/>
  <c r="AG315" s="1"/>
  <c r="AG316" s="1"/>
  <c r="AG317" s="1"/>
  <c r="AG318" s="1"/>
  <c r="AG319" s="1"/>
  <c r="AG320" s="1"/>
  <c r="AG321" s="1"/>
  <c r="AG322" s="1"/>
  <c r="AG323" s="1"/>
  <c r="AG324" s="1"/>
  <c r="AG325" s="1"/>
  <c r="AG326" s="1"/>
  <c r="AG327" s="1"/>
  <c r="AG328" s="1"/>
  <c r="AG329" s="1"/>
  <c r="AG330" s="1"/>
  <c r="AG331" s="1"/>
  <c r="AG332" s="1"/>
  <c r="AG333" s="1"/>
  <c r="AG334" s="1"/>
  <c r="AG335" s="1"/>
  <c r="AG336" s="1"/>
  <c r="AG337" s="1"/>
  <c r="AG338" s="1"/>
  <c r="AG339" s="1"/>
  <c r="AG340" s="1"/>
  <c r="AG341" s="1"/>
  <c r="AG342" s="1"/>
  <c r="AG343" s="1"/>
  <c r="AG344" s="1"/>
  <c r="AG345" s="1"/>
  <c r="AG346" s="1"/>
  <c r="AG347" s="1"/>
  <c r="AG348" s="1"/>
  <c r="AG349" s="1"/>
  <c r="AG350" s="1"/>
  <c r="AG351" s="1"/>
  <c r="AG352" s="1"/>
  <c r="AG353" s="1"/>
  <c r="AG354" s="1"/>
  <c r="AG355" s="1"/>
  <c r="AG356" s="1"/>
  <c r="AG357" s="1"/>
  <c r="AG358" s="1"/>
  <c r="AG359" s="1"/>
  <c r="AG360" s="1"/>
  <c r="AG361" s="1"/>
  <c r="AG362" s="1"/>
  <c r="AG363" s="1"/>
  <c r="AG364" s="1"/>
  <c r="AG365" s="1"/>
  <c r="AG366" s="1"/>
  <c r="AG367" s="1"/>
  <c r="AG368" s="1"/>
  <c r="AG369" s="1"/>
  <c r="AG370" s="1"/>
  <c r="AG371" s="1"/>
  <c r="AG372" s="1"/>
  <c r="AG373" s="1"/>
  <c r="U23" i="21"/>
  <c r="S24"/>
  <c r="B37" i="19"/>
  <c r="Y13" i="3"/>
  <c r="AK4" s="1"/>
  <c r="AK5" s="1"/>
  <c r="AK6" s="1"/>
  <c r="AK7" s="1"/>
  <c r="AK8" s="1"/>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AK84" s="1"/>
  <c r="AK85" s="1"/>
  <c r="AK86" s="1"/>
  <c r="AK87" s="1"/>
  <c r="AK88" s="1"/>
  <c r="AK89" s="1"/>
  <c r="AK90" s="1"/>
  <c r="AK91" s="1"/>
  <c r="AK92" s="1"/>
  <c r="AK93" s="1"/>
  <c r="AK94" s="1"/>
  <c r="AK95" s="1"/>
  <c r="AK96" s="1"/>
  <c r="AK97" s="1"/>
  <c r="AK98" s="1"/>
  <c r="AK99" s="1"/>
  <c r="AK100" s="1"/>
  <c r="AK101" s="1"/>
  <c r="AK102" s="1"/>
  <c r="AK103" s="1"/>
  <c r="AK104" s="1"/>
  <c r="AK105" s="1"/>
  <c r="AK106" s="1"/>
  <c r="AK107" s="1"/>
  <c r="AK108" s="1"/>
  <c r="AK109" s="1"/>
  <c r="AK110" s="1"/>
  <c r="AK111" s="1"/>
  <c r="AK112" s="1"/>
  <c r="AK113" s="1"/>
  <c r="AK114" s="1"/>
  <c r="AK115" s="1"/>
  <c r="AK116" s="1"/>
  <c r="AK117" s="1"/>
  <c r="AK118" s="1"/>
  <c r="AK119" s="1"/>
  <c r="AK120" s="1"/>
  <c r="AK121" s="1"/>
  <c r="AK122" s="1"/>
  <c r="AK123" s="1"/>
  <c r="AK124" s="1"/>
  <c r="AK125" s="1"/>
  <c r="AK126" s="1"/>
  <c r="AK127" s="1"/>
  <c r="AK128" s="1"/>
  <c r="AK129" s="1"/>
  <c r="AK130" s="1"/>
  <c r="AK131" s="1"/>
  <c r="AK132" s="1"/>
  <c r="AK133" s="1"/>
  <c r="AK134" s="1"/>
  <c r="AK135" s="1"/>
  <c r="AK136" s="1"/>
  <c r="AK137" s="1"/>
  <c r="AK138" s="1"/>
  <c r="AK139" s="1"/>
  <c r="AK140" s="1"/>
  <c r="AK141" s="1"/>
  <c r="AK142" s="1"/>
  <c r="AK143" s="1"/>
  <c r="AK144" s="1"/>
  <c r="AK145" s="1"/>
  <c r="AK146" s="1"/>
  <c r="AK147" s="1"/>
  <c r="AK148" s="1"/>
  <c r="AK149" s="1"/>
  <c r="AK150" s="1"/>
  <c r="AK151" s="1"/>
  <c r="AK152" s="1"/>
  <c r="AK153" s="1"/>
  <c r="AK154" s="1"/>
  <c r="AK155" s="1"/>
  <c r="AK156" s="1"/>
  <c r="AK157" s="1"/>
  <c r="AK158" s="1"/>
  <c r="AK159" s="1"/>
  <c r="AK160" s="1"/>
  <c r="AK161" s="1"/>
  <c r="AK162" s="1"/>
  <c r="AK163" s="1"/>
  <c r="AK164" s="1"/>
  <c r="AK165" s="1"/>
  <c r="AK166" s="1"/>
  <c r="AK167" s="1"/>
  <c r="AK168" s="1"/>
  <c r="AK169" s="1"/>
  <c r="AK170" s="1"/>
  <c r="AK171" s="1"/>
  <c r="AK172" s="1"/>
  <c r="AK173" s="1"/>
  <c r="AK174" s="1"/>
  <c r="AK175" s="1"/>
  <c r="AK176" s="1"/>
  <c r="AK177" s="1"/>
  <c r="AK178" s="1"/>
  <c r="AK179" s="1"/>
  <c r="AK180" s="1"/>
  <c r="AK181" s="1"/>
  <c r="AK182" s="1"/>
  <c r="AK183" s="1"/>
  <c r="AK184" s="1"/>
  <c r="AK185" s="1"/>
  <c r="AK186" s="1"/>
  <c r="AK187" s="1"/>
  <c r="AK188" s="1"/>
  <c r="AK189" s="1"/>
  <c r="AK190" s="1"/>
  <c r="AK191" s="1"/>
  <c r="AK192" s="1"/>
  <c r="AK193" s="1"/>
  <c r="AK194" s="1"/>
  <c r="AK195" s="1"/>
  <c r="AK196" s="1"/>
  <c r="AK197" s="1"/>
  <c r="AK198" s="1"/>
  <c r="AK199" s="1"/>
  <c r="AK200" s="1"/>
  <c r="AK201" s="1"/>
  <c r="AK202" s="1"/>
  <c r="AK203" s="1"/>
  <c r="AK204" s="1"/>
  <c r="AK205" s="1"/>
  <c r="AK206" s="1"/>
  <c r="AK207" s="1"/>
  <c r="AK208" s="1"/>
  <c r="AK209" s="1"/>
  <c r="AK210" s="1"/>
  <c r="AK211" s="1"/>
  <c r="AK212" s="1"/>
  <c r="AK213" s="1"/>
  <c r="AK214" s="1"/>
  <c r="AK215" s="1"/>
  <c r="AK216" s="1"/>
  <c r="AK217" s="1"/>
  <c r="AK218" s="1"/>
  <c r="AK219" s="1"/>
  <c r="AK220" s="1"/>
  <c r="AK221" s="1"/>
  <c r="AK222" s="1"/>
  <c r="AK223" s="1"/>
  <c r="AK224" s="1"/>
  <c r="AK225" s="1"/>
  <c r="AK226" s="1"/>
  <c r="AK227" s="1"/>
  <c r="AK228" s="1"/>
  <c r="AK229" s="1"/>
  <c r="AK230" s="1"/>
  <c r="AK231" s="1"/>
  <c r="AK232" s="1"/>
  <c r="AK233" s="1"/>
  <c r="AK234" s="1"/>
  <c r="AK235" s="1"/>
  <c r="AK236" s="1"/>
  <c r="AK237" s="1"/>
  <c r="AK238" s="1"/>
  <c r="AK239" s="1"/>
  <c r="AK240" s="1"/>
  <c r="AK241" s="1"/>
  <c r="AK242" s="1"/>
  <c r="AK243" s="1"/>
  <c r="AK244" s="1"/>
  <c r="AK245" s="1"/>
  <c r="AK246" s="1"/>
  <c r="AK247" s="1"/>
  <c r="AK248" s="1"/>
  <c r="AK249" s="1"/>
  <c r="AK250" s="1"/>
  <c r="AK251" s="1"/>
  <c r="AK252" s="1"/>
  <c r="AK253" s="1"/>
  <c r="AK254" s="1"/>
  <c r="AK255" s="1"/>
  <c r="AK256" s="1"/>
  <c r="AK257" s="1"/>
  <c r="AK258" s="1"/>
  <c r="AK259" s="1"/>
  <c r="AK260" s="1"/>
  <c r="AK261" s="1"/>
  <c r="AK262" s="1"/>
  <c r="AK263" s="1"/>
  <c r="AK264" s="1"/>
  <c r="AK265" s="1"/>
  <c r="AK266" s="1"/>
  <c r="AK267" s="1"/>
  <c r="AK268" s="1"/>
  <c r="AK269" s="1"/>
  <c r="AK270" s="1"/>
  <c r="AK271" s="1"/>
  <c r="AK272" s="1"/>
  <c r="AK273" s="1"/>
  <c r="AK274" s="1"/>
  <c r="AK275" s="1"/>
  <c r="AK276" s="1"/>
  <c r="AK277" s="1"/>
  <c r="AK278" s="1"/>
  <c r="AK279" s="1"/>
  <c r="AK280" s="1"/>
  <c r="AK281" s="1"/>
  <c r="AK282" s="1"/>
  <c r="AK283" s="1"/>
  <c r="AK284" s="1"/>
  <c r="AK285" s="1"/>
  <c r="AK286" s="1"/>
  <c r="AK287" s="1"/>
  <c r="AK288" s="1"/>
  <c r="AK289" s="1"/>
  <c r="AK290" s="1"/>
  <c r="AK291" s="1"/>
  <c r="AK292" s="1"/>
  <c r="AK293" s="1"/>
  <c r="AK294" s="1"/>
  <c r="AK295" s="1"/>
  <c r="AK296" s="1"/>
  <c r="AK297" s="1"/>
  <c r="AK298" s="1"/>
  <c r="AK299" s="1"/>
  <c r="AK300" s="1"/>
  <c r="AK301" s="1"/>
  <c r="AK302" s="1"/>
  <c r="AK303" s="1"/>
  <c r="AK304" s="1"/>
  <c r="AK305" s="1"/>
  <c r="AK306" s="1"/>
  <c r="AK307" s="1"/>
  <c r="AK308" s="1"/>
  <c r="AK309" s="1"/>
  <c r="AK310" s="1"/>
  <c r="AK311" s="1"/>
  <c r="AK312" s="1"/>
  <c r="AK313" s="1"/>
  <c r="AK314" s="1"/>
  <c r="AK315" s="1"/>
  <c r="AK316" s="1"/>
  <c r="AK317" s="1"/>
  <c r="AK318" s="1"/>
  <c r="AK319" s="1"/>
  <c r="AK320" s="1"/>
  <c r="AK321" s="1"/>
  <c r="AK322" s="1"/>
  <c r="AK323" s="1"/>
  <c r="AK324" s="1"/>
  <c r="AK325" s="1"/>
  <c r="AK326" s="1"/>
  <c r="AK327" s="1"/>
  <c r="AK328" s="1"/>
  <c r="AK329" s="1"/>
  <c r="AK330" s="1"/>
  <c r="AK331" s="1"/>
  <c r="AK332" s="1"/>
  <c r="AK333" s="1"/>
  <c r="AK334" s="1"/>
  <c r="AK335" s="1"/>
  <c r="AK336" s="1"/>
  <c r="AK337" s="1"/>
  <c r="AK338" s="1"/>
  <c r="AK339" s="1"/>
  <c r="AK340" s="1"/>
  <c r="AK341" s="1"/>
  <c r="AK342" s="1"/>
  <c r="AK343" s="1"/>
  <c r="AK344" s="1"/>
  <c r="AK345" s="1"/>
  <c r="AK346" s="1"/>
  <c r="AK347" s="1"/>
  <c r="AK348" s="1"/>
  <c r="AK349" s="1"/>
  <c r="AK350" s="1"/>
  <c r="AK351" s="1"/>
  <c r="AK352" s="1"/>
  <c r="AK353" s="1"/>
  <c r="AK354" s="1"/>
  <c r="AK355" s="1"/>
  <c r="AK356" s="1"/>
  <c r="AK357" s="1"/>
  <c r="AK358" s="1"/>
  <c r="AK359" s="1"/>
  <c r="AK360" s="1"/>
  <c r="AK361" s="1"/>
  <c r="AK362" s="1"/>
  <c r="AK363" s="1"/>
  <c r="AK364" s="1"/>
  <c r="AK365" s="1"/>
  <c r="AK366" s="1"/>
  <c r="AK367" s="1"/>
  <c r="AK368" s="1"/>
  <c r="AK369" s="1"/>
  <c r="AK370" s="1"/>
  <c r="AK371" s="1"/>
  <c r="AK372" s="1"/>
  <c r="AK373" s="1"/>
  <c r="D11" i="12"/>
  <c r="Y10" i="3"/>
  <c r="AH4" s="1"/>
  <c r="AH5" s="1"/>
  <c r="AH6" s="1"/>
  <c r="AH7" s="1"/>
  <c r="AH8" s="1"/>
  <c r="AH9" s="1"/>
  <c r="AH10" s="1"/>
  <c r="AH11" s="1"/>
  <c r="AH12" s="1"/>
  <c r="AH13" s="1"/>
  <c r="AH14" s="1"/>
  <c r="AH15" s="1"/>
  <c r="AH16" s="1"/>
  <c r="AH17" s="1"/>
  <c r="AH18" s="1"/>
  <c r="AH19" s="1"/>
  <c r="AH20" s="1"/>
  <c r="AH21" s="1"/>
  <c r="AH22" s="1"/>
  <c r="AH23" s="1"/>
  <c r="AH24" s="1"/>
  <c r="AH25" s="1"/>
  <c r="AH26" s="1"/>
  <c r="AH27" s="1"/>
  <c r="AH28" s="1"/>
  <c r="AH29" s="1"/>
  <c r="AH30" s="1"/>
  <c r="AH31" s="1"/>
  <c r="AH32" s="1"/>
  <c r="AH33" s="1"/>
  <c r="AH34" s="1"/>
  <c r="AH35" s="1"/>
  <c r="AH36" s="1"/>
  <c r="AH37" s="1"/>
  <c r="AH38" s="1"/>
  <c r="AH39" s="1"/>
  <c r="AH40" s="1"/>
  <c r="AH41" s="1"/>
  <c r="AH42" s="1"/>
  <c r="AH43" s="1"/>
  <c r="AH44" s="1"/>
  <c r="AH45" s="1"/>
  <c r="AH46" s="1"/>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H81" s="1"/>
  <c r="AH82" s="1"/>
  <c r="AH83" s="1"/>
  <c r="AH84" s="1"/>
  <c r="AH85" s="1"/>
  <c r="AH86" s="1"/>
  <c r="AH87" s="1"/>
  <c r="AH88" s="1"/>
  <c r="AH89" s="1"/>
  <c r="AH90" s="1"/>
  <c r="AH91" s="1"/>
  <c r="AH92" s="1"/>
  <c r="AH93" s="1"/>
  <c r="AH94" s="1"/>
  <c r="AH95" s="1"/>
  <c r="AH96" s="1"/>
  <c r="AH97" s="1"/>
  <c r="AH98" s="1"/>
  <c r="AH99" s="1"/>
  <c r="AH100" s="1"/>
  <c r="AH101" s="1"/>
  <c r="AH102" s="1"/>
  <c r="AH103" s="1"/>
  <c r="AH104" s="1"/>
  <c r="AH105" s="1"/>
  <c r="AH106" s="1"/>
  <c r="AH107" s="1"/>
  <c r="AH108" s="1"/>
  <c r="AH109" s="1"/>
  <c r="AH110" s="1"/>
  <c r="AH111" s="1"/>
  <c r="AH112" s="1"/>
  <c r="AH113" s="1"/>
  <c r="AH114" s="1"/>
  <c r="AH115" s="1"/>
  <c r="AH116" s="1"/>
  <c r="AH117" s="1"/>
  <c r="AH118" s="1"/>
  <c r="AH119" s="1"/>
  <c r="AH120" s="1"/>
  <c r="AH121" s="1"/>
  <c r="AH122" s="1"/>
  <c r="AH123" s="1"/>
  <c r="AH124" s="1"/>
  <c r="AH125" s="1"/>
  <c r="AH126" s="1"/>
  <c r="AH127" s="1"/>
  <c r="AH128" s="1"/>
  <c r="AH129" s="1"/>
  <c r="AH130" s="1"/>
  <c r="AH131" s="1"/>
  <c r="AH132" s="1"/>
  <c r="AH133" s="1"/>
  <c r="AH134" s="1"/>
  <c r="AH135" s="1"/>
  <c r="AH136" s="1"/>
  <c r="AH137" s="1"/>
  <c r="AH138" s="1"/>
  <c r="AH139" s="1"/>
  <c r="AH140" s="1"/>
  <c r="AH141" s="1"/>
  <c r="AH142" s="1"/>
  <c r="AH143" s="1"/>
  <c r="AH144" s="1"/>
  <c r="AH145" s="1"/>
  <c r="AH146" s="1"/>
  <c r="AH147" s="1"/>
  <c r="AH148" s="1"/>
  <c r="AH149" s="1"/>
  <c r="AH150" s="1"/>
  <c r="AH151" s="1"/>
  <c r="AH152" s="1"/>
  <c r="AH153" s="1"/>
  <c r="AH154" s="1"/>
  <c r="AH155" s="1"/>
  <c r="AH156" s="1"/>
  <c r="AH157" s="1"/>
  <c r="AH158" s="1"/>
  <c r="AH159" s="1"/>
  <c r="AH160" s="1"/>
  <c r="AH161" s="1"/>
  <c r="AH162" s="1"/>
  <c r="AH163" s="1"/>
  <c r="AH164" s="1"/>
  <c r="AH165" s="1"/>
  <c r="AH166" s="1"/>
  <c r="AH167" s="1"/>
  <c r="AH168" s="1"/>
  <c r="AH169" s="1"/>
  <c r="AH170" s="1"/>
  <c r="AH171" s="1"/>
  <c r="AH172" s="1"/>
  <c r="AH173" s="1"/>
  <c r="AH174" s="1"/>
  <c r="AH175" s="1"/>
  <c r="AH176" s="1"/>
  <c r="AH177" s="1"/>
  <c r="AH178" s="1"/>
  <c r="AH179" s="1"/>
  <c r="AH180" s="1"/>
  <c r="AH181" s="1"/>
  <c r="AH182" s="1"/>
  <c r="AH183" s="1"/>
  <c r="AH184" s="1"/>
  <c r="AH185" s="1"/>
  <c r="AH186" s="1"/>
  <c r="AH187" s="1"/>
  <c r="AH188" s="1"/>
  <c r="AH189" s="1"/>
  <c r="AH190" s="1"/>
  <c r="AH191" s="1"/>
  <c r="AH192" s="1"/>
  <c r="AH193" s="1"/>
  <c r="AH194" s="1"/>
  <c r="AH195" s="1"/>
  <c r="AH196" s="1"/>
  <c r="AH197" s="1"/>
  <c r="AH198" s="1"/>
  <c r="AH199" s="1"/>
  <c r="AH200" s="1"/>
  <c r="AH201" s="1"/>
  <c r="AH202" s="1"/>
  <c r="AH203" s="1"/>
  <c r="AH204" s="1"/>
  <c r="AH205" s="1"/>
  <c r="AH206" s="1"/>
  <c r="AH207" s="1"/>
  <c r="AH208" s="1"/>
  <c r="AH209" s="1"/>
  <c r="AH210" s="1"/>
  <c r="AH211" s="1"/>
  <c r="AH212" s="1"/>
  <c r="AH213" s="1"/>
  <c r="AH214" s="1"/>
  <c r="AH215" s="1"/>
  <c r="AH216" s="1"/>
  <c r="AH217" s="1"/>
  <c r="AH218" s="1"/>
  <c r="AH219" s="1"/>
  <c r="AH220" s="1"/>
  <c r="AH221" s="1"/>
  <c r="AH222" s="1"/>
  <c r="AH223" s="1"/>
  <c r="AH224" s="1"/>
  <c r="AH225" s="1"/>
  <c r="AH226" s="1"/>
  <c r="AH227" s="1"/>
  <c r="AH228" s="1"/>
  <c r="AH229" s="1"/>
  <c r="AH230" s="1"/>
  <c r="AH231" s="1"/>
  <c r="AH232" s="1"/>
  <c r="AH233" s="1"/>
  <c r="AH234" s="1"/>
  <c r="AH235" s="1"/>
  <c r="AH236" s="1"/>
  <c r="AH237" s="1"/>
  <c r="AH238" s="1"/>
  <c r="AH239" s="1"/>
  <c r="AH240" s="1"/>
  <c r="AH241" s="1"/>
  <c r="AH242" s="1"/>
  <c r="AH243" s="1"/>
  <c r="AH244" s="1"/>
  <c r="AH245" s="1"/>
  <c r="AH246" s="1"/>
  <c r="AH247" s="1"/>
  <c r="AH248" s="1"/>
  <c r="AH249" s="1"/>
  <c r="AH250" s="1"/>
  <c r="AH251" s="1"/>
  <c r="AH252" s="1"/>
  <c r="AH253" s="1"/>
  <c r="AH254" s="1"/>
  <c r="AH255" s="1"/>
  <c r="AH256" s="1"/>
  <c r="AH257" s="1"/>
  <c r="AH258" s="1"/>
  <c r="AH259" s="1"/>
  <c r="AH260" s="1"/>
  <c r="AH261" s="1"/>
  <c r="AH262" s="1"/>
  <c r="AH263" s="1"/>
  <c r="AH264" s="1"/>
  <c r="AH265" s="1"/>
  <c r="AH266" s="1"/>
  <c r="AH267" s="1"/>
  <c r="AH268" s="1"/>
  <c r="AH269" s="1"/>
  <c r="AH270" s="1"/>
  <c r="AH271" s="1"/>
  <c r="AH272" s="1"/>
  <c r="AH273" s="1"/>
  <c r="AH274" s="1"/>
  <c r="AH275" s="1"/>
  <c r="AH276" s="1"/>
  <c r="AH277" s="1"/>
  <c r="AH278" s="1"/>
  <c r="AH279" s="1"/>
  <c r="AH280" s="1"/>
  <c r="AH281" s="1"/>
  <c r="AH282" s="1"/>
  <c r="AH283" s="1"/>
  <c r="AH284" s="1"/>
  <c r="AH285" s="1"/>
  <c r="AH286" s="1"/>
  <c r="AH287" s="1"/>
  <c r="AH288" s="1"/>
  <c r="AH289" s="1"/>
  <c r="AH290" s="1"/>
  <c r="AH291" s="1"/>
  <c r="AH292" s="1"/>
  <c r="AH293" s="1"/>
  <c r="AH294" s="1"/>
  <c r="AH295" s="1"/>
  <c r="AH296" s="1"/>
  <c r="AH297" s="1"/>
  <c r="AH298" s="1"/>
  <c r="AH299" s="1"/>
  <c r="AH300" s="1"/>
  <c r="AH301" s="1"/>
  <c r="AH302" s="1"/>
  <c r="AH303" s="1"/>
  <c r="AH304" s="1"/>
  <c r="AH305" s="1"/>
  <c r="AH306" s="1"/>
  <c r="AH307" s="1"/>
  <c r="AH308" s="1"/>
  <c r="AH309" s="1"/>
  <c r="AH310" s="1"/>
  <c r="AH311" s="1"/>
  <c r="AH312" s="1"/>
  <c r="AH313" s="1"/>
  <c r="AH314" s="1"/>
  <c r="AH315" s="1"/>
  <c r="AH316" s="1"/>
  <c r="AH317" s="1"/>
  <c r="AH318" s="1"/>
  <c r="AH319" s="1"/>
  <c r="AH320" s="1"/>
  <c r="AH321" s="1"/>
  <c r="AH322" s="1"/>
  <c r="AH323" s="1"/>
  <c r="AH324" s="1"/>
  <c r="AH325" s="1"/>
  <c r="AH326" s="1"/>
  <c r="AH327" s="1"/>
  <c r="AH328" s="1"/>
  <c r="AH329" s="1"/>
  <c r="AH330" s="1"/>
  <c r="AH331" s="1"/>
  <c r="AH332" s="1"/>
  <c r="AH333" s="1"/>
  <c r="AH334" s="1"/>
  <c r="AH335" s="1"/>
  <c r="AH336" s="1"/>
  <c r="AH337" s="1"/>
  <c r="AH338" s="1"/>
  <c r="AH339" s="1"/>
  <c r="AH340" s="1"/>
  <c r="AH341" s="1"/>
  <c r="AH342" s="1"/>
  <c r="AH343" s="1"/>
  <c r="AH344" s="1"/>
  <c r="AH345" s="1"/>
  <c r="AH346" s="1"/>
  <c r="AH347" s="1"/>
  <c r="AH348" s="1"/>
  <c r="AH349" s="1"/>
  <c r="AH350" s="1"/>
  <c r="AH351" s="1"/>
  <c r="AH352" s="1"/>
  <c r="AH353" s="1"/>
  <c r="AH354" s="1"/>
  <c r="AH355" s="1"/>
  <c r="AH356" s="1"/>
  <c r="AH357" s="1"/>
  <c r="AH358" s="1"/>
  <c r="AH359" s="1"/>
  <c r="AH360" s="1"/>
  <c r="AH361" s="1"/>
  <c r="AH362" s="1"/>
  <c r="AH363" s="1"/>
  <c r="AH364" s="1"/>
  <c r="AH365" s="1"/>
  <c r="AH366" s="1"/>
  <c r="AH367" s="1"/>
  <c r="AH368" s="1"/>
  <c r="AH369" s="1"/>
  <c r="AH370" s="1"/>
  <c r="AH371" s="1"/>
  <c r="AH372" s="1"/>
  <c r="AH373" s="1"/>
  <c r="Y7"/>
  <c r="AE4" s="1"/>
  <c r="AE5" s="1"/>
  <c r="AE6" s="1"/>
  <c r="AE7" s="1"/>
  <c r="AE8" s="1"/>
  <c r="AE9" s="1"/>
  <c r="AE10" s="1"/>
  <c r="AE11" s="1"/>
  <c r="AE12" s="1"/>
  <c r="AE13" s="1"/>
  <c r="AE14" s="1"/>
  <c r="AE15" s="1"/>
  <c r="AE16" s="1"/>
  <c r="AE17" s="1"/>
  <c r="AE18" s="1"/>
  <c r="AE19" s="1"/>
  <c r="AE20" s="1"/>
  <c r="AE21" s="1"/>
  <c r="AE22" s="1"/>
  <c r="AE23" s="1"/>
  <c r="AE24" s="1"/>
  <c r="AE25" s="1"/>
  <c r="AE26" s="1"/>
  <c r="AE27" s="1"/>
  <c r="AE28" s="1"/>
  <c r="AE29" s="1"/>
  <c r="AE30" s="1"/>
  <c r="AE31" s="1"/>
  <c r="AE32" s="1"/>
  <c r="AE33" s="1"/>
  <c r="AE34" s="1"/>
  <c r="AE35" s="1"/>
  <c r="AE36" s="1"/>
  <c r="AE37" s="1"/>
  <c r="AE38" s="1"/>
  <c r="AE39" s="1"/>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E70" s="1"/>
  <c r="AE71" s="1"/>
  <c r="AE72" s="1"/>
  <c r="AE73" s="1"/>
  <c r="AE74" s="1"/>
  <c r="AE75" s="1"/>
  <c r="AE76" s="1"/>
  <c r="AE77" s="1"/>
  <c r="AE78" s="1"/>
  <c r="AE79" s="1"/>
  <c r="AE80" s="1"/>
  <c r="AE81" s="1"/>
  <c r="AE82" s="1"/>
  <c r="AE83" s="1"/>
  <c r="AE84" s="1"/>
  <c r="AE85" s="1"/>
  <c r="AE86" s="1"/>
  <c r="AE87" s="1"/>
  <c r="AE88" s="1"/>
  <c r="AE89" s="1"/>
  <c r="AE90" s="1"/>
  <c r="AE91" s="1"/>
  <c r="AE92" s="1"/>
  <c r="AE93" s="1"/>
  <c r="AE94" s="1"/>
  <c r="AE95" s="1"/>
  <c r="AE96" s="1"/>
  <c r="AE97" s="1"/>
  <c r="AE98" s="1"/>
  <c r="AE99" s="1"/>
  <c r="AE100" s="1"/>
  <c r="AE101" s="1"/>
  <c r="AE102" s="1"/>
  <c r="AE103" s="1"/>
  <c r="AE104" s="1"/>
  <c r="AE105" s="1"/>
  <c r="AE106" s="1"/>
  <c r="AE107" s="1"/>
  <c r="AE108" s="1"/>
  <c r="AE109" s="1"/>
  <c r="AE110" s="1"/>
  <c r="AE111" s="1"/>
  <c r="AE112" s="1"/>
  <c r="AE113" s="1"/>
  <c r="AE114" s="1"/>
  <c r="AE115" s="1"/>
  <c r="AE116" s="1"/>
  <c r="AE117" s="1"/>
  <c r="AE118" s="1"/>
  <c r="AE119" s="1"/>
  <c r="AE120" s="1"/>
  <c r="AE121" s="1"/>
  <c r="AE122" s="1"/>
  <c r="AE123" s="1"/>
  <c r="AE124" s="1"/>
  <c r="AE125" s="1"/>
  <c r="AE126" s="1"/>
  <c r="AE127" s="1"/>
  <c r="AE128" s="1"/>
  <c r="AE129" s="1"/>
  <c r="AE130" s="1"/>
  <c r="AE131" s="1"/>
  <c r="AE132" s="1"/>
  <c r="AE133" s="1"/>
  <c r="AE134" s="1"/>
  <c r="AE135" s="1"/>
  <c r="AE136" s="1"/>
  <c r="AE137" s="1"/>
  <c r="AE138" s="1"/>
  <c r="AE139" s="1"/>
  <c r="AE140" s="1"/>
  <c r="AE141" s="1"/>
  <c r="AE142" s="1"/>
  <c r="AE143" s="1"/>
  <c r="AE144" s="1"/>
  <c r="AE145" s="1"/>
  <c r="AE146" s="1"/>
  <c r="AE147" s="1"/>
  <c r="AE148" s="1"/>
  <c r="AE149" s="1"/>
  <c r="AE150" s="1"/>
  <c r="AE151" s="1"/>
  <c r="AE152" s="1"/>
  <c r="AE153" s="1"/>
  <c r="AE154" s="1"/>
  <c r="AE155" s="1"/>
  <c r="AE156" s="1"/>
  <c r="AE157" s="1"/>
  <c r="AE158" s="1"/>
  <c r="AE159" s="1"/>
  <c r="AE160" s="1"/>
  <c r="AE161" s="1"/>
  <c r="AE162" s="1"/>
  <c r="AE163" s="1"/>
  <c r="AE164" s="1"/>
  <c r="AE165" s="1"/>
  <c r="AE166" s="1"/>
  <c r="AE167" s="1"/>
  <c r="AE168" s="1"/>
  <c r="AE169" s="1"/>
  <c r="AE170" s="1"/>
  <c r="AE171" s="1"/>
  <c r="AE172" s="1"/>
  <c r="AE173" s="1"/>
  <c r="AE174" s="1"/>
  <c r="AE175" s="1"/>
  <c r="AE176" s="1"/>
  <c r="AE177" s="1"/>
  <c r="AE178" s="1"/>
  <c r="AE179" s="1"/>
  <c r="AE180" s="1"/>
  <c r="AE181" s="1"/>
  <c r="AE182" s="1"/>
  <c r="AE183" s="1"/>
  <c r="AE184" s="1"/>
  <c r="AE185" s="1"/>
  <c r="AE186" s="1"/>
  <c r="AE187" s="1"/>
  <c r="AE188" s="1"/>
  <c r="AE189" s="1"/>
  <c r="AE190" s="1"/>
  <c r="AE191" s="1"/>
  <c r="AE192" s="1"/>
  <c r="AE193" s="1"/>
  <c r="AE194" s="1"/>
  <c r="AE195" s="1"/>
  <c r="AE196" s="1"/>
  <c r="AE197" s="1"/>
  <c r="AE198" s="1"/>
  <c r="AE199" s="1"/>
  <c r="AE200" s="1"/>
  <c r="AE201" s="1"/>
  <c r="AE202" s="1"/>
  <c r="AE203" s="1"/>
  <c r="AE204" s="1"/>
  <c r="AE205" s="1"/>
  <c r="AE206" s="1"/>
  <c r="AE207" s="1"/>
  <c r="AE208" s="1"/>
  <c r="AE209" s="1"/>
  <c r="AE210" s="1"/>
  <c r="AE211" s="1"/>
  <c r="AE212" s="1"/>
  <c r="AE213" s="1"/>
  <c r="AE214" s="1"/>
  <c r="AE215" s="1"/>
  <c r="AE216" s="1"/>
  <c r="AE217" s="1"/>
  <c r="AE218" s="1"/>
  <c r="AE219" s="1"/>
  <c r="AE220" s="1"/>
  <c r="AE221" s="1"/>
  <c r="AE222" s="1"/>
  <c r="AE223" s="1"/>
  <c r="AE224" s="1"/>
  <c r="AE225" s="1"/>
  <c r="AE226" s="1"/>
  <c r="AE227" s="1"/>
  <c r="AE228" s="1"/>
  <c r="AE229" s="1"/>
  <c r="AE230" s="1"/>
  <c r="AE231" s="1"/>
  <c r="AE232" s="1"/>
  <c r="AE233" s="1"/>
  <c r="AE234" s="1"/>
  <c r="AE235" s="1"/>
  <c r="AE236" s="1"/>
  <c r="AE237" s="1"/>
  <c r="AE238" s="1"/>
  <c r="AE239" s="1"/>
  <c r="AE240" s="1"/>
  <c r="AE241" s="1"/>
  <c r="AE242" s="1"/>
  <c r="AE243" s="1"/>
  <c r="AE244" s="1"/>
  <c r="AE245" s="1"/>
  <c r="AE246" s="1"/>
  <c r="AE247" s="1"/>
  <c r="AE248" s="1"/>
  <c r="AE249" s="1"/>
  <c r="AE250" s="1"/>
  <c r="AE251" s="1"/>
  <c r="AE252" s="1"/>
  <c r="AE253" s="1"/>
  <c r="AE254" s="1"/>
  <c r="AE255" s="1"/>
  <c r="AE256" s="1"/>
  <c r="AE257" s="1"/>
  <c r="AE258" s="1"/>
  <c r="AE259" s="1"/>
  <c r="AE260" s="1"/>
  <c r="AE261" s="1"/>
  <c r="AE262" s="1"/>
  <c r="AE263" s="1"/>
  <c r="AE264" s="1"/>
  <c r="AE265" s="1"/>
  <c r="AE266" s="1"/>
  <c r="AE267" s="1"/>
  <c r="AE268" s="1"/>
  <c r="AE269" s="1"/>
  <c r="AE270" s="1"/>
  <c r="AE271" s="1"/>
  <c r="AE272" s="1"/>
  <c r="AE273" s="1"/>
  <c r="AE274" s="1"/>
  <c r="AE275" s="1"/>
  <c r="AE276" s="1"/>
  <c r="AE277" s="1"/>
  <c r="AE278" s="1"/>
  <c r="AE279" s="1"/>
  <c r="AE280" s="1"/>
  <c r="AE281" s="1"/>
  <c r="AE282" s="1"/>
  <c r="AE283" s="1"/>
  <c r="AE284" s="1"/>
  <c r="AE285" s="1"/>
  <c r="AE286" s="1"/>
  <c r="AE287" s="1"/>
  <c r="AE288" s="1"/>
  <c r="AE289" s="1"/>
  <c r="AE290" s="1"/>
  <c r="AE291" s="1"/>
  <c r="AE292" s="1"/>
  <c r="AE293" s="1"/>
  <c r="AE294" s="1"/>
  <c r="AE295" s="1"/>
  <c r="AE296" s="1"/>
  <c r="AE297" s="1"/>
  <c r="AE298" s="1"/>
  <c r="AE299" s="1"/>
  <c r="AE300" s="1"/>
  <c r="AE301" s="1"/>
  <c r="AE302" s="1"/>
  <c r="AE303" s="1"/>
  <c r="AE304" s="1"/>
  <c r="AE305" s="1"/>
  <c r="AE306" s="1"/>
  <c r="AE307" s="1"/>
  <c r="AE308" s="1"/>
  <c r="AE309" s="1"/>
  <c r="AE310" s="1"/>
  <c r="AE311" s="1"/>
  <c r="AE312" s="1"/>
  <c r="AE313" s="1"/>
  <c r="AE314" s="1"/>
  <c r="AE315" s="1"/>
  <c r="AE316" s="1"/>
  <c r="AE317" s="1"/>
  <c r="AE318" s="1"/>
  <c r="AE319" s="1"/>
  <c r="AE320" s="1"/>
  <c r="AE321" s="1"/>
  <c r="AE322" s="1"/>
  <c r="AE323" s="1"/>
  <c r="AE324" s="1"/>
  <c r="AE325" s="1"/>
  <c r="AE326" s="1"/>
  <c r="AE327" s="1"/>
  <c r="AE328" s="1"/>
  <c r="AE329" s="1"/>
  <c r="AE330" s="1"/>
  <c r="AE331" s="1"/>
  <c r="AE332" s="1"/>
  <c r="AE333" s="1"/>
  <c r="AE334" s="1"/>
  <c r="AE335" s="1"/>
  <c r="AE336" s="1"/>
  <c r="AE337" s="1"/>
  <c r="AE338" s="1"/>
  <c r="AE339" s="1"/>
  <c r="AE340" s="1"/>
  <c r="AE341" s="1"/>
  <c r="AE342" s="1"/>
  <c r="AE343" s="1"/>
  <c r="AE344" s="1"/>
  <c r="AE345" s="1"/>
  <c r="AE346" s="1"/>
  <c r="AE347" s="1"/>
  <c r="AE348" s="1"/>
  <c r="AE349" s="1"/>
  <c r="AE350" s="1"/>
  <c r="AE351" s="1"/>
  <c r="AE352" s="1"/>
  <c r="AE353" s="1"/>
  <c r="AE354" s="1"/>
  <c r="AE355" s="1"/>
  <c r="AE356" s="1"/>
  <c r="AE357" s="1"/>
  <c r="AE358" s="1"/>
  <c r="AE359" s="1"/>
  <c r="AE360" s="1"/>
  <c r="AE361" s="1"/>
  <c r="AE362" s="1"/>
  <c r="AE363" s="1"/>
  <c r="AE364" s="1"/>
  <c r="AE365" s="1"/>
  <c r="AE366" s="1"/>
  <c r="AE367" s="1"/>
  <c r="AE368" s="1"/>
  <c r="AE369" s="1"/>
  <c r="AE370" s="1"/>
  <c r="AE371" s="1"/>
  <c r="AE372" s="1"/>
  <c r="AE373" s="1"/>
  <c r="Y16"/>
  <c r="AN4" s="1"/>
  <c r="AN5" s="1"/>
  <c r="AN6" s="1"/>
  <c r="AN7" s="1"/>
  <c r="AN8" s="1"/>
  <c r="AN9" s="1"/>
  <c r="AN10" s="1"/>
  <c r="AN11" s="1"/>
  <c r="AN12" s="1"/>
  <c r="AN13" s="1"/>
  <c r="AN14" s="1"/>
  <c r="AN15" s="1"/>
  <c r="AN16" s="1"/>
  <c r="AN17" s="1"/>
  <c r="AN18" s="1"/>
  <c r="AN19" s="1"/>
  <c r="AN20" s="1"/>
  <c r="AN21" s="1"/>
  <c r="AN22" s="1"/>
  <c r="AN23" s="1"/>
  <c r="AN24" s="1"/>
  <c r="AN25" s="1"/>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N56" s="1"/>
  <c r="AN57" s="1"/>
  <c r="AN58" s="1"/>
  <c r="AN59" s="1"/>
  <c r="AN60" s="1"/>
  <c r="AN61" s="1"/>
  <c r="AN62" s="1"/>
  <c r="AN63" s="1"/>
  <c r="AN64" s="1"/>
  <c r="AN65" s="1"/>
  <c r="AN66" s="1"/>
  <c r="AN67" s="1"/>
  <c r="AN68" s="1"/>
  <c r="AN69" s="1"/>
  <c r="AN70" s="1"/>
  <c r="AN71" s="1"/>
  <c r="AN72" s="1"/>
  <c r="AN73" s="1"/>
  <c r="AN74" s="1"/>
  <c r="AN75" s="1"/>
  <c r="AN76" s="1"/>
  <c r="AN77" s="1"/>
  <c r="AN78" s="1"/>
  <c r="AN79" s="1"/>
  <c r="AN80" s="1"/>
  <c r="AN81" s="1"/>
  <c r="AN82" s="1"/>
  <c r="AN83" s="1"/>
  <c r="AN84" s="1"/>
  <c r="AN85" s="1"/>
  <c r="AN86" s="1"/>
  <c r="AN87" s="1"/>
  <c r="AN88" s="1"/>
  <c r="AN89" s="1"/>
  <c r="AN90" s="1"/>
  <c r="AN91" s="1"/>
  <c r="AN92" s="1"/>
  <c r="AN93" s="1"/>
  <c r="AN94" s="1"/>
  <c r="AN95" s="1"/>
  <c r="AN96" s="1"/>
  <c r="AN97" s="1"/>
  <c r="AN98" s="1"/>
  <c r="AN99" s="1"/>
  <c r="AN100" s="1"/>
  <c r="AN101" s="1"/>
  <c r="AN102" s="1"/>
  <c r="AN103" s="1"/>
  <c r="AN104" s="1"/>
  <c r="AN105" s="1"/>
  <c r="AN106" s="1"/>
  <c r="AN107" s="1"/>
  <c r="AN108" s="1"/>
  <c r="AN109" s="1"/>
  <c r="AN110" s="1"/>
  <c r="AN111" s="1"/>
  <c r="AN112" s="1"/>
  <c r="AN113" s="1"/>
  <c r="AN114" s="1"/>
  <c r="AN115" s="1"/>
  <c r="AN116" s="1"/>
  <c r="AN117" s="1"/>
  <c r="AN118" s="1"/>
  <c r="AN119" s="1"/>
  <c r="AN120" s="1"/>
  <c r="AN121" s="1"/>
  <c r="AN122" s="1"/>
  <c r="AN123" s="1"/>
  <c r="AN124" s="1"/>
  <c r="AN125" s="1"/>
  <c r="AN126" s="1"/>
  <c r="AN127" s="1"/>
  <c r="AN128" s="1"/>
  <c r="AN129" s="1"/>
  <c r="AN130" s="1"/>
  <c r="AN131" s="1"/>
  <c r="AN132" s="1"/>
  <c r="AN133" s="1"/>
  <c r="AN134" s="1"/>
  <c r="AN135" s="1"/>
  <c r="AN136" s="1"/>
  <c r="AN137" s="1"/>
  <c r="AN138" s="1"/>
  <c r="AN139" s="1"/>
  <c r="AN140" s="1"/>
  <c r="AN141" s="1"/>
  <c r="AN142" s="1"/>
  <c r="AN143" s="1"/>
  <c r="AN144" s="1"/>
  <c r="AN145" s="1"/>
  <c r="AN146" s="1"/>
  <c r="AN147" s="1"/>
  <c r="AN148" s="1"/>
  <c r="AN149" s="1"/>
  <c r="AN150" s="1"/>
  <c r="AN151" s="1"/>
  <c r="AN152" s="1"/>
  <c r="AN153" s="1"/>
  <c r="AN154" s="1"/>
  <c r="AN155" s="1"/>
  <c r="AN156" s="1"/>
  <c r="AN157" s="1"/>
  <c r="AN158" s="1"/>
  <c r="AN159" s="1"/>
  <c r="AN160" s="1"/>
  <c r="AN161" s="1"/>
  <c r="AN162" s="1"/>
  <c r="AN163" s="1"/>
  <c r="AN164" s="1"/>
  <c r="AN165" s="1"/>
  <c r="AN166" s="1"/>
  <c r="AN167" s="1"/>
  <c r="AN168" s="1"/>
  <c r="AN169" s="1"/>
  <c r="AN170" s="1"/>
  <c r="AN171" s="1"/>
  <c r="AN172" s="1"/>
  <c r="AN173" s="1"/>
  <c r="AN174" s="1"/>
  <c r="AN175" s="1"/>
  <c r="AN176" s="1"/>
  <c r="AN177" s="1"/>
  <c r="AN178" s="1"/>
  <c r="AN179" s="1"/>
  <c r="AN180" s="1"/>
  <c r="AN181" s="1"/>
  <c r="AN182" s="1"/>
  <c r="AN183" s="1"/>
  <c r="AN184" s="1"/>
  <c r="AN185" s="1"/>
  <c r="AN186" s="1"/>
  <c r="AN187" s="1"/>
  <c r="AN188" s="1"/>
  <c r="AN189" s="1"/>
  <c r="AN190" s="1"/>
  <c r="AN191" s="1"/>
  <c r="AN192" s="1"/>
  <c r="AN193" s="1"/>
  <c r="AN194" s="1"/>
  <c r="AN195" s="1"/>
  <c r="AN196" s="1"/>
  <c r="AN197" s="1"/>
  <c r="AN198" s="1"/>
  <c r="AN199" s="1"/>
  <c r="AN200" s="1"/>
  <c r="AN201" s="1"/>
  <c r="AN202" s="1"/>
  <c r="AN203" s="1"/>
  <c r="AN204" s="1"/>
  <c r="AN205" s="1"/>
  <c r="AN206" s="1"/>
  <c r="AN207" s="1"/>
  <c r="AN208" s="1"/>
  <c r="AN209" s="1"/>
  <c r="AN210" s="1"/>
  <c r="AN211" s="1"/>
  <c r="AN212" s="1"/>
  <c r="AN213" s="1"/>
  <c r="AN214" s="1"/>
  <c r="AN215" s="1"/>
  <c r="AN216" s="1"/>
  <c r="AN217" s="1"/>
  <c r="AN218" s="1"/>
  <c r="AN219" s="1"/>
  <c r="AN220" s="1"/>
  <c r="AN221" s="1"/>
  <c r="AN222" s="1"/>
  <c r="AN223" s="1"/>
  <c r="AN224" s="1"/>
  <c r="AN225" s="1"/>
  <c r="AN226" s="1"/>
  <c r="AN227" s="1"/>
  <c r="AN228" s="1"/>
  <c r="AN229" s="1"/>
  <c r="AN230" s="1"/>
  <c r="AN231" s="1"/>
  <c r="AN232" s="1"/>
  <c r="AN233" s="1"/>
  <c r="AN234" s="1"/>
  <c r="AN235" s="1"/>
  <c r="AN236" s="1"/>
  <c r="AN237" s="1"/>
  <c r="AN238" s="1"/>
  <c r="AN239" s="1"/>
  <c r="AN240" s="1"/>
  <c r="AN241" s="1"/>
  <c r="AN242" s="1"/>
  <c r="AN243" s="1"/>
  <c r="AN244" s="1"/>
  <c r="AN245" s="1"/>
  <c r="AN246" s="1"/>
  <c r="AN247" s="1"/>
  <c r="AN248" s="1"/>
  <c r="AN249" s="1"/>
  <c r="AN250" s="1"/>
  <c r="AN251" s="1"/>
  <c r="AN252" s="1"/>
  <c r="AN253" s="1"/>
  <c r="AN254" s="1"/>
  <c r="AN255" s="1"/>
  <c r="AN256" s="1"/>
  <c r="AN257" s="1"/>
  <c r="AN258" s="1"/>
  <c r="AN259" s="1"/>
  <c r="AN260" s="1"/>
  <c r="AN261" s="1"/>
  <c r="AN262" s="1"/>
  <c r="AN263" s="1"/>
  <c r="AN264" s="1"/>
  <c r="AN265" s="1"/>
  <c r="AN266" s="1"/>
  <c r="AN267" s="1"/>
  <c r="AN268" s="1"/>
  <c r="AN269" s="1"/>
  <c r="AN270" s="1"/>
  <c r="AN271" s="1"/>
  <c r="AN272" s="1"/>
  <c r="AN273" s="1"/>
  <c r="AN274" s="1"/>
  <c r="AN275" s="1"/>
  <c r="AN276" s="1"/>
  <c r="AN277" s="1"/>
  <c r="AN278" s="1"/>
  <c r="AN279" s="1"/>
  <c r="AN280" s="1"/>
  <c r="AN281" s="1"/>
  <c r="AN282" s="1"/>
  <c r="AN283" s="1"/>
  <c r="AN284" s="1"/>
  <c r="AN285" s="1"/>
  <c r="AN286" s="1"/>
  <c r="AN287" s="1"/>
  <c r="AN288" s="1"/>
  <c r="AN289" s="1"/>
  <c r="AN290" s="1"/>
  <c r="AN291" s="1"/>
  <c r="AN292" s="1"/>
  <c r="AN293" s="1"/>
  <c r="AN294" s="1"/>
  <c r="AN295" s="1"/>
  <c r="AN296" s="1"/>
  <c r="AN297" s="1"/>
  <c r="AN298" s="1"/>
  <c r="AN299" s="1"/>
  <c r="AN300" s="1"/>
  <c r="AN301" s="1"/>
  <c r="AN302" s="1"/>
  <c r="AN303" s="1"/>
  <c r="AN304" s="1"/>
  <c r="AN305" s="1"/>
  <c r="AN306" s="1"/>
  <c r="AN307" s="1"/>
  <c r="AN308" s="1"/>
  <c r="AN309" s="1"/>
  <c r="AN310" s="1"/>
  <c r="AN311" s="1"/>
  <c r="AN312" s="1"/>
  <c r="AN313" s="1"/>
  <c r="AN314" s="1"/>
  <c r="AN315" s="1"/>
  <c r="AN316" s="1"/>
  <c r="AN317" s="1"/>
  <c r="AN318" s="1"/>
  <c r="AN319" s="1"/>
  <c r="AN320" s="1"/>
  <c r="AN321" s="1"/>
  <c r="AN322" s="1"/>
  <c r="AN323" s="1"/>
  <c r="AN324" s="1"/>
  <c r="AN325" s="1"/>
  <c r="AN326" s="1"/>
  <c r="AN327" s="1"/>
  <c r="AN328" s="1"/>
  <c r="AN329" s="1"/>
  <c r="AN330" s="1"/>
  <c r="AN331" s="1"/>
  <c r="AN332" s="1"/>
  <c r="AN333" s="1"/>
  <c r="AN334" s="1"/>
  <c r="AN335" s="1"/>
  <c r="AN336" s="1"/>
  <c r="AN337" s="1"/>
  <c r="AN338" s="1"/>
  <c r="AN339" s="1"/>
  <c r="AN340" s="1"/>
  <c r="AN341" s="1"/>
  <c r="AN342" s="1"/>
  <c r="AN343" s="1"/>
  <c r="AN344" s="1"/>
  <c r="AN345" s="1"/>
  <c r="AN346" s="1"/>
  <c r="AN347" s="1"/>
  <c r="AN348" s="1"/>
  <c r="AN349" s="1"/>
  <c r="AN350" s="1"/>
  <c r="AN351" s="1"/>
  <c r="AN352" s="1"/>
  <c r="AN353" s="1"/>
  <c r="AN354" s="1"/>
  <c r="AN355" s="1"/>
  <c r="AN356" s="1"/>
  <c r="AN357" s="1"/>
  <c r="AN358" s="1"/>
  <c r="AN359" s="1"/>
  <c r="AN360" s="1"/>
  <c r="AN361" s="1"/>
  <c r="AN362" s="1"/>
  <c r="AN363" s="1"/>
  <c r="AN364" s="1"/>
  <c r="AN365" s="1"/>
  <c r="AN366" s="1"/>
  <c r="AN367" s="1"/>
  <c r="AN368" s="1"/>
  <c r="AN369" s="1"/>
  <c r="AN370" s="1"/>
  <c r="AN371" s="1"/>
  <c r="AN372" s="1"/>
  <c r="AN373" s="1"/>
  <c r="AD23" i="21"/>
  <c r="AB24"/>
  <c r="AG23"/>
  <c r="R23"/>
  <c r="P24"/>
  <c r="N29"/>
  <c r="AI22" i="2"/>
  <c r="R22"/>
  <c r="AG22"/>
  <c r="B32" i="20"/>
  <c r="AM18" i="19" s="1"/>
  <c r="B33" i="20"/>
  <c r="AM19" i="19" s="1"/>
  <c r="AM17"/>
  <c r="X25" i="21"/>
  <c r="V26"/>
  <c r="N24" i="2"/>
  <c r="Y23"/>
  <c r="AB23"/>
  <c r="P23"/>
  <c r="V23"/>
  <c r="S23"/>
  <c r="C32" i="20"/>
  <c r="AM28" i="19" s="1"/>
  <c r="C33" i="20"/>
  <c r="AM29" i="19" s="1"/>
  <c r="AM27"/>
  <c r="AA24" i="21"/>
  <c r="Y25"/>
  <c r="D51" i="12" l="1"/>
  <c r="AJ25" i="19" s="1"/>
  <c r="D36" i="12"/>
  <c r="AH25" i="19" s="1"/>
  <c r="D49" i="12"/>
  <c r="AJ23" i="19" s="1"/>
  <c r="D34" i="12"/>
  <c r="AH23" i="19" s="1"/>
  <c r="T27" i="21"/>
  <c r="AC27"/>
  <c r="Q27"/>
  <c r="Z27"/>
  <c r="W27"/>
  <c r="U23" i="2"/>
  <c r="AA23"/>
  <c r="X23"/>
  <c r="AD23"/>
  <c r="J28" i="21"/>
  <c r="L28" s="1"/>
  <c r="M26" i="2"/>
  <c r="M30" i="21"/>
  <c r="J24" i="2"/>
  <c r="L24" s="1"/>
  <c r="T24" s="1"/>
  <c r="U24" i="21"/>
  <c r="S25"/>
  <c r="R24"/>
  <c r="P25"/>
  <c r="AI24"/>
  <c r="AG24"/>
  <c r="AB25"/>
  <c r="AD24"/>
  <c r="AI23" i="2"/>
  <c r="AG23"/>
  <c r="R23"/>
  <c r="AA25" i="21"/>
  <c r="Y26"/>
  <c r="N25" i="2"/>
  <c r="AB24"/>
  <c r="V24"/>
  <c r="S24"/>
  <c r="P24"/>
  <c r="Y24"/>
  <c r="X26" i="21"/>
  <c r="V27"/>
  <c r="N30"/>
  <c r="AC28" l="1"/>
  <c r="AC29" s="1"/>
  <c r="Q28"/>
  <c r="Q29" s="1"/>
  <c r="Z28"/>
  <c r="W28"/>
  <c r="T28"/>
  <c r="T29" s="1"/>
  <c r="U24" i="2"/>
  <c r="W24"/>
  <c r="Z24"/>
  <c r="AA24" s="1"/>
  <c r="AC24"/>
  <c r="AD24" s="1"/>
  <c r="Q24"/>
  <c r="R24" s="1"/>
  <c r="X24"/>
  <c r="J25"/>
  <c r="L25" s="1"/>
  <c r="T25" s="1"/>
  <c r="J30" i="21"/>
  <c r="M31"/>
  <c r="J29"/>
  <c r="L29"/>
  <c r="Z29"/>
  <c r="W29"/>
  <c r="M27" i="2"/>
  <c r="U25" i="21"/>
  <c r="S26"/>
  <c r="AD25"/>
  <c r="AB26"/>
  <c r="AI25"/>
  <c r="AG25"/>
  <c r="R25"/>
  <c r="P26"/>
  <c r="N31"/>
  <c r="AG24" i="2"/>
  <c r="AI24"/>
  <c r="N26"/>
  <c r="P25"/>
  <c r="Y25"/>
  <c r="S25"/>
  <c r="V25"/>
  <c r="AB25"/>
  <c r="X27" i="21"/>
  <c r="V28"/>
  <c r="AA26"/>
  <c r="Y27"/>
  <c r="U25" i="2" l="1"/>
  <c r="W25"/>
  <c r="X25" s="1"/>
  <c r="AC25"/>
  <c r="AD25" s="1"/>
  <c r="Z25"/>
  <c r="AA25" s="1"/>
  <c r="Q25"/>
  <c r="J26"/>
  <c r="L26" s="1"/>
  <c r="T26" s="1"/>
  <c r="M32" i="21"/>
  <c r="M28" i="2"/>
  <c r="AC30" i="21"/>
  <c r="W30"/>
  <c r="Q30"/>
  <c r="L30"/>
  <c r="Z30"/>
  <c r="T30"/>
  <c r="U26"/>
  <c r="S27"/>
  <c r="R26"/>
  <c r="AG26"/>
  <c r="AI26"/>
  <c r="P27"/>
  <c r="AD26"/>
  <c r="AB27"/>
  <c r="AG25" i="2"/>
  <c r="AI25"/>
  <c r="AA27" i="21"/>
  <c r="Y28"/>
  <c r="X28"/>
  <c r="V29"/>
  <c r="N27" i="2"/>
  <c r="P26"/>
  <c r="AB26"/>
  <c r="V26"/>
  <c r="S26"/>
  <c r="Y26"/>
  <c r="N32" i="21"/>
  <c r="AC26" i="2" l="1"/>
  <c r="Q26"/>
  <c r="Z26"/>
  <c r="AA26" s="1"/>
  <c r="R25"/>
  <c r="W26"/>
  <c r="X26" s="1"/>
  <c r="U26"/>
  <c r="AD26"/>
  <c r="J27"/>
  <c r="L27" s="1"/>
  <c r="Q27" s="1"/>
  <c r="M29"/>
  <c r="J32" i="21"/>
  <c r="M33"/>
  <c r="AC31"/>
  <c r="W31"/>
  <c r="Q31"/>
  <c r="L31"/>
  <c r="Z31"/>
  <c r="T31"/>
  <c r="J31"/>
  <c r="W27" i="2"/>
  <c r="T27"/>
  <c r="U27" i="21"/>
  <c r="S28"/>
  <c r="AB28"/>
  <c r="AD27"/>
  <c r="R27"/>
  <c r="AG27"/>
  <c r="AI27"/>
  <c r="P28"/>
  <c r="AG26" i="2"/>
  <c r="R26"/>
  <c r="AI26"/>
  <c r="X29" i="21"/>
  <c r="V30"/>
  <c r="AA28"/>
  <c r="Y29"/>
  <c r="N33"/>
  <c r="N28" i="2"/>
  <c r="P27"/>
  <c r="AB27"/>
  <c r="Y27"/>
  <c r="S27"/>
  <c r="V27"/>
  <c r="AC27" l="1"/>
  <c r="AD27" s="1"/>
  <c r="Z27"/>
  <c r="AA27" s="1"/>
  <c r="U27"/>
  <c r="X27"/>
  <c r="L32" i="21"/>
  <c r="Z32"/>
  <c r="T32"/>
  <c r="AC32"/>
  <c r="W32"/>
  <c r="Q32"/>
  <c r="M30" i="2"/>
  <c r="M34" i="21"/>
  <c r="J28" i="2"/>
  <c r="L28" s="1"/>
  <c r="Q28" s="1"/>
  <c r="U28" i="21"/>
  <c r="S29"/>
  <c r="AD28"/>
  <c r="AB29"/>
  <c r="AI28"/>
  <c r="P29"/>
  <c r="R28"/>
  <c r="AG28"/>
  <c r="R27" i="2"/>
  <c r="AI27"/>
  <c r="AG27"/>
  <c r="N34" i="21"/>
  <c r="AA29"/>
  <c r="Y30"/>
  <c r="X30"/>
  <c r="V31"/>
  <c r="N29" i="2"/>
  <c r="P28"/>
  <c r="V28"/>
  <c r="Y28"/>
  <c r="S28"/>
  <c r="AB28"/>
  <c r="AC28" l="1"/>
  <c r="AC29" s="1"/>
  <c r="Z28"/>
  <c r="AA28" s="1"/>
  <c r="T28"/>
  <c r="T29" s="1"/>
  <c r="W28"/>
  <c r="W29" s="1"/>
  <c r="U28"/>
  <c r="L33" i="21"/>
  <c r="Z33"/>
  <c r="T33"/>
  <c r="AC33"/>
  <c r="W33"/>
  <c r="Q33"/>
  <c r="J33"/>
  <c r="L29" i="2"/>
  <c r="J29"/>
  <c r="Q29"/>
  <c r="M35" i="21"/>
  <c r="M31" i="2"/>
  <c r="J30"/>
  <c r="J34" i="21"/>
  <c r="U29"/>
  <c r="S30"/>
  <c r="AG29"/>
  <c r="AI29"/>
  <c r="R29"/>
  <c r="P30"/>
  <c r="AD29"/>
  <c r="AB30"/>
  <c r="N30" i="2"/>
  <c r="P29"/>
  <c r="Y29"/>
  <c r="V29"/>
  <c r="AB29"/>
  <c r="S29"/>
  <c r="AG28"/>
  <c r="R28"/>
  <c r="AI28"/>
  <c r="X31" i="21"/>
  <c r="V32"/>
  <c r="AA30"/>
  <c r="Y31"/>
  <c r="N35"/>
  <c r="X29" i="2" l="1"/>
  <c r="AD29"/>
  <c r="U29"/>
  <c r="Z29"/>
  <c r="AA29" s="1"/>
  <c r="AD28"/>
  <c r="X28"/>
  <c r="T30"/>
  <c r="L31"/>
  <c r="M32"/>
  <c r="L34" i="21"/>
  <c r="Z34"/>
  <c r="T34"/>
  <c r="AC34"/>
  <c r="W34"/>
  <c r="Q34"/>
  <c r="W30" i="2"/>
  <c r="AC30"/>
  <c r="L30"/>
  <c r="J31"/>
  <c r="M36" i="21"/>
  <c r="Q30" i="2"/>
  <c r="U30" i="21"/>
  <c r="S31"/>
  <c r="AD30"/>
  <c r="AB31"/>
  <c r="AI30"/>
  <c r="R30"/>
  <c r="AG30"/>
  <c r="P31"/>
  <c r="N36"/>
  <c r="R29" i="2"/>
  <c r="AG29"/>
  <c r="AI29"/>
  <c r="AA31" i="21"/>
  <c r="Y32"/>
  <c r="X32"/>
  <c r="V33"/>
  <c r="N31" i="2"/>
  <c r="P30"/>
  <c r="S30"/>
  <c r="AB30"/>
  <c r="V30"/>
  <c r="Y30"/>
  <c r="U30" l="1"/>
  <c r="Z30"/>
  <c r="AA30" s="1"/>
  <c r="AD30"/>
  <c r="Q31"/>
  <c r="AC31"/>
  <c r="AC32" s="1"/>
  <c r="W31"/>
  <c r="X30"/>
  <c r="T31"/>
  <c r="J35" i="21"/>
  <c r="L35" s="1"/>
  <c r="M37"/>
  <c r="M33" i="2"/>
  <c r="U31" i="21"/>
  <c r="S32"/>
  <c r="AG31"/>
  <c r="P32"/>
  <c r="R31"/>
  <c r="AI31"/>
  <c r="AB32"/>
  <c r="AD31"/>
  <c r="N32" i="2"/>
  <c r="P31"/>
  <c r="AB31"/>
  <c r="S31"/>
  <c r="Y31"/>
  <c r="V31"/>
  <c r="AI30"/>
  <c r="AG30"/>
  <c r="R30"/>
  <c r="X33" i="21"/>
  <c r="V34"/>
  <c r="AA32"/>
  <c r="Y33"/>
  <c r="N37"/>
  <c r="Z31" i="2" l="1"/>
  <c r="Z32" s="1"/>
  <c r="Z35" i="21"/>
  <c r="AC35"/>
  <c r="AC36" s="1"/>
  <c r="Q35"/>
  <c r="Q36" s="1"/>
  <c r="T35"/>
  <c r="W35"/>
  <c r="AA31" i="2"/>
  <c r="AD31"/>
  <c r="X31"/>
  <c r="U31"/>
  <c r="W32"/>
  <c r="L32"/>
  <c r="J32"/>
  <c r="Z36" i="21"/>
  <c r="T36"/>
  <c r="W36"/>
  <c r="J36"/>
  <c r="L36" s="1"/>
  <c r="M34" i="2"/>
  <c r="M38" i="21"/>
  <c r="Q32" i="2"/>
  <c r="T32"/>
  <c r="U32" i="21"/>
  <c r="S33"/>
  <c r="AD32"/>
  <c r="AB33"/>
  <c r="AI32"/>
  <c r="P33"/>
  <c r="R32"/>
  <c r="AG32"/>
  <c r="N38"/>
  <c r="AI31" i="2"/>
  <c r="R31"/>
  <c r="AG31"/>
  <c r="AA33" i="21"/>
  <c r="Y34"/>
  <c r="X34"/>
  <c r="V35"/>
  <c r="N33" i="2"/>
  <c r="P32"/>
  <c r="S32"/>
  <c r="V32"/>
  <c r="Y32"/>
  <c r="AB32"/>
  <c r="AD32" s="1"/>
  <c r="X32" l="1"/>
  <c r="AA32"/>
  <c r="U32"/>
  <c r="Q33"/>
  <c r="Q34" s="1"/>
  <c r="L33"/>
  <c r="J33"/>
  <c r="L37" i="21"/>
  <c r="Z37"/>
  <c r="T37"/>
  <c r="AC37"/>
  <c r="W37"/>
  <c r="Q37"/>
  <c r="J37"/>
  <c r="M35" i="2"/>
  <c r="Z33"/>
  <c r="T33"/>
  <c r="W33"/>
  <c r="AC33"/>
  <c r="M39" i="21"/>
  <c r="U33"/>
  <c r="S34"/>
  <c r="AI33"/>
  <c r="P34"/>
  <c r="AG33"/>
  <c r="R33"/>
  <c r="AD33"/>
  <c r="AB34"/>
  <c r="R32" i="2"/>
  <c r="AI32"/>
  <c r="AG32"/>
  <c r="X35" i="21"/>
  <c r="V36"/>
  <c r="AA34"/>
  <c r="Y35"/>
  <c r="N34" i="2"/>
  <c r="P33"/>
  <c r="AB33"/>
  <c r="Y33"/>
  <c r="V33"/>
  <c r="S33"/>
  <c r="N39" i="21"/>
  <c r="AD33" i="2" l="1"/>
  <c r="AA33"/>
  <c r="X33"/>
  <c r="AC34"/>
  <c r="T34"/>
  <c r="U33"/>
  <c r="W34"/>
  <c r="Z34"/>
  <c r="M40" i="21"/>
  <c r="L34" i="2"/>
  <c r="J34"/>
  <c r="AC38" i="21"/>
  <c r="W38"/>
  <c r="Q38"/>
  <c r="L38"/>
  <c r="Z38"/>
  <c r="T38"/>
  <c r="J38"/>
  <c r="M36" i="2"/>
  <c r="U34" i="21"/>
  <c r="S35"/>
  <c r="AB35"/>
  <c r="AD34"/>
  <c r="R34"/>
  <c r="P35"/>
  <c r="AG34"/>
  <c r="AI34"/>
  <c r="N40"/>
  <c r="AG33" i="2"/>
  <c r="AI33"/>
  <c r="R33"/>
  <c r="AA35" i="21"/>
  <c r="Y36"/>
  <c r="X36"/>
  <c r="V37"/>
  <c r="N35" i="2"/>
  <c r="P34"/>
  <c r="Y34"/>
  <c r="AA34" s="1"/>
  <c r="AB34"/>
  <c r="V34"/>
  <c r="S34"/>
  <c r="U34" s="1"/>
  <c r="AD34" l="1"/>
  <c r="X34"/>
  <c r="M37"/>
  <c r="J36"/>
  <c r="L36" s="1"/>
  <c r="J35"/>
  <c r="L35" s="1"/>
  <c r="M41" i="21"/>
  <c r="AC39"/>
  <c r="W39"/>
  <c r="Q39"/>
  <c r="L39"/>
  <c r="Z39"/>
  <c r="T39"/>
  <c r="J39"/>
  <c r="U35"/>
  <c r="S36"/>
  <c r="AD35"/>
  <c r="AB36"/>
  <c r="AI35"/>
  <c r="AG35"/>
  <c r="R35"/>
  <c r="P36"/>
  <c r="AI34" i="2"/>
  <c r="R34"/>
  <c r="AG34"/>
  <c r="X37" i="21"/>
  <c r="V38"/>
  <c r="AA36"/>
  <c r="Y37"/>
  <c r="N41"/>
  <c r="N36" i="2"/>
  <c r="V35"/>
  <c r="AB35"/>
  <c r="Y35"/>
  <c r="P35"/>
  <c r="S35"/>
  <c r="W35" l="1"/>
  <c r="X35" s="1"/>
  <c r="Q35"/>
  <c r="Q36" s="1"/>
  <c r="Q37" s="1"/>
  <c r="AC35"/>
  <c r="AD35" s="1"/>
  <c r="T35"/>
  <c r="T36" s="1"/>
  <c r="Z35"/>
  <c r="AA35" s="1"/>
  <c r="AC40" i="21"/>
  <c r="W40"/>
  <c r="Q40"/>
  <c r="L40"/>
  <c r="Z40"/>
  <c r="T40"/>
  <c r="J40"/>
  <c r="M38" i="2"/>
  <c r="M42" i="21"/>
  <c r="U36"/>
  <c r="S37"/>
  <c r="AG36"/>
  <c r="P37"/>
  <c r="AI36"/>
  <c r="R36"/>
  <c r="AD36"/>
  <c r="AB37"/>
  <c r="AA37"/>
  <c r="Y38"/>
  <c r="X38"/>
  <c r="V39"/>
  <c r="AG35" i="2"/>
  <c r="AI35"/>
  <c r="N37"/>
  <c r="P36"/>
  <c r="AB36"/>
  <c r="V36"/>
  <c r="Y36"/>
  <c r="S36"/>
  <c r="N42" i="21"/>
  <c r="W36" i="2" l="1"/>
  <c r="W37" s="1"/>
  <c r="AC36"/>
  <c r="AD36" s="1"/>
  <c r="Z36"/>
  <c r="AA36" s="1"/>
  <c r="U35"/>
  <c r="R35"/>
  <c r="U36"/>
  <c r="X36"/>
  <c r="T37"/>
  <c r="AC41" i="21"/>
  <c r="W41"/>
  <c r="Q41"/>
  <c r="L41"/>
  <c r="Z41"/>
  <c r="T41"/>
  <c r="J41"/>
  <c r="M39" i="2"/>
  <c r="Q38"/>
  <c r="M43" i="21"/>
  <c r="L37" i="2"/>
  <c r="J37"/>
  <c r="U37" i="21"/>
  <c r="S38"/>
  <c r="AD37"/>
  <c r="AB38"/>
  <c r="AG37"/>
  <c r="R37"/>
  <c r="P38"/>
  <c r="AI37"/>
  <c r="R36" i="2"/>
  <c r="AI36"/>
  <c r="AG36"/>
  <c r="N43" i="21"/>
  <c r="N38" i="2"/>
  <c r="P37"/>
  <c r="Y37"/>
  <c r="AB37"/>
  <c r="S37"/>
  <c r="V37"/>
  <c r="X39" i="21"/>
  <c r="V40"/>
  <c r="AA38"/>
  <c r="Y39"/>
  <c r="U37" i="2" l="1"/>
  <c r="AC37"/>
  <c r="AC38" s="1"/>
  <c r="AC39" s="1"/>
  <c r="Z37"/>
  <c r="AA37" s="1"/>
  <c r="X37"/>
  <c r="T38"/>
  <c r="T39" s="1"/>
  <c r="AC42" i="21"/>
  <c r="W42"/>
  <c r="Q42"/>
  <c r="L42"/>
  <c r="Z42"/>
  <c r="T42"/>
  <c r="J42"/>
  <c r="M44"/>
  <c r="M40" i="2"/>
  <c r="W38"/>
  <c r="L38"/>
  <c r="J38"/>
  <c r="U38" i="21"/>
  <c r="S39"/>
  <c r="AI38"/>
  <c r="P39"/>
  <c r="AG38"/>
  <c r="R38"/>
  <c r="AB39"/>
  <c r="AD38"/>
  <c r="AA39"/>
  <c r="Y40"/>
  <c r="X40"/>
  <c r="V41"/>
  <c r="AG37" i="2"/>
  <c r="AI37"/>
  <c r="R37"/>
  <c r="N44" i="21"/>
  <c r="N39" i="2"/>
  <c r="P38"/>
  <c r="AB38"/>
  <c r="AD38" s="1"/>
  <c r="Y38"/>
  <c r="S38"/>
  <c r="V38"/>
  <c r="AD37" l="1"/>
  <c r="Z38"/>
  <c r="Z39" s="1"/>
  <c r="U38"/>
  <c r="X38"/>
  <c r="W39"/>
  <c r="L39"/>
  <c r="J39"/>
  <c r="AC43" i="21"/>
  <c r="W43"/>
  <c r="Q43"/>
  <c r="L43"/>
  <c r="Z43"/>
  <c r="T43"/>
  <c r="J43"/>
  <c r="Q39" i="2"/>
  <c r="T40"/>
  <c r="M41"/>
  <c r="M45" i="21"/>
  <c r="U39"/>
  <c r="S40"/>
  <c r="AB40"/>
  <c r="AD39"/>
  <c r="AI39"/>
  <c r="R39"/>
  <c r="P40"/>
  <c r="AG39"/>
  <c r="N40" i="2"/>
  <c r="P39"/>
  <c r="AB39"/>
  <c r="AD39" s="1"/>
  <c r="S39"/>
  <c r="U39" s="1"/>
  <c r="V39"/>
  <c r="Y39"/>
  <c r="X41" i="21"/>
  <c r="V42"/>
  <c r="AA40"/>
  <c r="Y41"/>
  <c r="R38" i="2"/>
  <c r="AI38"/>
  <c r="AG38"/>
  <c r="N45" i="21"/>
  <c r="AA38" i="2" l="1"/>
  <c r="AA39"/>
  <c r="X39"/>
  <c r="AC40"/>
  <c r="AC41" s="1"/>
  <c r="W40"/>
  <c r="Q40"/>
  <c r="M46" i="21"/>
  <c r="L40" i="2"/>
  <c r="J40"/>
  <c r="Z40"/>
  <c r="AC44" i="21"/>
  <c r="W44"/>
  <c r="Q44"/>
  <c r="L44"/>
  <c r="Z44"/>
  <c r="T44"/>
  <c r="J44"/>
  <c r="M42" i="2"/>
  <c r="U40" i="21"/>
  <c r="S41"/>
  <c r="R40"/>
  <c r="P41"/>
  <c r="AI40"/>
  <c r="AG40"/>
  <c r="AB41"/>
  <c r="AD40"/>
  <c r="N46"/>
  <c r="AA41"/>
  <c r="Y42"/>
  <c r="X42"/>
  <c r="V43"/>
  <c r="R39" i="2"/>
  <c r="AG39"/>
  <c r="AI39"/>
  <c r="N41"/>
  <c r="Y40"/>
  <c r="V40"/>
  <c r="X40" s="1"/>
  <c r="AB40"/>
  <c r="AD40" s="1"/>
  <c r="P40"/>
  <c r="S40"/>
  <c r="U40" s="1"/>
  <c r="AA40" l="1"/>
  <c r="Q41"/>
  <c r="Q42" s="1"/>
  <c r="T41"/>
  <c r="T42" s="1"/>
  <c r="M43"/>
  <c r="L41"/>
  <c r="J41"/>
  <c r="L45" i="21"/>
  <c r="AC45"/>
  <c r="W45"/>
  <c r="Q45"/>
  <c r="Z45"/>
  <c r="T45"/>
  <c r="J45"/>
  <c r="Z41" i="2"/>
  <c r="W41"/>
  <c r="M47" i="21"/>
  <c r="U41"/>
  <c r="S42"/>
  <c r="AB42"/>
  <c r="AD41"/>
  <c r="R41"/>
  <c r="AI41"/>
  <c r="AG41"/>
  <c r="P42"/>
  <c r="AG40" i="2"/>
  <c r="AI40"/>
  <c r="R40"/>
  <c r="N42"/>
  <c r="AB41"/>
  <c r="AD41" s="1"/>
  <c r="V41"/>
  <c r="Y41"/>
  <c r="S41"/>
  <c r="P41"/>
  <c r="X43" i="21"/>
  <c r="V44"/>
  <c r="AA42"/>
  <c r="Y43"/>
  <c r="N47"/>
  <c r="U41" i="2" l="1"/>
  <c r="X41"/>
  <c r="AC42"/>
  <c r="Z42"/>
  <c r="AA41"/>
  <c r="M48" i="21"/>
  <c r="AC46"/>
  <c r="W46"/>
  <c r="Q46"/>
  <c r="L46"/>
  <c r="Z46"/>
  <c r="T46"/>
  <c r="J46"/>
  <c r="M44" i="2"/>
  <c r="Q43"/>
  <c r="W42"/>
  <c r="L42"/>
  <c r="J42"/>
  <c r="U42" i="21"/>
  <c r="S43"/>
  <c r="AB43"/>
  <c r="AD42"/>
  <c r="AG42"/>
  <c r="P43"/>
  <c r="AI42"/>
  <c r="R42"/>
  <c r="P42" i="2"/>
  <c r="Y42"/>
  <c r="AB42"/>
  <c r="AD42" s="1"/>
  <c r="S42"/>
  <c r="U42" s="1"/>
  <c r="V42"/>
  <c r="N43"/>
  <c r="N48" i="21"/>
  <c r="AA43"/>
  <c r="Y44"/>
  <c r="X44"/>
  <c r="V45"/>
  <c r="AI41" i="2"/>
  <c r="AG41"/>
  <c r="R41"/>
  <c r="X42" l="1"/>
  <c r="AA42"/>
  <c r="Z43"/>
  <c r="Z44" s="1"/>
  <c r="T43"/>
  <c r="M45"/>
  <c r="L47" i="21"/>
  <c r="AC47"/>
  <c r="W47"/>
  <c r="Q47"/>
  <c r="Z47"/>
  <c r="T47"/>
  <c r="J47"/>
  <c r="W43" i="2"/>
  <c r="W44" s="1"/>
  <c r="AC43"/>
  <c r="L43"/>
  <c r="J43"/>
  <c r="M49" i="21"/>
  <c r="U43"/>
  <c r="S44"/>
  <c r="AD43"/>
  <c r="AB44"/>
  <c r="R43"/>
  <c r="AI43"/>
  <c r="P44"/>
  <c r="AG43"/>
  <c r="X45"/>
  <c r="V46"/>
  <c r="N44" i="2"/>
  <c r="P43"/>
  <c r="V43"/>
  <c r="S43"/>
  <c r="AB43"/>
  <c r="Y43"/>
  <c r="R42"/>
  <c r="AG42"/>
  <c r="AI42"/>
  <c r="AA44" i="21"/>
  <c r="Y45"/>
  <c r="N49"/>
  <c r="U43" i="2" l="1"/>
  <c r="AD43"/>
  <c r="AA43"/>
  <c r="X43"/>
  <c r="L48" i="21"/>
  <c r="Z48"/>
  <c r="T48"/>
  <c r="AC48"/>
  <c r="W48"/>
  <c r="Q48"/>
  <c r="J48"/>
  <c r="L44" i="2"/>
  <c r="J44"/>
  <c r="Q44"/>
  <c r="M50" i="21"/>
  <c r="Z45" i="2"/>
  <c r="M46"/>
  <c r="T44"/>
  <c r="AC44"/>
  <c r="U44" i="21"/>
  <c r="S45"/>
  <c r="R44"/>
  <c r="AI44"/>
  <c r="AG44"/>
  <c r="P45"/>
  <c r="AB45"/>
  <c r="AD44"/>
  <c r="N50"/>
  <c r="AI43" i="2"/>
  <c r="R43"/>
  <c r="AG43"/>
  <c r="X46" i="21"/>
  <c r="V47"/>
  <c r="AA45"/>
  <c r="Y46"/>
  <c r="N45" i="2"/>
  <c r="Y44"/>
  <c r="AA44" s="1"/>
  <c r="AB44"/>
  <c r="S44"/>
  <c r="V44"/>
  <c r="X44" s="1"/>
  <c r="P44"/>
  <c r="AD44" l="1"/>
  <c r="T45"/>
  <c r="U44"/>
  <c r="AC45"/>
  <c r="AC46" s="1"/>
  <c r="Q45"/>
  <c r="L45"/>
  <c r="J45"/>
  <c r="M51" i="21"/>
  <c r="W45" i="2"/>
  <c r="M47"/>
  <c r="L49" i="21"/>
  <c r="Z49"/>
  <c r="T49"/>
  <c r="AC49"/>
  <c r="W49"/>
  <c r="Q49"/>
  <c r="J49"/>
  <c r="U45"/>
  <c r="S46"/>
  <c r="AB46"/>
  <c r="AD45"/>
  <c r="AI45"/>
  <c r="P46"/>
  <c r="AG45"/>
  <c r="R45"/>
  <c r="N46" i="2"/>
  <c r="P45"/>
  <c r="V45"/>
  <c r="AB45"/>
  <c r="Y45"/>
  <c r="AA45" s="1"/>
  <c r="S45"/>
  <c r="AI44"/>
  <c r="AG44"/>
  <c r="R44"/>
  <c r="AA46" i="21"/>
  <c r="Y47"/>
  <c r="X47"/>
  <c r="V48"/>
  <c r="N51"/>
  <c r="X45" i="2" l="1"/>
  <c r="AD45"/>
  <c r="U45"/>
  <c r="Q46"/>
  <c r="Z46"/>
  <c r="W46"/>
  <c r="W47" s="1"/>
  <c r="M48"/>
  <c r="L46"/>
  <c r="J46"/>
  <c r="M52" i="21"/>
  <c r="T46" i="2"/>
  <c r="L50" i="21"/>
  <c r="Z50"/>
  <c r="T50"/>
  <c r="AC50"/>
  <c r="W50"/>
  <c r="Q50"/>
  <c r="J50"/>
  <c r="U46"/>
  <c r="S47"/>
  <c r="AD46"/>
  <c r="AB47"/>
  <c r="R46"/>
  <c r="AI46"/>
  <c r="AG46"/>
  <c r="P47"/>
  <c r="AG45" i="2"/>
  <c r="R45"/>
  <c r="AI45"/>
  <c r="N52" i="21"/>
  <c r="X48"/>
  <c r="V49"/>
  <c r="AA47"/>
  <c r="Y48"/>
  <c r="N47" i="2"/>
  <c r="P46"/>
  <c r="S46"/>
  <c r="Y46"/>
  <c r="AB46"/>
  <c r="AD46" s="1"/>
  <c r="V46"/>
  <c r="X46" s="1"/>
  <c r="AA46" l="1"/>
  <c r="AC47"/>
  <c r="Q47"/>
  <c r="Z47"/>
  <c r="T47"/>
  <c r="T48" s="1"/>
  <c r="U46"/>
  <c r="M53" i="21"/>
  <c r="L47" i="2"/>
  <c r="J47"/>
  <c r="Z51" i="21"/>
  <c r="T51"/>
  <c r="AC51"/>
  <c r="W51"/>
  <c r="Q51"/>
  <c r="J51"/>
  <c r="L51" s="1"/>
  <c r="M49" i="2"/>
  <c r="U47" i="21"/>
  <c r="S48"/>
  <c r="AG47"/>
  <c r="R47"/>
  <c r="P48"/>
  <c r="AI47"/>
  <c r="AB48"/>
  <c r="AD47"/>
  <c r="R46" i="2"/>
  <c r="AI46"/>
  <c r="AG46"/>
  <c r="AA48" i="21"/>
  <c r="Y49"/>
  <c r="X49"/>
  <c r="V50"/>
  <c r="P47" i="2"/>
  <c r="S47"/>
  <c r="U47" s="1"/>
  <c r="V47"/>
  <c r="X47" s="1"/>
  <c r="AB47"/>
  <c r="Y47"/>
  <c r="AA47" s="1"/>
  <c r="N48"/>
  <c r="N53" i="21"/>
  <c r="AD47" i="2" l="1"/>
  <c r="W48"/>
  <c r="Q48"/>
  <c r="Q49" s="1"/>
  <c r="L48"/>
  <c r="J48"/>
  <c r="L52" i="21"/>
  <c r="Z52"/>
  <c r="T52"/>
  <c r="AC52"/>
  <c r="W52"/>
  <c r="Q52"/>
  <c r="J52"/>
  <c r="AC48" i="2"/>
  <c r="Z48"/>
  <c r="M50"/>
  <c r="M54" i="21"/>
  <c r="U48"/>
  <c r="S49"/>
  <c r="AD48"/>
  <c r="AB49"/>
  <c r="R48"/>
  <c r="AI48"/>
  <c r="AG48"/>
  <c r="P49"/>
  <c r="AG47" i="2"/>
  <c r="AI47"/>
  <c r="R47"/>
  <c r="N54" i="21"/>
  <c r="N49" i="2"/>
  <c r="P48"/>
  <c r="S48"/>
  <c r="U48" s="1"/>
  <c r="Y48"/>
  <c r="AB48"/>
  <c r="V48"/>
  <c r="X48" s="1"/>
  <c r="X50" i="21"/>
  <c r="V51"/>
  <c r="AA49"/>
  <c r="Y50"/>
  <c r="AD48" i="2" l="1"/>
  <c r="AA48"/>
  <c r="AC53" i="21"/>
  <c r="W53"/>
  <c r="Q53"/>
  <c r="L53"/>
  <c r="Z53"/>
  <c r="T53"/>
  <c r="J53"/>
  <c r="L49" i="2"/>
  <c r="J49"/>
  <c r="M55" i="21"/>
  <c r="Q50" i="2"/>
  <c r="M51"/>
  <c r="Z49"/>
  <c r="W49"/>
  <c r="W50" s="1"/>
  <c r="T49"/>
  <c r="AC49"/>
  <c r="AC50" s="1"/>
  <c r="U49" i="21"/>
  <c r="S50"/>
  <c r="R49"/>
  <c r="P50"/>
  <c r="AI49"/>
  <c r="AG49"/>
  <c r="AD49"/>
  <c r="AB50"/>
  <c r="N50" i="2"/>
  <c r="V49"/>
  <c r="AB49"/>
  <c r="Y49"/>
  <c r="P49"/>
  <c r="S49"/>
  <c r="AA50" i="21"/>
  <c r="Y51"/>
  <c r="X51"/>
  <c r="V52"/>
  <c r="AI48" i="2"/>
  <c r="AG48"/>
  <c r="R48"/>
  <c r="N55" i="21"/>
  <c r="X49" i="2" l="1"/>
  <c r="AD49"/>
  <c r="U49"/>
  <c r="AA49"/>
  <c r="J51"/>
  <c r="L51" s="1"/>
  <c r="M52"/>
  <c r="M56" i="21"/>
  <c r="T50" i="2"/>
  <c r="T51" s="1"/>
  <c r="Z50"/>
  <c r="L50"/>
  <c r="J50"/>
  <c r="L54" i="21"/>
  <c r="Z54"/>
  <c r="T54"/>
  <c r="AC54"/>
  <c r="W54"/>
  <c r="Q54"/>
  <c r="J54"/>
  <c r="U50"/>
  <c r="S51"/>
  <c r="AB51"/>
  <c r="AD50"/>
  <c r="AI50"/>
  <c r="R50"/>
  <c r="AG50"/>
  <c r="P51"/>
  <c r="X52"/>
  <c r="V53"/>
  <c r="R49" i="2"/>
  <c r="AI49"/>
  <c r="AG49"/>
  <c r="Y50"/>
  <c r="AB50"/>
  <c r="AD50" s="1"/>
  <c r="V50"/>
  <c r="X50" s="1"/>
  <c r="N51"/>
  <c r="P50"/>
  <c r="S50"/>
  <c r="N56" i="21"/>
  <c r="AA51"/>
  <c r="Y52"/>
  <c r="AA50" i="2" l="1"/>
  <c r="U50"/>
  <c r="W51"/>
  <c r="Q51"/>
  <c r="AC51"/>
  <c r="Z51"/>
  <c r="M57" i="21"/>
  <c r="AC55"/>
  <c r="W55"/>
  <c r="Q55"/>
  <c r="L55"/>
  <c r="Z55"/>
  <c r="T55"/>
  <c r="J55"/>
  <c r="M53" i="2"/>
  <c r="T52"/>
  <c r="U51" i="21"/>
  <c r="S52"/>
  <c r="AB52"/>
  <c r="AD51"/>
  <c r="R51"/>
  <c r="AG51"/>
  <c r="P52"/>
  <c r="AI51"/>
  <c r="AI50" i="2"/>
  <c r="R50"/>
  <c r="AG50"/>
  <c r="X53" i="21"/>
  <c r="V54"/>
  <c r="AA52"/>
  <c r="Y53"/>
  <c r="N57"/>
  <c r="N52" i="2"/>
  <c r="V51"/>
  <c r="AB51"/>
  <c r="Y51"/>
  <c r="P51"/>
  <c r="S51"/>
  <c r="U51" s="1"/>
  <c r="X51" l="1"/>
  <c r="AA51"/>
  <c r="AD51"/>
  <c r="AC52"/>
  <c r="Z52"/>
  <c r="Q52"/>
  <c r="L52"/>
  <c r="J52"/>
  <c r="L56" i="21"/>
  <c r="Z56"/>
  <c r="T56"/>
  <c r="AC56"/>
  <c r="W56"/>
  <c r="Q56"/>
  <c r="J56"/>
  <c r="W52" i="2"/>
  <c r="M54"/>
  <c r="AC53"/>
  <c r="M58" i="21"/>
  <c r="U52"/>
  <c r="S53"/>
  <c r="AG52"/>
  <c r="P53"/>
  <c r="R52"/>
  <c r="AI52"/>
  <c r="AB53"/>
  <c r="AD52"/>
  <c r="R51" i="2"/>
  <c r="AG51"/>
  <c r="AI51"/>
  <c r="S52"/>
  <c r="U52" s="1"/>
  <c r="Y52"/>
  <c r="AB52"/>
  <c r="V52"/>
  <c r="N53"/>
  <c r="P52"/>
  <c r="N58" i="21"/>
  <c r="AA53"/>
  <c r="Y54"/>
  <c r="X54"/>
  <c r="V55"/>
  <c r="AD52" i="2" l="1"/>
  <c r="AA52"/>
  <c r="X52"/>
  <c r="Q53"/>
  <c r="Q54" s="1"/>
  <c r="T53"/>
  <c r="Z53"/>
  <c r="M59" i="21"/>
  <c r="L53" i="2"/>
  <c r="J53"/>
  <c r="W53"/>
  <c r="L57" i="21"/>
  <c r="Z57"/>
  <c r="T57"/>
  <c r="AC57"/>
  <c r="W57"/>
  <c r="Q57"/>
  <c r="J57"/>
  <c r="M55" i="2"/>
  <c r="U53" i="21"/>
  <c r="S54"/>
  <c r="AD53"/>
  <c r="AB54"/>
  <c r="AI53"/>
  <c r="R53"/>
  <c r="AG53"/>
  <c r="P54"/>
  <c r="X55"/>
  <c r="V56"/>
  <c r="AA54"/>
  <c r="Y55"/>
  <c r="N59"/>
  <c r="R52" i="2"/>
  <c r="AI52"/>
  <c r="AG52"/>
  <c r="P53"/>
  <c r="V53"/>
  <c r="X53" s="1"/>
  <c r="AB53"/>
  <c r="AD53" s="1"/>
  <c r="Y53"/>
  <c r="AA53" s="1"/>
  <c r="S53"/>
  <c r="U53" s="1"/>
  <c r="N54"/>
  <c r="Q55" l="1"/>
  <c r="M56"/>
  <c r="L58" i="21"/>
  <c r="Z58"/>
  <c r="T58"/>
  <c r="AC58"/>
  <c r="W58"/>
  <c r="Q58"/>
  <c r="J58"/>
  <c r="AC54" i="2"/>
  <c r="T54"/>
  <c r="T55" s="1"/>
  <c r="Z54"/>
  <c r="L54"/>
  <c r="J54"/>
  <c r="M60" i="21"/>
  <c r="W54" i="2"/>
  <c r="W55" s="1"/>
  <c r="U54" i="21"/>
  <c r="S55"/>
  <c r="R54"/>
  <c r="AG54"/>
  <c r="P55"/>
  <c r="AI54"/>
  <c r="AB55"/>
  <c r="AD54"/>
  <c r="AI53" i="2"/>
  <c r="R53"/>
  <c r="AG53"/>
  <c r="AA55" i="21"/>
  <c r="Y56"/>
  <c r="X56"/>
  <c r="V57"/>
  <c r="P54" i="2"/>
  <c r="V54"/>
  <c r="N55"/>
  <c r="S54"/>
  <c r="U54" s="1"/>
  <c r="Y54"/>
  <c r="AB54"/>
  <c r="N60" i="21"/>
  <c r="AD54" i="2" l="1"/>
  <c r="X54"/>
  <c r="AA54"/>
  <c r="L59" i="21"/>
  <c r="Z59"/>
  <c r="T59"/>
  <c r="AC59"/>
  <c r="W59"/>
  <c r="Q59"/>
  <c r="J59"/>
  <c r="M61"/>
  <c r="M57" i="2"/>
  <c r="T56"/>
  <c r="Z55"/>
  <c r="AC55"/>
  <c r="L55"/>
  <c r="J55"/>
  <c r="U55" i="21"/>
  <c r="S56"/>
  <c r="AB56"/>
  <c r="AD55"/>
  <c r="AG55"/>
  <c r="P56"/>
  <c r="AI55"/>
  <c r="R55"/>
  <c r="R54" i="2"/>
  <c r="AI54"/>
  <c r="AG54"/>
  <c r="N61" i="21"/>
  <c r="X57"/>
  <c r="V58"/>
  <c r="AA56"/>
  <c r="Y57"/>
  <c r="N56" i="2"/>
  <c r="P55"/>
  <c r="AB55"/>
  <c r="Y55"/>
  <c r="S55"/>
  <c r="U55" s="1"/>
  <c r="V55"/>
  <c r="X55" s="1"/>
  <c r="AA55" l="1"/>
  <c r="AD55"/>
  <c r="L56"/>
  <c r="J56"/>
  <c r="M62" i="21"/>
  <c r="M58" i="2"/>
  <c r="T57"/>
  <c r="L60" i="21"/>
  <c r="Z60"/>
  <c r="T60"/>
  <c r="AC60"/>
  <c r="W60"/>
  <c r="Q60"/>
  <c r="J60"/>
  <c r="W56" i="2"/>
  <c r="Z56"/>
  <c r="Q56"/>
  <c r="AC56"/>
  <c r="U56" i="21"/>
  <c r="S57"/>
  <c r="AD56"/>
  <c r="AB57"/>
  <c r="AG56"/>
  <c r="R56"/>
  <c r="AI56"/>
  <c r="P57"/>
  <c r="AI55" i="2"/>
  <c r="R55"/>
  <c r="AG55"/>
  <c r="AA57" i="21"/>
  <c r="Y58"/>
  <c r="X58"/>
  <c r="V59"/>
  <c r="N62"/>
  <c r="S56" i="2"/>
  <c r="U56" s="1"/>
  <c r="Y56"/>
  <c r="AA56" s="1"/>
  <c r="AB56"/>
  <c r="V56"/>
  <c r="N57"/>
  <c r="P56"/>
  <c r="X56" l="1"/>
  <c r="AC57"/>
  <c r="AC58" s="1"/>
  <c r="Z57"/>
  <c r="AD56"/>
  <c r="M59"/>
  <c r="L61" i="21"/>
  <c r="Z61"/>
  <c r="T61"/>
  <c r="AC61"/>
  <c r="W61"/>
  <c r="Q61"/>
  <c r="J61"/>
  <c r="Q57" i="2"/>
  <c r="W57"/>
  <c r="W58" s="1"/>
  <c r="L57"/>
  <c r="J57"/>
  <c r="M63" i="21"/>
  <c r="U57"/>
  <c r="S58"/>
  <c r="AI57"/>
  <c r="AG57"/>
  <c r="R57"/>
  <c r="P58"/>
  <c r="AD57"/>
  <c r="AB58"/>
  <c r="P57" i="2"/>
  <c r="N58"/>
  <c r="Y57"/>
  <c r="S57"/>
  <c r="U57" s="1"/>
  <c r="V57"/>
  <c r="AB57"/>
  <c r="N63" i="21"/>
  <c r="R56" i="2"/>
  <c r="AI56"/>
  <c r="AG56"/>
  <c r="X59" i="21"/>
  <c r="V60"/>
  <c r="AA58"/>
  <c r="Y59"/>
  <c r="AA57" i="2" l="1"/>
  <c r="AD57"/>
  <c r="X57"/>
  <c r="Z58"/>
  <c r="T58"/>
  <c r="Q58"/>
  <c r="AC62" i="21"/>
  <c r="W62"/>
  <c r="Q62"/>
  <c r="L62"/>
  <c r="Z62"/>
  <c r="T62"/>
  <c r="J62"/>
  <c r="L58" i="2"/>
  <c r="J58"/>
  <c r="M64" i="21"/>
  <c r="M60" i="2"/>
  <c r="AC59"/>
  <c r="U58" i="21"/>
  <c r="S59"/>
  <c r="AD58"/>
  <c r="AB59"/>
  <c r="AI58"/>
  <c r="P59"/>
  <c r="R58"/>
  <c r="AG58"/>
  <c r="N64"/>
  <c r="V58" i="2"/>
  <c r="X58" s="1"/>
  <c r="S58"/>
  <c r="U58" s="1"/>
  <c r="Y58"/>
  <c r="AA58" s="1"/>
  <c r="N59"/>
  <c r="P58"/>
  <c r="AB58"/>
  <c r="AD58" s="1"/>
  <c r="AA59" i="21"/>
  <c r="Y60"/>
  <c r="X60"/>
  <c r="V61"/>
  <c r="R57" i="2"/>
  <c r="AI57"/>
  <c r="AG57"/>
  <c r="Q59" l="1"/>
  <c r="Q60" s="1"/>
  <c r="T59"/>
  <c r="T60" s="1"/>
  <c r="L59"/>
  <c r="J59"/>
  <c r="M65" i="21"/>
  <c r="W59" i="2"/>
  <c r="M61"/>
  <c r="AC60"/>
  <c r="L63" i="21"/>
  <c r="Z63"/>
  <c r="T63"/>
  <c r="AC63"/>
  <c r="W63"/>
  <c r="Q63"/>
  <c r="J63"/>
  <c r="Z59" i="2"/>
  <c r="Z60" s="1"/>
  <c r="U59" i="21"/>
  <c r="S60"/>
  <c r="AG59"/>
  <c r="R59"/>
  <c r="AI59"/>
  <c r="P60"/>
  <c r="AD59"/>
  <c r="AB60"/>
  <c r="X61"/>
  <c r="V62"/>
  <c r="AA60"/>
  <c r="Y61"/>
  <c r="P59" i="2"/>
  <c r="N60"/>
  <c r="Y59"/>
  <c r="S59"/>
  <c r="V59"/>
  <c r="AB59"/>
  <c r="AD59" s="1"/>
  <c r="R58"/>
  <c r="AI58"/>
  <c r="AG58"/>
  <c r="N65" i="21"/>
  <c r="X59" i="2" l="1"/>
  <c r="AA59"/>
  <c r="U59"/>
  <c r="AC61"/>
  <c r="M62"/>
  <c r="M66" i="21"/>
  <c r="T61" i="2"/>
  <c r="L60"/>
  <c r="J60"/>
  <c r="AC64" i="21"/>
  <c r="W64"/>
  <c r="Q64"/>
  <c r="L64"/>
  <c r="Z64"/>
  <c r="T64"/>
  <c r="J64"/>
  <c r="Z61" i="2"/>
  <c r="W60"/>
  <c r="U60" i="21"/>
  <c r="S61"/>
  <c r="AB61"/>
  <c r="AD60"/>
  <c r="R60"/>
  <c r="P61"/>
  <c r="AI60"/>
  <c r="AG60"/>
  <c r="N61" i="2"/>
  <c r="P60"/>
  <c r="AB60"/>
  <c r="AD60" s="1"/>
  <c r="V60"/>
  <c r="S60"/>
  <c r="U60" s="1"/>
  <c r="Y60"/>
  <c r="AA60" s="1"/>
  <c r="AA61" i="21"/>
  <c r="Y62"/>
  <c r="X62"/>
  <c r="V63"/>
  <c r="N66"/>
  <c r="AI59" i="2"/>
  <c r="R59"/>
  <c r="AG59"/>
  <c r="X60" l="1"/>
  <c r="W61"/>
  <c r="M67" i="21"/>
  <c r="AC62" i="2"/>
  <c r="M63"/>
  <c r="Q61"/>
  <c r="AC65" i="21"/>
  <c r="W65"/>
  <c r="Q65"/>
  <c r="L65"/>
  <c r="Z65"/>
  <c r="T65"/>
  <c r="J65"/>
  <c r="L61" i="2"/>
  <c r="J61"/>
  <c r="T62"/>
  <c r="U61" i="21"/>
  <c r="S62"/>
  <c r="AB62"/>
  <c r="AD61"/>
  <c r="AI61"/>
  <c r="P62"/>
  <c r="AG61"/>
  <c r="R61"/>
  <c r="X63"/>
  <c r="V64"/>
  <c r="AA62"/>
  <c r="Y63"/>
  <c r="AI60" i="2"/>
  <c r="AG60"/>
  <c r="R60"/>
  <c r="N67" i="21"/>
  <c r="N62" i="2"/>
  <c r="P61"/>
  <c r="AB61"/>
  <c r="AD61" s="1"/>
  <c r="Y61"/>
  <c r="AA61" s="1"/>
  <c r="S61"/>
  <c r="U61" s="1"/>
  <c r="V61"/>
  <c r="X61" s="1"/>
  <c r="AC63" l="1"/>
  <c r="M64"/>
  <c r="M68" i="21"/>
  <c r="T63" i="2"/>
  <c r="Z62"/>
  <c r="W62"/>
  <c r="W63" s="1"/>
  <c r="Q62"/>
  <c r="L62"/>
  <c r="J62"/>
  <c r="AC66" i="21"/>
  <c r="W66"/>
  <c r="Q66"/>
  <c r="Z66"/>
  <c r="T66"/>
  <c r="J66"/>
  <c r="L66" s="1"/>
  <c r="U62"/>
  <c r="S63"/>
  <c r="AB63"/>
  <c r="AD62"/>
  <c r="AG62"/>
  <c r="P63"/>
  <c r="R62"/>
  <c r="AI62"/>
  <c r="N63" i="2"/>
  <c r="V62"/>
  <c r="S62"/>
  <c r="U62" s="1"/>
  <c r="Y62"/>
  <c r="AA62" s="1"/>
  <c r="AB62"/>
  <c r="AD62" s="1"/>
  <c r="P62"/>
  <c r="N68" i="21"/>
  <c r="AA63"/>
  <c r="Y64"/>
  <c r="X64"/>
  <c r="V65"/>
  <c r="R61" i="2"/>
  <c r="AI61"/>
  <c r="AG61"/>
  <c r="X62" l="1"/>
  <c r="AC67" i="21"/>
  <c r="W67"/>
  <c r="Q67"/>
  <c r="L67"/>
  <c r="Z67"/>
  <c r="T67"/>
  <c r="J67"/>
  <c r="M65" i="2"/>
  <c r="T64"/>
  <c r="Q63"/>
  <c r="Z63"/>
  <c r="Z64" s="1"/>
  <c r="M69" i="21"/>
  <c r="L63" i="2"/>
  <c r="J63"/>
  <c r="U63" i="21"/>
  <c r="S64"/>
  <c r="AB64"/>
  <c r="AD63"/>
  <c r="AI63"/>
  <c r="R63"/>
  <c r="AG63"/>
  <c r="P64"/>
  <c r="AA64"/>
  <c r="Y65"/>
  <c r="N69"/>
  <c r="AI62" i="2"/>
  <c r="AG62"/>
  <c r="R62"/>
  <c r="N64"/>
  <c r="P63"/>
  <c r="AB63"/>
  <c r="AD63" s="1"/>
  <c r="Y63"/>
  <c r="S63"/>
  <c r="U63" s="1"/>
  <c r="V63"/>
  <c r="X63" s="1"/>
  <c r="X65" i="21"/>
  <c r="V66"/>
  <c r="AA63" i="2" l="1"/>
  <c r="M70" i="21"/>
  <c r="L64" i="2"/>
  <c r="J64"/>
  <c r="L68" i="21"/>
  <c r="Z68"/>
  <c r="T68"/>
  <c r="AC68"/>
  <c r="W68"/>
  <c r="Q68"/>
  <c r="J68"/>
  <c r="M66" i="2"/>
  <c r="W64"/>
  <c r="Q64"/>
  <c r="AC64"/>
  <c r="U64" i="21"/>
  <c r="S65"/>
  <c r="AD64"/>
  <c r="AB65"/>
  <c r="AI64"/>
  <c r="R64"/>
  <c r="P65"/>
  <c r="AG64"/>
  <c r="N65" i="2"/>
  <c r="V64"/>
  <c r="X64" s="1"/>
  <c r="S64"/>
  <c r="U64" s="1"/>
  <c r="Y64"/>
  <c r="AA64" s="1"/>
  <c r="AB64"/>
  <c r="P64"/>
  <c r="N70" i="21"/>
  <c r="AA65"/>
  <c r="Y66"/>
  <c r="X66"/>
  <c r="V67"/>
  <c r="R63" i="2"/>
  <c r="AI63"/>
  <c r="AG63"/>
  <c r="AD64" l="1"/>
  <c r="L65"/>
  <c r="J65"/>
  <c r="M67"/>
  <c r="J66"/>
  <c r="L66" s="1"/>
  <c r="M71" i="21"/>
  <c r="T65" i="2"/>
  <c r="Q65"/>
  <c r="AC69" i="21"/>
  <c r="W69"/>
  <c r="Q69"/>
  <c r="L69"/>
  <c r="Z69"/>
  <c r="T69"/>
  <c r="J69"/>
  <c r="Z65" i="2"/>
  <c r="Z66" s="1"/>
  <c r="AC65"/>
  <c r="W65"/>
  <c r="W66" s="1"/>
  <c r="U65" i="21"/>
  <c r="S66"/>
  <c r="R65"/>
  <c r="AI65"/>
  <c r="AG65"/>
  <c r="P66"/>
  <c r="AB66"/>
  <c r="AD65"/>
  <c r="N71"/>
  <c r="N66" i="2"/>
  <c r="P65"/>
  <c r="Y65"/>
  <c r="AB65"/>
  <c r="AD65" s="1"/>
  <c r="S65"/>
  <c r="V65"/>
  <c r="X67" i="21"/>
  <c r="V68"/>
  <c r="AA66"/>
  <c r="Y67"/>
  <c r="R64" i="2"/>
  <c r="AI64"/>
  <c r="AG64"/>
  <c r="AA65" l="1"/>
  <c r="X65"/>
  <c r="U65"/>
  <c r="Q66"/>
  <c r="Q67" s="1"/>
  <c r="M72" i="21"/>
  <c r="L70"/>
  <c r="Z70"/>
  <c r="T70"/>
  <c r="AC70"/>
  <c r="W70"/>
  <c r="Q70"/>
  <c r="J70"/>
  <c r="M68" i="2"/>
  <c r="AC66"/>
  <c r="T66"/>
  <c r="U66" i="21"/>
  <c r="S67"/>
  <c r="AB67"/>
  <c r="AD66"/>
  <c r="AG66"/>
  <c r="AI66"/>
  <c r="R66"/>
  <c r="P67"/>
  <c r="N67" i="2"/>
  <c r="P66"/>
  <c r="S66"/>
  <c r="AB66"/>
  <c r="V66"/>
  <c r="X66" s="1"/>
  <c r="Y66"/>
  <c r="AA66" s="1"/>
  <c r="AA67" i="21"/>
  <c r="Y68"/>
  <c r="X68"/>
  <c r="V69"/>
  <c r="AG65" i="2"/>
  <c r="R65"/>
  <c r="AI65"/>
  <c r="N72" i="21"/>
  <c r="N73"/>
  <c r="U66" i="2" l="1"/>
  <c r="AD66"/>
  <c r="Z67"/>
  <c r="W67"/>
  <c r="W68" s="1"/>
  <c r="AC67"/>
  <c r="Q68"/>
  <c r="M69"/>
  <c r="M73" i="21"/>
  <c r="T67" i="2"/>
  <c r="T68" s="1"/>
  <c r="L67"/>
  <c r="J67"/>
  <c r="AC71" i="21"/>
  <c r="W71"/>
  <c r="Q71"/>
  <c r="L71"/>
  <c r="Z71"/>
  <c r="T71"/>
  <c r="J71"/>
  <c r="U67"/>
  <c r="S68"/>
  <c r="AB68"/>
  <c r="AD67"/>
  <c r="AG67"/>
  <c r="P68"/>
  <c r="R67"/>
  <c r="AI67"/>
  <c r="Y67" i="2"/>
  <c r="V67"/>
  <c r="X67" s="1"/>
  <c r="N68"/>
  <c r="P67"/>
  <c r="AB67"/>
  <c r="S67"/>
  <c r="N74" i="21"/>
  <c r="X69"/>
  <c r="V70"/>
  <c r="AA68"/>
  <c r="Y69"/>
  <c r="AI66" i="2"/>
  <c r="R66"/>
  <c r="AG66"/>
  <c r="U67" l="1"/>
  <c r="AD67"/>
  <c r="AA67"/>
  <c r="Z68"/>
  <c r="Z69" s="1"/>
  <c r="M74" i="21"/>
  <c r="M70" i="2"/>
  <c r="AC68"/>
  <c r="L72" i="21"/>
  <c r="Z72"/>
  <c r="T72"/>
  <c r="AC72"/>
  <c r="W72"/>
  <c r="Q72"/>
  <c r="J72"/>
  <c r="L68" i="2"/>
  <c r="J68"/>
  <c r="U68" i="21"/>
  <c r="S69"/>
  <c r="AB69"/>
  <c r="AD68"/>
  <c r="R68"/>
  <c r="AG68"/>
  <c r="AI68"/>
  <c r="P69"/>
  <c r="AA69"/>
  <c r="Y70"/>
  <c r="X70"/>
  <c r="V71"/>
  <c r="N75"/>
  <c r="N69" i="2"/>
  <c r="P68"/>
  <c r="V68"/>
  <c r="X68" s="1"/>
  <c r="Y68"/>
  <c r="S68"/>
  <c r="U68" s="1"/>
  <c r="AB68"/>
  <c r="AD68" s="1"/>
  <c r="R67"/>
  <c r="AI67"/>
  <c r="AG67"/>
  <c r="AA68" l="1"/>
  <c r="W69"/>
  <c r="T69"/>
  <c r="AC69"/>
  <c r="L69"/>
  <c r="J69"/>
  <c r="M75" i="21"/>
  <c r="Q69" i="2"/>
  <c r="M71"/>
  <c r="W70"/>
  <c r="L73" i="21"/>
  <c r="Z73"/>
  <c r="T73"/>
  <c r="AC73"/>
  <c r="W73"/>
  <c r="Q73"/>
  <c r="J73"/>
  <c r="U69"/>
  <c r="S70"/>
  <c r="AD69"/>
  <c r="AB70"/>
  <c r="AG69"/>
  <c r="P70"/>
  <c r="R69"/>
  <c r="AI69"/>
  <c r="R68" i="2"/>
  <c r="AG68"/>
  <c r="AI68"/>
  <c r="N76" i="21"/>
  <c r="X71"/>
  <c r="V72"/>
  <c r="AA70"/>
  <c r="Y71"/>
  <c r="N70" i="2"/>
  <c r="P69"/>
  <c r="Y69"/>
  <c r="AA69" s="1"/>
  <c r="V69"/>
  <c r="AB69"/>
  <c r="AD69" s="1"/>
  <c r="S69"/>
  <c r="X69" l="1"/>
  <c r="U69"/>
  <c r="T70"/>
  <c r="T71" s="1"/>
  <c r="Z70"/>
  <c r="Z71" s="1"/>
  <c r="M72"/>
  <c r="L74" i="21"/>
  <c r="Z74"/>
  <c r="T74"/>
  <c r="AC74"/>
  <c r="W74"/>
  <c r="Q74"/>
  <c r="J74"/>
  <c r="AC70" i="2"/>
  <c r="L70"/>
  <c r="J70"/>
  <c r="M76" i="21"/>
  <c r="Q70" i="2"/>
  <c r="U70" i="21"/>
  <c r="S71"/>
  <c r="R70"/>
  <c r="AI70"/>
  <c r="AG70"/>
  <c r="P71"/>
  <c r="AB71"/>
  <c r="AD70"/>
  <c r="AI69" i="2"/>
  <c r="AG69"/>
  <c r="R69"/>
  <c r="AA71" i="21"/>
  <c r="Y72"/>
  <c r="X72"/>
  <c r="V73"/>
  <c r="N71" i="2"/>
  <c r="S70"/>
  <c r="AB70"/>
  <c r="AD70" s="1"/>
  <c r="V70"/>
  <c r="X70" s="1"/>
  <c r="Y70"/>
  <c r="P70"/>
  <c r="N77" i="21"/>
  <c r="AA70" i="2" l="1"/>
  <c r="U70"/>
  <c r="Q71"/>
  <c r="L75" i="21"/>
  <c r="Z75"/>
  <c r="T75"/>
  <c r="AC75"/>
  <c r="W75"/>
  <c r="Q75"/>
  <c r="J75"/>
  <c r="L71" i="2"/>
  <c r="J71"/>
  <c r="W71"/>
  <c r="M77" i="21"/>
  <c r="Q72" i="2"/>
  <c r="M73"/>
  <c r="AC71"/>
  <c r="U71" i="21"/>
  <c r="S72"/>
  <c r="AB72"/>
  <c r="AD71"/>
  <c r="AG71"/>
  <c r="P72"/>
  <c r="AI71"/>
  <c r="R71"/>
  <c r="AI70" i="2"/>
  <c r="AG70"/>
  <c r="R70"/>
  <c r="X73" i="21"/>
  <c r="V74"/>
  <c r="AA72"/>
  <c r="Y73"/>
  <c r="N78"/>
  <c r="N73" i="2"/>
  <c r="P71"/>
  <c r="Y71"/>
  <c r="AA71" s="1"/>
  <c r="V71"/>
  <c r="AB71"/>
  <c r="S71"/>
  <c r="U71" s="1"/>
  <c r="N72"/>
  <c r="AD71" l="1"/>
  <c r="X71"/>
  <c r="L72"/>
  <c r="J72"/>
  <c r="L76" i="21"/>
  <c r="Z76"/>
  <c r="T76"/>
  <c r="AC76"/>
  <c r="W76"/>
  <c r="Q76"/>
  <c r="J76"/>
  <c r="Z72" i="2"/>
  <c r="M74"/>
  <c r="M78" i="21"/>
  <c r="AC72" i="2"/>
  <c r="W72"/>
  <c r="T72"/>
  <c r="U72" i="21"/>
  <c r="S73"/>
  <c r="AD72"/>
  <c r="AB73"/>
  <c r="AG72"/>
  <c r="AI72"/>
  <c r="R72"/>
  <c r="P73"/>
  <c r="P72" i="2"/>
  <c r="P73" s="1"/>
  <c r="AB72"/>
  <c r="AD72" s="1"/>
  <c r="S72"/>
  <c r="S73" s="1"/>
  <c r="V72"/>
  <c r="V73" s="1"/>
  <c r="Y72"/>
  <c r="AA72" s="1"/>
  <c r="AB73"/>
  <c r="N74"/>
  <c r="N79" i="21"/>
  <c r="AA73"/>
  <c r="Y74"/>
  <c r="X74"/>
  <c r="V75"/>
  <c r="R71" i="2"/>
  <c r="AG71"/>
  <c r="AI71"/>
  <c r="T73" l="1"/>
  <c r="T74" s="1"/>
  <c r="AC73"/>
  <c r="AD73" s="1"/>
  <c r="U73"/>
  <c r="U72"/>
  <c r="X72"/>
  <c r="M79" i="21"/>
  <c r="M75" i="2"/>
  <c r="W73"/>
  <c r="Z73"/>
  <c r="L77" i="21"/>
  <c r="Z77"/>
  <c r="T77"/>
  <c r="AC77"/>
  <c r="W77"/>
  <c r="Q77"/>
  <c r="J77"/>
  <c r="L73" i="2"/>
  <c r="J73"/>
  <c r="Q73"/>
  <c r="Q74" s="1"/>
  <c r="U73" i="21"/>
  <c r="S74"/>
  <c r="AG73"/>
  <c r="AI73"/>
  <c r="R73"/>
  <c r="P74"/>
  <c r="AD73"/>
  <c r="AB74"/>
  <c r="Y73" i="2"/>
  <c r="X75" i="21"/>
  <c r="V76"/>
  <c r="AA74"/>
  <c r="Y75"/>
  <c r="AI72" i="2"/>
  <c r="R72"/>
  <c r="AG72"/>
  <c r="N80" i="21"/>
  <c r="P74" i="2"/>
  <c r="Y74"/>
  <c r="V74"/>
  <c r="N75"/>
  <c r="AB74"/>
  <c r="S74"/>
  <c r="AG73"/>
  <c r="AI73"/>
  <c r="R73"/>
  <c r="U74" l="1"/>
  <c r="AA73"/>
  <c r="W74"/>
  <c r="X74" s="1"/>
  <c r="X73"/>
  <c r="M76"/>
  <c r="L78" i="21"/>
  <c r="Z78"/>
  <c r="T78"/>
  <c r="AC78"/>
  <c r="W78"/>
  <c r="Q78"/>
  <c r="J78"/>
  <c r="AC74" i="2"/>
  <c r="Z74"/>
  <c r="L74"/>
  <c r="J74"/>
  <c r="M80" i="21"/>
  <c r="U74"/>
  <c r="S75"/>
  <c r="AD74"/>
  <c r="AB75"/>
  <c r="R74"/>
  <c r="AG74"/>
  <c r="AI74"/>
  <c r="P75"/>
  <c r="AI74" i="2"/>
  <c r="R74"/>
  <c r="AG74"/>
  <c r="V75"/>
  <c r="S75"/>
  <c r="Y75"/>
  <c r="N76"/>
  <c r="P75"/>
  <c r="AB75"/>
  <c r="N81" i="21"/>
  <c r="AA75"/>
  <c r="Y76"/>
  <c r="X76"/>
  <c r="V77"/>
  <c r="W75" i="2" l="1"/>
  <c r="X75" s="1"/>
  <c r="Q75"/>
  <c r="R75" s="1"/>
  <c r="AC75"/>
  <c r="AD75" s="1"/>
  <c r="Z75"/>
  <c r="AA75" s="1"/>
  <c r="AD74"/>
  <c r="AA74"/>
  <c r="M81" i="21"/>
  <c r="L79"/>
  <c r="Z79"/>
  <c r="T79"/>
  <c r="AC79"/>
  <c r="W79"/>
  <c r="Q79"/>
  <c r="J79"/>
  <c r="L75" i="2"/>
  <c r="J75"/>
  <c r="T75"/>
  <c r="U75" s="1"/>
  <c r="M77"/>
  <c r="U75" i="21"/>
  <c r="S76"/>
  <c r="AI75"/>
  <c r="AG75"/>
  <c r="R75"/>
  <c r="P76"/>
  <c r="AD75"/>
  <c r="AB76"/>
  <c r="X77"/>
  <c r="V78"/>
  <c r="AA76"/>
  <c r="Y77"/>
  <c r="Y76" i="2"/>
  <c r="AB76"/>
  <c r="S76"/>
  <c r="V76"/>
  <c r="N77"/>
  <c r="P76"/>
  <c r="N82" i="21"/>
  <c r="AI75" i="2"/>
  <c r="AG75"/>
  <c r="L76" l="1"/>
  <c r="J76"/>
  <c r="L80" i="21"/>
  <c r="Z80"/>
  <c r="T80"/>
  <c r="AC80"/>
  <c r="W80"/>
  <c r="Q80"/>
  <c r="J80"/>
  <c r="Q76" i="2"/>
  <c r="R76" s="1"/>
  <c r="W76"/>
  <c r="X76" s="1"/>
  <c r="M78"/>
  <c r="M82" i="21"/>
  <c r="T76" i="2"/>
  <c r="T77" s="1"/>
  <c r="AC76"/>
  <c r="AC77" s="1"/>
  <c r="Z76"/>
  <c r="Z77" s="1"/>
  <c r="U76" i="21"/>
  <c r="S77"/>
  <c r="AB77"/>
  <c r="AD76"/>
  <c r="AG76"/>
  <c r="AH21" s="1"/>
  <c r="R76"/>
  <c r="P77"/>
  <c r="AI76"/>
  <c r="AF21"/>
  <c r="N83"/>
  <c r="P77" i="2"/>
  <c r="V77"/>
  <c r="AB77"/>
  <c r="AD77" s="1"/>
  <c r="Y77"/>
  <c r="N78"/>
  <c r="S77"/>
  <c r="AG76"/>
  <c r="AH21" s="1"/>
  <c r="AI76"/>
  <c r="AF21"/>
  <c r="AA77" i="21"/>
  <c r="Y78"/>
  <c r="X78"/>
  <c r="V79"/>
  <c r="U77" i="2" l="1"/>
  <c r="AA77"/>
  <c r="Q77"/>
  <c r="AA76"/>
  <c r="AD76"/>
  <c r="U76"/>
  <c r="M83" i="21"/>
  <c r="L77" i="2"/>
  <c r="J77"/>
  <c r="W77"/>
  <c r="X77" s="1"/>
  <c r="L81" i="21"/>
  <c r="Z81"/>
  <c r="T81"/>
  <c r="AC81"/>
  <c r="W81"/>
  <c r="Q81"/>
  <c r="J81"/>
  <c r="AC78" i="2"/>
  <c r="M79"/>
  <c r="Z78"/>
  <c r="U77" i="21"/>
  <c r="S78"/>
  <c r="AG77"/>
  <c r="P78"/>
  <c r="R77"/>
  <c r="AI77"/>
  <c r="AB78"/>
  <c r="AD77"/>
  <c r="AK21"/>
  <c r="AJ21"/>
  <c r="AJ21" i="2"/>
  <c r="AK21"/>
  <c r="P78"/>
  <c r="Y78"/>
  <c r="AB78"/>
  <c r="V78"/>
  <c r="N79"/>
  <c r="S78"/>
  <c r="AG77"/>
  <c r="AI77"/>
  <c r="R77"/>
  <c r="N84" i="21"/>
  <c r="X79"/>
  <c r="V80"/>
  <c r="AA78"/>
  <c r="Y79"/>
  <c r="AA78" i="2" l="1"/>
  <c r="AD78"/>
  <c r="Q78"/>
  <c r="Q79" s="1"/>
  <c r="M80"/>
  <c r="L82" i="21"/>
  <c r="Z82"/>
  <c r="T82"/>
  <c r="AC82"/>
  <c r="W82"/>
  <c r="Q82"/>
  <c r="J82"/>
  <c r="T78" i="2"/>
  <c r="T79" s="1"/>
  <c r="L78"/>
  <c r="J78"/>
  <c r="M84" i="21"/>
  <c r="W78" i="2"/>
  <c r="U78" i="21"/>
  <c r="S79"/>
  <c r="AD78"/>
  <c r="AB79"/>
  <c r="AI78"/>
  <c r="R78"/>
  <c r="AG78"/>
  <c r="P79"/>
  <c r="AA79"/>
  <c r="Y80"/>
  <c r="X80"/>
  <c r="V81"/>
  <c r="N85"/>
  <c r="P79" i="2"/>
  <c r="S79"/>
  <c r="V79"/>
  <c r="AB79"/>
  <c r="Y79"/>
  <c r="N80"/>
  <c r="AI78"/>
  <c r="R78"/>
  <c r="AG78"/>
  <c r="U79" l="1"/>
  <c r="Z79"/>
  <c r="AA79" s="1"/>
  <c r="W79"/>
  <c r="X79" s="1"/>
  <c r="U78"/>
  <c r="X78"/>
  <c r="M85" i="21"/>
  <c r="L79" i="2"/>
  <c r="J79"/>
  <c r="AC79"/>
  <c r="AD79" s="1"/>
  <c r="L83" i="21"/>
  <c r="Z83"/>
  <c r="T83"/>
  <c r="AC83"/>
  <c r="W83"/>
  <c r="Q83"/>
  <c r="J83"/>
  <c r="T80" i="2"/>
  <c r="M81"/>
  <c r="U79" i="21"/>
  <c r="S80"/>
  <c r="AG79"/>
  <c r="P80"/>
  <c r="AI79"/>
  <c r="R79"/>
  <c r="AB80"/>
  <c r="AD79"/>
  <c r="N81" i="2"/>
  <c r="S80"/>
  <c r="P80"/>
  <c r="Y80"/>
  <c r="AB80"/>
  <c r="V80"/>
  <c r="X81" i="21"/>
  <c r="V82"/>
  <c r="AA80"/>
  <c r="Y81"/>
  <c r="AI79" i="2"/>
  <c r="AG79"/>
  <c r="R79"/>
  <c r="N86" i="21"/>
  <c r="W80" i="2" l="1"/>
  <c r="X80" s="1"/>
  <c r="U80"/>
  <c r="Q80"/>
  <c r="R80" s="1"/>
  <c r="L80"/>
  <c r="J80"/>
  <c r="L84" i="21"/>
  <c r="Z84"/>
  <c r="T84"/>
  <c r="AC84"/>
  <c r="W84"/>
  <c r="Q84"/>
  <c r="J84"/>
  <c r="AC80" i="2"/>
  <c r="Z80"/>
  <c r="AA80" s="1"/>
  <c r="M82"/>
  <c r="T81"/>
  <c r="M86" i="21"/>
  <c r="U80"/>
  <c r="S81"/>
  <c r="AB81"/>
  <c r="AD80"/>
  <c r="AG80"/>
  <c r="AI80"/>
  <c r="R80"/>
  <c r="P81"/>
  <c r="N87"/>
  <c r="AA81"/>
  <c r="Y82"/>
  <c r="AG80" i="2"/>
  <c r="AI80"/>
  <c r="P81"/>
  <c r="AB81"/>
  <c r="S81"/>
  <c r="N82"/>
  <c r="V81"/>
  <c r="Y81"/>
  <c r="X82" i="21"/>
  <c r="V83"/>
  <c r="Q81" i="2" l="1"/>
  <c r="AC81"/>
  <c r="AD81" s="1"/>
  <c r="U81"/>
  <c r="AD80"/>
  <c r="M87" i="21"/>
  <c r="L81" i="2"/>
  <c r="J81"/>
  <c r="Z81"/>
  <c r="AA81" s="1"/>
  <c r="W81"/>
  <c r="X81" s="1"/>
  <c r="L85" i="21"/>
  <c r="Z85"/>
  <c r="T85"/>
  <c r="AC85"/>
  <c r="W85"/>
  <c r="Q85"/>
  <c r="J85"/>
  <c r="T82" i="2"/>
  <c r="M83"/>
  <c r="U81" i="21"/>
  <c r="S82"/>
  <c r="AD81"/>
  <c r="AB82"/>
  <c r="P82"/>
  <c r="AG81"/>
  <c r="AI81"/>
  <c r="R81"/>
  <c r="X83"/>
  <c r="V84"/>
  <c r="P82" i="2"/>
  <c r="AB82"/>
  <c r="N83"/>
  <c r="S82"/>
  <c r="Y82"/>
  <c r="V82"/>
  <c r="R81"/>
  <c r="AI81"/>
  <c r="AG81"/>
  <c r="AA82" i="21"/>
  <c r="Y83"/>
  <c r="N88"/>
  <c r="AC82" i="2" l="1"/>
  <c r="AC83" s="1"/>
  <c r="U82"/>
  <c r="AD82"/>
  <c r="Z82"/>
  <c r="AA82" s="1"/>
  <c r="L82"/>
  <c r="J82"/>
  <c r="L86" i="21"/>
  <c r="Z86"/>
  <c r="T86"/>
  <c r="AC86"/>
  <c r="W86"/>
  <c r="Q86"/>
  <c r="J86"/>
  <c r="W82" i="2"/>
  <c r="X82" s="1"/>
  <c r="Q82"/>
  <c r="M84"/>
  <c r="M88" i="21"/>
  <c r="T83" i="2"/>
  <c r="U82" i="21"/>
  <c r="S83"/>
  <c r="AI82"/>
  <c r="P83"/>
  <c r="R82"/>
  <c r="AG82"/>
  <c r="AD82"/>
  <c r="AB83"/>
  <c r="N89"/>
  <c r="X84"/>
  <c r="V85"/>
  <c r="AA83"/>
  <c r="Y84"/>
  <c r="V83" i="2"/>
  <c r="Y83"/>
  <c r="S83"/>
  <c r="AB83"/>
  <c r="N84"/>
  <c r="P83"/>
  <c r="AG82"/>
  <c r="R82"/>
  <c r="AI82"/>
  <c r="U83" l="1"/>
  <c r="AD83"/>
  <c r="L87" i="21"/>
  <c r="Z87"/>
  <c r="T87"/>
  <c r="AC87"/>
  <c r="W87"/>
  <c r="Q87"/>
  <c r="J87"/>
  <c r="M89"/>
  <c r="M85" i="2"/>
  <c r="AC84"/>
  <c r="Q83"/>
  <c r="L83"/>
  <c r="J83"/>
  <c r="W83"/>
  <c r="X83" s="1"/>
  <c r="Z83"/>
  <c r="U83" i="21"/>
  <c r="S84"/>
  <c r="AB84"/>
  <c r="AD83"/>
  <c r="AG83"/>
  <c r="AI83"/>
  <c r="P84"/>
  <c r="R83"/>
  <c r="AB84" i="2"/>
  <c r="S84"/>
  <c r="Y84"/>
  <c r="V84"/>
  <c r="N85"/>
  <c r="P84"/>
  <c r="N90" i="21"/>
  <c r="AG83" i="2"/>
  <c r="AI83"/>
  <c r="R83"/>
  <c r="AA84" i="21"/>
  <c r="Y85"/>
  <c r="X85"/>
  <c r="V86"/>
  <c r="Z84" i="2" l="1"/>
  <c r="Z85" s="1"/>
  <c r="T84"/>
  <c r="U84" s="1"/>
  <c r="AD84"/>
  <c r="AA83"/>
  <c r="M86"/>
  <c r="L88" i="21"/>
  <c r="Z88"/>
  <c r="T88"/>
  <c r="AC88"/>
  <c r="W88"/>
  <c r="Q88"/>
  <c r="J88"/>
  <c r="W84" i="2"/>
  <c r="W85" s="1"/>
  <c r="Q84"/>
  <c r="R84" s="1"/>
  <c r="L84"/>
  <c r="J84"/>
  <c r="M90" i="21"/>
  <c r="U84"/>
  <c r="S85"/>
  <c r="R84"/>
  <c r="AI84"/>
  <c r="AG84"/>
  <c r="P85"/>
  <c r="AB85"/>
  <c r="AD84"/>
  <c r="N91"/>
  <c r="AI84" i="2"/>
  <c r="AG84"/>
  <c r="X86" i="21"/>
  <c r="V87"/>
  <c r="AA85"/>
  <c r="Y86"/>
  <c r="N86" i="2"/>
  <c r="P85"/>
  <c r="V85"/>
  <c r="Y85"/>
  <c r="S85"/>
  <c r="AB85"/>
  <c r="AA84" l="1"/>
  <c r="X85"/>
  <c r="T85"/>
  <c r="U85" s="1"/>
  <c r="AA85"/>
  <c r="X84"/>
  <c r="L89" i="21"/>
  <c r="Z89"/>
  <c r="T89"/>
  <c r="AC89"/>
  <c r="W89"/>
  <c r="Q89"/>
  <c r="J89"/>
  <c r="L85" i="2"/>
  <c r="J85"/>
  <c r="AC85"/>
  <c r="AD85" s="1"/>
  <c r="M91" i="21"/>
  <c r="M87" i="2"/>
  <c r="Q85"/>
  <c r="R85" s="1"/>
  <c r="U85" i="21"/>
  <c r="S86"/>
  <c r="AD85"/>
  <c r="AB86"/>
  <c r="AG85"/>
  <c r="R85"/>
  <c r="P86"/>
  <c r="AI85"/>
  <c r="P86" i="2"/>
  <c r="N87"/>
  <c r="AB86"/>
  <c r="S86"/>
  <c r="Y86"/>
  <c r="V86"/>
  <c r="N92" i="21"/>
  <c r="AI85" i="2"/>
  <c r="AG85"/>
  <c r="AA86" i="21"/>
  <c r="Y87"/>
  <c r="X87"/>
  <c r="V88"/>
  <c r="T86" i="2" l="1"/>
  <c r="T87" s="1"/>
  <c r="L86"/>
  <c r="J86"/>
  <c r="L90" i="21"/>
  <c r="Z90"/>
  <c r="T90"/>
  <c r="AC90"/>
  <c r="W90"/>
  <c r="Q90"/>
  <c r="J90"/>
  <c r="W86" i="2"/>
  <c r="X86" s="1"/>
  <c r="M88"/>
  <c r="M92" i="21"/>
  <c r="Q86" i="2"/>
  <c r="R86" s="1"/>
  <c r="AC86"/>
  <c r="AC87" s="1"/>
  <c r="Z86"/>
  <c r="U86" i="21"/>
  <c r="S87"/>
  <c r="AI86"/>
  <c r="AG86"/>
  <c r="R86"/>
  <c r="P87"/>
  <c r="AD86"/>
  <c r="AB87"/>
  <c r="N88" i="2"/>
  <c r="Y87"/>
  <c r="S87"/>
  <c r="U87" s="1"/>
  <c r="AB87"/>
  <c r="P87"/>
  <c r="V87"/>
  <c r="X88" i="21"/>
  <c r="V89"/>
  <c r="AA87"/>
  <c r="Y88"/>
  <c r="N93"/>
  <c r="AG86" i="2"/>
  <c r="AI86"/>
  <c r="U86" l="1"/>
  <c r="AD87"/>
  <c r="Z87"/>
  <c r="AA87" s="1"/>
  <c r="Q87"/>
  <c r="R87" s="1"/>
  <c r="AA86"/>
  <c r="AD86"/>
  <c r="M93" i="21"/>
  <c r="L87" i="2"/>
  <c r="J87"/>
  <c r="W87"/>
  <c r="X87" s="1"/>
  <c r="L91" i="21"/>
  <c r="Z91"/>
  <c r="T91"/>
  <c r="AC91"/>
  <c r="W91"/>
  <c r="Q91"/>
  <c r="J91"/>
  <c r="M89" i="2"/>
  <c r="U87" i="21"/>
  <c r="S88"/>
  <c r="AB88"/>
  <c r="AD87"/>
  <c r="AG87"/>
  <c r="P88"/>
  <c r="AI87"/>
  <c r="R87"/>
  <c r="AG87" i="2"/>
  <c r="AI87"/>
  <c r="N89"/>
  <c r="V88"/>
  <c r="AB88"/>
  <c r="S88"/>
  <c r="Y88"/>
  <c r="P88"/>
  <c r="N94" i="21"/>
  <c r="AA88"/>
  <c r="Y89"/>
  <c r="X89"/>
  <c r="V90"/>
  <c r="Q88" i="2" l="1"/>
  <c r="Q89" s="1"/>
  <c r="T88"/>
  <c r="U88" s="1"/>
  <c r="M90"/>
  <c r="L92" i="21"/>
  <c r="Z92"/>
  <c r="T92"/>
  <c r="AC92"/>
  <c r="W92"/>
  <c r="Q92"/>
  <c r="J92"/>
  <c r="AC88" i="2"/>
  <c r="AD88" s="1"/>
  <c r="Z88"/>
  <c r="Z89" s="1"/>
  <c r="W88"/>
  <c r="X88" s="1"/>
  <c r="L88"/>
  <c r="J88"/>
  <c r="M94" i="21"/>
  <c r="U88"/>
  <c r="S89"/>
  <c r="AB89"/>
  <c r="AD88"/>
  <c r="AI88"/>
  <c r="AG88"/>
  <c r="R88"/>
  <c r="P89"/>
  <c r="X90"/>
  <c r="V91"/>
  <c r="AA89"/>
  <c r="Y90"/>
  <c r="AI88" i="2"/>
  <c r="AG88"/>
  <c r="N95" i="21"/>
  <c r="P89" i="2"/>
  <c r="Y89"/>
  <c r="S89"/>
  <c r="AB89"/>
  <c r="V89"/>
  <c r="N90"/>
  <c r="R88" l="1"/>
  <c r="T89"/>
  <c r="U89" s="1"/>
  <c r="AA89"/>
  <c r="AA88"/>
  <c r="L93" i="21"/>
  <c r="Z93"/>
  <c r="T93"/>
  <c r="AC93"/>
  <c r="W93"/>
  <c r="Q93"/>
  <c r="J93"/>
  <c r="M95"/>
  <c r="M91" i="2"/>
  <c r="W89"/>
  <c r="AC89"/>
  <c r="L89"/>
  <c r="J89"/>
  <c r="U89" i="21"/>
  <c r="S90"/>
  <c r="AB90"/>
  <c r="AD89"/>
  <c r="AI89"/>
  <c r="AG89"/>
  <c r="P90"/>
  <c r="R89"/>
  <c r="R89" i="2"/>
  <c r="AI89"/>
  <c r="AG89"/>
  <c r="AA90" i="21"/>
  <c r="Y91"/>
  <c r="X91"/>
  <c r="V92"/>
  <c r="N91" i="2"/>
  <c r="P90"/>
  <c r="V90"/>
  <c r="AB90"/>
  <c r="S90"/>
  <c r="Y90"/>
  <c r="N96" i="21"/>
  <c r="T90" i="2" l="1"/>
  <c r="U90" s="1"/>
  <c r="AC90"/>
  <c r="AD90" s="1"/>
  <c r="Z90"/>
  <c r="AA90" s="1"/>
  <c r="W90"/>
  <c r="X90" s="1"/>
  <c r="AD89"/>
  <c r="X89"/>
  <c r="L90"/>
  <c r="J90"/>
  <c r="L94" i="21"/>
  <c r="Z94"/>
  <c r="T94"/>
  <c r="AC94"/>
  <c r="W94"/>
  <c r="Q94"/>
  <c r="J94"/>
  <c r="Q90" i="2"/>
  <c r="R90" s="1"/>
  <c r="M92"/>
  <c r="M96" i="21"/>
  <c r="U90"/>
  <c r="S91"/>
  <c r="AG90"/>
  <c r="P91"/>
  <c r="AI90"/>
  <c r="R90"/>
  <c r="AB91"/>
  <c r="AD90"/>
  <c r="P91" i="2"/>
  <c r="V91"/>
  <c r="Y91"/>
  <c r="S91"/>
  <c r="AB91"/>
  <c r="N92"/>
  <c r="N97" i="21"/>
  <c r="AI90" i="2"/>
  <c r="AG90"/>
  <c r="X92" i="21"/>
  <c r="V93"/>
  <c r="AA91"/>
  <c r="Y92"/>
  <c r="Z91" i="2" l="1"/>
  <c r="AA91" s="1"/>
  <c r="M97" i="21"/>
  <c r="L95"/>
  <c r="Z95"/>
  <c r="T95"/>
  <c r="AC95"/>
  <c r="W95"/>
  <c r="Q95"/>
  <c r="J95"/>
  <c r="M93" i="2"/>
  <c r="W91"/>
  <c r="X91" s="1"/>
  <c r="Q91"/>
  <c r="T91"/>
  <c r="U91" s="1"/>
  <c r="L91"/>
  <c r="J91"/>
  <c r="AC91"/>
  <c r="U91" i="21"/>
  <c r="S92"/>
  <c r="AD91"/>
  <c r="AB92"/>
  <c r="AG91"/>
  <c r="R91"/>
  <c r="AI91"/>
  <c r="P92"/>
  <c r="AA92"/>
  <c r="Y93"/>
  <c r="X93"/>
  <c r="V94"/>
  <c r="AG91" i="2"/>
  <c r="AI91"/>
  <c r="N98" i="21"/>
  <c r="N93" i="2"/>
  <c r="P92"/>
  <c r="AB92"/>
  <c r="S92"/>
  <c r="Y92"/>
  <c r="V92"/>
  <c r="Z92" l="1"/>
  <c r="AA92" s="1"/>
  <c r="AC92"/>
  <c r="AD92" s="1"/>
  <c r="Q92"/>
  <c r="R92" s="1"/>
  <c r="R91"/>
  <c r="AD91"/>
  <c r="M94"/>
  <c r="AC96" i="21"/>
  <c r="W96"/>
  <c r="Q96"/>
  <c r="L96"/>
  <c r="Z96"/>
  <c r="T96"/>
  <c r="J96"/>
  <c r="T92" i="2"/>
  <c r="U92" s="1"/>
  <c r="W92"/>
  <c r="W93" s="1"/>
  <c r="L92"/>
  <c r="J92"/>
  <c r="M98" i="21"/>
  <c r="U92"/>
  <c r="S93"/>
  <c r="AG92"/>
  <c r="P93"/>
  <c r="AI92"/>
  <c r="R92"/>
  <c r="AB93"/>
  <c r="AD92"/>
  <c r="AI92" i="2"/>
  <c r="AG92"/>
  <c r="N99" i="21"/>
  <c r="P93" i="2"/>
  <c r="V93"/>
  <c r="Y93"/>
  <c r="S93"/>
  <c r="AB93"/>
  <c r="N94"/>
  <c r="X94" i="21"/>
  <c r="V95"/>
  <c r="AA93"/>
  <c r="Y94"/>
  <c r="Z93" i="2" l="1"/>
  <c r="AA93" s="1"/>
  <c r="X92"/>
  <c r="X93"/>
  <c r="Q93"/>
  <c r="L97" i="21"/>
  <c r="Z97"/>
  <c r="T97"/>
  <c r="AC97"/>
  <c r="W97"/>
  <c r="Q97"/>
  <c r="J97"/>
  <c r="M95" i="2"/>
  <c r="Z94"/>
  <c r="AC93"/>
  <c r="T93"/>
  <c r="U93" s="1"/>
  <c r="M99" i="21"/>
  <c r="L93" i="2"/>
  <c r="J93"/>
  <c r="U93" i="21"/>
  <c r="S94"/>
  <c r="AB94"/>
  <c r="AD93"/>
  <c r="R93"/>
  <c r="P94"/>
  <c r="AI93"/>
  <c r="AG93"/>
  <c r="AA94"/>
  <c r="Y95"/>
  <c r="X95"/>
  <c r="V96"/>
  <c r="P94" i="2"/>
  <c r="S94"/>
  <c r="AB94"/>
  <c r="Y94"/>
  <c r="V94"/>
  <c r="N95"/>
  <c r="N100" i="21"/>
  <c r="R93" i="2"/>
  <c r="AG93"/>
  <c r="AI93"/>
  <c r="AA94" l="1"/>
  <c r="Q94"/>
  <c r="Q95" s="1"/>
  <c r="AC94"/>
  <c r="AD93"/>
  <c r="AD94"/>
  <c r="M100" i="21"/>
  <c r="Z95" i="2"/>
  <c r="M96"/>
  <c r="T94"/>
  <c r="W94"/>
  <c r="X94" s="1"/>
  <c r="L98" i="21"/>
  <c r="Z98"/>
  <c r="T98"/>
  <c r="AC98"/>
  <c r="W98"/>
  <c r="Q98"/>
  <c r="J98"/>
  <c r="L94" i="2"/>
  <c r="J94"/>
  <c r="U94" i="21"/>
  <c r="S95"/>
  <c r="AB95"/>
  <c r="AD94"/>
  <c r="AG94"/>
  <c r="AI94"/>
  <c r="R94"/>
  <c r="P95"/>
  <c r="N101"/>
  <c r="AI94" i="2"/>
  <c r="AG94"/>
  <c r="N96"/>
  <c r="S95"/>
  <c r="P95"/>
  <c r="V95"/>
  <c r="Y95"/>
  <c r="AA95" s="1"/>
  <c r="AB95"/>
  <c r="X96" i="21"/>
  <c r="V97"/>
  <c r="AA95"/>
  <c r="Y96"/>
  <c r="R94" i="2" l="1"/>
  <c r="T95"/>
  <c r="U95" s="1"/>
  <c r="U94"/>
  <c r="M97"/>
  <c r="Q96"/>
  <c r="AC99" i="21"/>
  <c r="W99"/>
  <c r="Q99"/>
  <c r="L99"/>
  <c r="Z99"/>
  <c r="T99"/>
  <c r="J99"/>
  <c r="W95" i="2"/>
  <c r="W96" s="1"/>
  <c r="AC95"/>
  <c r="AD95" s="1"/>
  <c r="L95"/>
  <c r="J95"/>
  <c r="M101" i="21"/>
  <c r="T96" i="2"/>
  <c r="U95" i="21"/>
  <c r="S96"/>
  <c r="AB96"/>
  <c r="AD95"/>
  <c r="AG95"/>
  <c r="P96"/>
  <c r="AI95"/>
  <c r="R95"/>
  <c r="AA96"/>
  <c r="Y97"/>
  <c r="X97"/>
  <c r="V98"/>
  <c r="R95" i="2"/>
  <c r="AG95"/>
  <c r="AI95"/>
  <c r="P96"/>
  <c r="N97"/>
  <c r="S96"/>
  <c r="U96" s="1"/>
  <c r="AB96"/>
  <c r="Y96"/>
  <c r="V96"/>
  <c r="N102" i="21"/>
  <c r="X96" i="2" l="1"/>
  <c r="X95"/>
  <c r="L100" i="21"/>
  <c r="Z100"/>
  <c r="T100"/>
  <c r="AC100"/>
  <c r="W100"/>
  <c r="Q100"/>
  <c r="J100"/>
  <c r="L96" i="2"/>
  <c r="J96"/>
  <c r="Z96"/>
  <c r="AA96" s="1"/>
  <c r="M102" i="21"/>
  <c r="Q97" i="2"/>
  <c r="M98"/>
  <c r="AC96"/>
  <c r="AD96" s="1"/>
  <c r="U96" i="21"/>
  <c r="S97"/>
  <c r="AD96"/>
  <c r="AB97"/>
  <c r="AI96"/>
  <c r="R96"/>
  <c r="P97"/>
  <c r="AG96"/>
  <c r="N98" i="2"/>
  <c r="V97"/>
  <c r="Y97"/>
  <c r="AB97"/>
  <c r="S97"/>
  <c r="P97"/>
  <c r="N103" i="21"/>
  <c r="R96" i="2"/>
  <c r="AG96"/>
  <c r="AI96"/>
  <c r="X98" i="21"/>
  <c r="V99"/>
  <c r="AA97"/>
  <c r="Y98"/>
  <c r="L97" i="2" l="1"/>
  <c r="J97"/>
  <c r="AC101" i="21"/>
  <c r="W101"/>
  <c r="Q101"/>
  <c r="L101"/>
  <c r="Z101"/>
  <c r="T101"/>
  <c r="J101"/>
  <c r="W97" i="2"/>
  <c r="X97" s="1"/>
  <c r="M99"/>
  <c r="Q98"/>
  <c r="M103" i="21"/>
  <c r="AC97" i="2"/>
  <c r="Z97"/>
  <c r="Z98" s="1"/>
  <c r="T97"/>
  <c r="U97" s="1"/>
  <c r="U97" i="21"/>
  <c r="S98"/>
  <c r="AG97"/>
  <c r="P98"/>
  <c r="R97"/>
  <c r="AI97"/>
  <c r="AB98"/>
  <c r="AD97"/>
  <c r="AA98"/>
  <c r="Y99"/>
  <c r="X99"/>
  <c r="V100"/>
  <c r="S98" i="2"/>
  <c r="Y98"/>
  <c r="AB98"/>
  <c r="V98"/>
  <c r="N99"/>
  <c r="P98"/>
  <c r="N104" i="21"/>
  <c r="AI97" i="2"/>
  <c r="AG97"/>
  <c r="R97"/>
  <c r="AA98" l="1"/>
  <c r="T98"/>
  <c r="U98" s="1"/>
  <c r="AC98"/>
  <c r="AD98" s="1"/>
  <c r="AA97"/>
  <c r="AD97"/>
  <c r="AC102" i="21"/>
  <c r="W102"/>
  <c r="Q102"/>
  <c r="L102"/>
  <c r="Z102"/>
  <c r="T102"/>
  <c r="J102"/>
  <c r="L98" i="2"/>
  <c r="J98"/>
  <c r="W98"/>
  <c r="X98" s="1"/>
  <c r="M104" i="21"/>
  <c r="AC99" i="2"/>
  <c r="M100"/>
  <c r="U98" i="21"/>
  <c r="S99"/>
  <c r="AD98"/>
  <c r="AB99"/>
  <c r="R98"/>
  <c r="AI98"/>
  <c r="P99"/>
  <c r="AG98"/>
  <c r="R98" i="2"/>
  <c r="AI98"/>
  <c r="AG98"/>
  <c r="X100" i="21"/>
  <c r="V101"/>
  <c r="AA99"/>
  <c r="Y100"/>
  <c r="N105"/>
  <c r="N100" i="2"/>
  <c r="Y99"/>
  <c r="S99"/>
  <c r="P99"/>
  <c r="V99"/>
  <c r="AB99"/>
  <c r="T99" l="1"/>
  <c r="U99" s="1"/>
  <c r="AD99"/>
  <c r="Q99"/>
  <c r="Q100" s="1"/>
  <c r="M101"/>
  <c r="L103" i="21"/>
  <c r="Z103"/>
  <c r="W103"/>
  <c r="Q103"/>
  <c r="AC103"/>
  <c r="T103"/>
  <c r="J103"/>
  <c r="W99" i="2"/>
  <c r="W100" s="1"/>
  <c r="L99"/>
  <c r="J99"/>
  <c r="M105" i="21"/>
  <c r="Z99" i="2"/>
  <c r="Z100" s="1"/>
  <c r="U99" i="21"/>
  <c r="S100"/>
  <c r="AI99"/>
  <c r="P100"/>
  <c r="R99"/>
  <c r="AG99"/>
  <c r="AB100"/>
  <c r="AD99"/>
  <c r="P100" i="2"/>
  <c r="AB100"/>
  <c r="V100"/>
  <c r="N101"/>
  <c r="S100"/>
  <c r="Y100"/>
  <c r="AG99"/>
  <c r="AI99"/>
  <c r="N106" i="21"/>
  <c r="AA100"/>
  <c r="Y101"/>
  <c r="X101"/>
  <c r="V102"/>
  <c r="AA100" i="2" l="1"/>
  <c r="R99"/>
  <c r="T100"/>
  <c r="U100" s="1"/>
  <c r="X100"/>
  <c r="AA99"/>
  <c r="X99"/>
  <c r="L104" i="21"/>
  <c r="Z104"/>
  <c r="T104"/>
  <c r="AC104"/>
  <c r="Q104"/>
  <c r="W104"/>
  <c r="J104"/>
  <c r="L100" i="2"/>
  <c r="J100"/>
  <c r="AC100"/>
  <c r="AD100" s="1"/>
  <c r="M106" i="21"/>
  <c r="M102" i="2"/>
  <c r="W101"/>
  <c r="U100" i="21"/>
  <c r="S101"/>
  <c r="AD100"/>
  <c r="AB101"/>
  <c r="R100"/>
  <c r="AG100"/>
  <c r="AI100"/>
  <c r="P101"/>
  <c r="N107"/>
  <c r="N102" i="2"/>
  <c r="S101"/>
  <c r="V101"/>
  <c r="X101" s="1"/>
  <c r="AB101"/>
  <c r="Y101"/>
  <c r="P101"/>
  <c r="X102" i="21"/>
  <c r="V103"/>
  <c r="AA101"/>
  <c r="Y102"/>
  <c r="AI100" i="2"/>
  <c r="R100"/>
  <c r="AG100"/>
  <c r="Q101" l="1"/>
  <c r="Q102" s="1"/>
  <c r="Z101"/>
  <c r="AA101" s="1"/>
  <c r="M103"/>
  <c r="AC105" i="21"/>
  <c r="W105"/>
  <c r="Q105"/>
  <c r="L105"/>
  <c r="Z105"/>
  <c r="T105"/>
  <c r="J105"/>
  <c r="L101" i="2"/>
  <c r="J101"/>
  <c r="M107" i="21"/>
  <c r="AC101" i="2"/>
  <c r="T101"/>
  <c r="U101" i="21"/>
  <c r="S102"/>
  <c r="AG101"/>
  <c r="P102"/>
  <c r="AI101"/>
  <c r="R101"/>
  <c r="AB102"/>
  <c r="AD101"/>
  <c r="P102" i="2"/>
  <c r="AB102"/>
  <c r="V102"/>
  <c r="S102"/>
  <c r="N103"/>
  <c r="Y102"/>
  <c r="N108" i="21"/>
  <c r="AA102"/>
  <c r="Y103"/>
  <c r="X103"/>
  <c r="V104"/>
  <c r="R101" i="2"/>
  <c r="AG101"/>
  <c r="AI101"/>
  <c r="Z102" l="1"/>
  <c r="AA102" s="1"/>
  <c r="AC102"/>
  <c r="AD102" s="1"/>
  <c r="T102"/>
  <c r="U102" s="1"/>
  <c r="AD101"/>
  <c r="U101"/>
  <c r="L106" i="21"/>
  <c r="Z106"/>
  <c r="T106"/>
  <c r="AC106"/>
  <c r="W106"/>
  <c r="Q106"/>
  <c r="J106"/>
  <c r="L102" i="2"/>
  <c r="J102"/>
  <c r="W102"/>
  <c r="X102" s="1"/>
  <c r="M108" i="21"/>
  <c r="M104" i="2"/>
  <c r="U102" i="21"/>
  <c r="S103"/>
  <c r="AD102"/>
  <c r="AB103"/>
  <c r="R102"/>
  <c r="AI102"/>
  <c r="AG102"/>
  <c r="P103"/>
  <c r="AA103"/>
  <c r="Y104"/>
  <c r="N109"/>
  <c r="N104" i="2"/>
  <c r="S103"/>
  <c r="V103"/>
  <c r="AB103"/>
  <c r="P103"/>
  <c r="Y103"/>
  <c r="R102"/>
  <c r="AG102"/>
  <c r="AI102"/>
  <c r="X104" i="21"/>
  <c r="V105"/>
  <c r="Z103" i="2" l="1"/>
  <c r="AA103" s="1"/>
  <c r="Q103"/>
  <c r="Q104" s="1"/>
  <c r="T103"/>
  <c r="U103" s="1"/>
  <c r="M105"/>
  <c r="AC107" i="21"/>
  <c r="W107"/>
  <c r="Q107"/>
  <c r="L107"/>
  <c r="Z107"/>
  <c r="T107"/>
  <c r="J107"/>
  <c r="L103" i="2"/>
  <c r="J103"/>
  <c r="M109" i="21"/>
  <c r="W103" i="2"/>
  <c r="AC103"/>
  <c r="U103" i="21"/>
  <c r="S104"/>
  <c r="P104"/>
  <c r="AG103"/>
  <c r="AI103"/>
  <c r="R103"/>
  <c r="AB104"/>
  <c r="AD103"/>
  <c r="AA104"/>
  <c r="Y105"/>
  <c r="X105"/>
  <c r="V106"/>
  <c r="AI103" i="2"/>
  <c r="R103"/>
  <c r="AG103"/>
  <c r="N105"/>
  <c r="AB104"/>
  <c r="Y104"/>
  <c r="S104"/>
  <c r="P104"/>
  <c r="V104"/>
  <c r="N110" i="21"/>
  <c r="T104" i="2" l="1"/>
  <c r="U104" s="1"/>
  <c r="W104"/>
  <c r="X104" s="1"/>
  <c r="AC104"/>
  <c r="AD104" s="1"/>
  <c r="AD103"/>
  <c r="X103"/>
  <c r="L108" i="21"/>
  <c r="Z108"/>
  <c r="T108"/>
  <c r="AC108"/>
  <c r="W108"/>
  <c r="Q108"/>
  <c r="J108"/>
  <c r="L104" i="2"/>
  <c r="J104"/>
  <c r="Z104"/>
  <c r="AA104" s="1"/>
  <c r="M110" i="21"/>
  <c r="M106" i="2"/>
  <c r="U104" i="21"/>
  <c r="S105"/>
  <c r="AB105"/>
  <c r="AD104"/>
  <c r="AI104"/>
  <c r="P105"/>
  <c r="AG104"/>
  <c r="R104"/>
  <c r="N106" i="2"/>
  <c r="P105"/>
  <c r="V105"/>
  <c r="S105"/>
  <c r="Y105"/>
  <c r="AB105"/>
  <c r="AA105" i="21"/>
  <c r="Y106"/>
  <c r="N111"/>
  <c r="AG104" i="2"/>
  <c r="R104"/>
  <c r="AI104"/>
  <c r="X106" i="21"/>
  <c r="V107"/>
  <c r="T105" i="2" l="1"/>
  <c r="U105" s="1"/>
  <c r="Q105"/>
  <c r="R105" s="1"/>
  <c r="M107"/>
  <c r="M111" i="21"/>
  <c r="AC105" i="2"/>
  <c r="L105"/>
  <c r="J105"/>
  <c r="L109" i="21"/>
  <c r="Z109"/>
  <c r="T109"/>
  <c r="AC109"/>
  <c r="W109"/>
  <c r="Q109"/>
  <c r="J109"/>
  <c r="Z105" i="2"/>
  <c r="W105"/>
  <c r="U105" i="21"/>
  <c r="S106"/>
  <c r="AB106"/>
  <c r="AD105"/>
  <c r="AI105"/>
  <c r="P106"/>
  <c r="R105"/>
  <c r="AG105"/>
  <c r="AA106"/>
  <c r="Y107"/>
  <c r="AI105" i="2"/>
  <c r="AG105"/>
  <c r="X107" i="21"/>
  <c r="V108"/>
  <c r="N112"/>
  <c r="N107" i="2"/>
  <c r="S106"/>
  <c r="V106"/>
  <c r="P106"/>
  <c r="AB106"/>
  <c r="Y106"/>
  <c r="Q106" l="1"/>
  <c r="Q107" s="1"/>
  <c r="Z106"/>
  <c r="AA106" s="1"/>
  <c r="W106"/>
  <c r="X106" s="1"/>
  <c r="AC106"/>
  <c r="AD106" s="1"/>
  <c r="AD105"/>
  <c r="AA105"/>
  <c r="X105"/>
  <c r="AC110" i="21"/>
  <c r="W110"/>
  <c r="Q110"/>
  <c r="L110"/>
  <c r="Z110"/>
  <c r="T110"/>
  <c r="J110"/>
  <c r="L106" i="2"/>
  <c r="J106"/>
  <c r="T106"/>
  <c r="U106" s="1"/>
  <c r="M112" i="21"/>
  <c r="M108" i="2"/>
  <c r="U106" i="21"/>
  <c r="S107"/>
  <c r="AB107"/>
  <c r="AD106"/>
  <c r="AI106"/>
  <c r="R106"/>
  <c r="AG106"/>
  <c r="P107"/>
  <c r="N108" i="2"/>
  <c r="Y107"/>
  <c r="AB107"/>
  <c r="V107"/>
  <c r="S107"/>
  <c r="P107"/>
  <c r="AA107" i="21"/>
  <c r="Y108"/>
  <c r="AG106" i="2"/>
  <c r="AI106"/>
  <c r="N113" i="21"/>
  <c r="X108"/>
  <c r="V109"/>
  <c r="R106" i="2" l="1"/>
  <c r="AC107"/>
  <c r="AD107" s="1"/>
  <c r="W107"/>
  <c r="X107" s="1"/>
  <c r="T107"/>
  <c r="U107" s="1"/>
  <c r="M109"/>
  <c r="AC111" i="21"/>
  <c r="W111"/>
  <c r="Q111"/>
  <c r="L111"/>
  <c r="Z111"/>
  <c r="T111"/>
  <c r="J111"/>
  <c r="L107" i="2"/>
  <c r="J107"/>
  <c r="M113" i="21"/>
  <c r="Z107" i="2"/>
  <c r="U107" i="21"/>
  <c r="S108"/>
  <c r="AB108"/>
  <c r="AD107"/>
  <c r="AG107"/>
  <c r="R107"/>
  <c r="AI107"/>
  <c r="P108"/>
  <c r="N114"/>
  <c r="AA108"/>
  <c r="Y109"/>
  <c r="R107" i="2"/>
  <c r="AI107"/>
  <c r="AG107"/>
  <c r="X109" i="21"/>
  <c r="V110"/>
  <c r="N109" i="2"/>
  <c r="P108"/>
  <c r="V108"/>
  <c r="S108"/>
  <c r="AB108"/>
  <c r="Y108"/>
  <c r="T108" l="1"/>
  <c r="U108" s="1"/>
  <c r="Q108"/>
  <c r="R108" s="1"/>
  <c r="W108"/>
  <c r="X108" s="1"/>
  <c r="Z108"/>
  <c r="AA108" s="1"/>
  <c r="AC108"/>
  <c r="AD108" s="1"/>
  <c r="AA107"/>
  <c r="M114" i="21"/>
  <c r="M110" i="2"/>
  <c r="AC112" i="21"/>
  <c r="W112"/>
  <c r="Q112"/>
  <c r="L112"/>
  <c r="Z112"/>
  <c r="T112"/>
  <c r="J112"/>
  <c r="L108" i="2"/>
  <c r="J108"/>
  <c r="U108" i="21"/>
  <c r="S109"/>
  <c r="AB109"/>
  <c r="AD108"/>
  <c r="AG108"/>
  <c r="P109"/>
  <c r="R108"/>
  <c r="AI108"/>
  <c r="AG108" i="2"/>
  <c r="AI108"/>
  <c r="X110" i="21"/>
  <c r="V111"/>
  <c r="N115"/>
  <c r="P109" i="2"/>
  <c r="Y109"/>
  <c r="S109"/>
  <c r="V109"/>
  <c r="N110"/>
  <c r="AB109"/>
  <c r="AA109" i="21"/>
  <c r="Y110"/>
  <c r="AC109" i="2" l="1"/>
  <c r="AD109" s="1"/>
  <c r="W109"/>
  <c r="X109" s="1"/>
  <c r="Q109"/>
  <c r="Z109"/>
  <c r="AA109" s="1"/>
  <c r="L109"/>
  <c r="J109"/>
  <c r="M115" i="21"/>
  <c r="T109" i="2"/>
  <c r="U109" s="1"/>
  <c r="Q110"/>
  <c r="M111"/>
  <c r="L113" i="21"/>
  <c r="AC113"/>
  <c r="W113"/>
  <c r="Q113"/>
  <c r="Z113"/>
  <c r="T113"/>
  <c r="J113"/>
  <c r="U109"/>
  <c r="S110"/>
  <c r="AB110"/>
  <c r="AD109"/>
  <c r="AG109"/>
  <c r="P110"/>
  <c r="R109"/>
  <c r="AI109"/>
  <c r="N116"/>
  <c r="X111"/>
  <c r="V112"/>
  <c r="AA110"/>
  <c r="Y111"/>
  <c r="N111" i="2"/>
  <c r="P110"/>
  <c r="AB110"/>
  <c r="V110"/>
  <c r="S110"/>
  <c r="Y110"/>
  <c r="R109"/>
  <c r="AG109"/>
  <c r="AI109"/>
  <c r="Z110" l="1"/>
  <c r="AA110" s="1"/>
  <c r="W110"/>
  <c r="X110" s="1"/>
  <c r="T110"/>
  <c r="U110" s="1"/>
  <c r="L110"/>
  <c r="J110"/>
  <c r="M116" i="21"/>
  <c r="AC110" i="2"/>
  <c r="AD110" s="1"/>
  <c r="M112"/>
  <c r="Z111"/>
  <c r="AC114" i="21"/>
  <c r="W114"/>
  <c r="Q114"/>
  <c r="Z114"/>
  <c r="T114"/>
  <c r="L114"/>
  <c r="J114"/>
  <c r="U110"/>
  <c r="S111"/>
  <c r="AD110"/>
  <c r="AB111"/>
  <c r="AG110"/>
  <c r="R110"/>
  <c r="AI110"/>
  <c r="P111"/>
  <c r="N112" i="2"/>
  <c r="P111"/>
  <c r="AB111"/>
  <c r="Y111"/>
  <c r="S111"/>
  <c r="V111"/>
  <c r="R110"/>
  <c r="AG110"/>
  <c r="AI110"/>
  <c r="AA111" i="21"/>
  <c r="Y112"/>
  <c r="X112"/>
  <c r="V113"/>
  <c r="N117"/>
  <c r="AA111" i="2" l="1"/>
  <c r="W111"/>
  <c r="X111" s="1"/>
  <c r="T111"/>
  <c r="U111" s="1"/>
  <c r="Z112"/>
  <c r="M113"/>
  <c r="M117" i="21"/>
  <c r="L111" i="2"/>
  <c r="J111"/>
  <c r="L115" i="21"/>
  <c r="Z115"/>
  <c r="T115"/>
  <c r="AC115"/>
  <c r="W115"/>
  <c r="Q115"/>
  <c r="J115"/>
  <c r="AC111" i="2"/>
  <c r="Q111"/>
  <c r="U111" i="21"/>
  <c r="S112"/>
  <c r="AI111"/>
  <c r="P112"/>
  <c r="AG111"/>
  <c r="R111"/>
  <c r="AB112"/>
  <c r="AD111"/>
  <c r="AG111" i="2"/>
  <c r="R111"/>
  <c r="AI111"/>
  <c r="N118" i="21"/>
  <c r="X113"/>
  <c r="V114"/>
  <c r="AA112"/>
  <c r="Y113"/>
  <c r="V112" i="2"/>
  <c r="S112"/>
  <c r="Y112"/>
  <c r="N113"/>
  <c r="P112"/>
  <c r="AB112"/>
  <c r="Q112" l="1"/>
  <c r="W112"/>
  <c r="X112" s="1"/>
  <c r="T112"/>
  <c r="U112" s="1"/>
  <c r="AC112"/>
  <c r="AD112" s="1"/>
  <c r="AA112"/>
  <c r="AD111"/>
  <c r="M118" i="21"/>
  <c r="L112" i="2"/>
  <c r="J112"/>
  <c r="L116" i="21"/>
  <c r="Z116"/>
  <c r="T116"/>
  <c r="AC116"/>
  <c r="W116"/>
  <c r="Q116"/>
  <c r="J116"/>
  <c r="M114" i="2"/>
  <c r="U112" i="21"/>
  <c r="S113"/>
  <c r="AD112"/>
  <c r="AB113"/>
  <c r="R112"/>
  <c r="AG112"/>
  <c r="P113"/>
  <c r="AI112"/>
  <c r="N114" i="2"/>
  <c r="P113"/>
  <c r="Y113"/>
  <c r="S113"/>
  <c r="AB113"/>
  <c r="V113"/>
  <c r="AA113" i="21"/>
  <c r="Y114"/>
  <c r="X114"/>
  <c r="V115"/>
  <c r="N119"/>
  <c r="AG112" i="2"/>
  <c r="AI112"/>
  <c r="R112"/>
  <c r="AC113" l="1"/>
  <c r="AC114" s="1"/>
  <c r="T113"/>
  <c r="U113" s="1"/>
  <c r="M115"/>
  <c r="L117" i="21"/>
  <c r="Z117"/>
  <c r="T117"/>
  <c r="AC117"/>
  <c r="W117"/>
  <c r="Q117"/>
  <c r="J117"/>
  <c r="Q113" i="2"/>
  <c r="R113" s="1"/>
  <c r="L113"/>
  <c r="J113"/>
  <c r="M119" i="21"/>
  <c r="W113" i="2"/>
  <c r="X113" s="1"/>
  <c r="Z113"/>
  <c r="Z114" s="1"/>
  <c r="U113" i="21"/>
  <c r="S114"/>
  <c r="AG113"/>
  <c r="AI113"/>
  <c r="R113"/>
  <c r="P114"/>
  <c r="AD113"/>
  <c r="AB114"/>
  <c r="N120"/>
  <c r="N115" i="2"/>
  <c r="P114"/>
  <c r="S114"/>
  <c r="Y114"/>
  <c r="V114"/>
  <c r="AB114"/>
  <c r="AD114" s="1"/>
  <c r="X115" i="21"/>
  <c r="V116"/>
  <c r="AA114"/>
  <c r="Y115"/>
  <c r="AG113" i="2"/>
  <c r="AI113"/>
  <c r="T114" l="1"/>
  <c r="U114" s="1"/>
  <c r="AD113"/>
  <c r="AA114"/>
  <c r="W114"/>
  <c r="X114" s="1"/>
  <c r="AA113"/>
  <c r="L118" i="21"/>
  <c r="Z118"/>
  <c r="T118"/>
  <c r="AC118"/>
  <c r="W118"/>
  <c r="Q118"/>
  <c r="J118"/>
  <c r="M116" i="2"/>
  <c r="Q114"/>
  <c r="R114" s="1"/>
  <c r="M120" i="21"/>
  <c r="L114" i="2"/>
  <c r="J114"/>
  <c r="U114" i="21"/>
  <c r="S115"/>
  <c r="AB115"/>
  <c r="AD114"/>
  <c r="AG114"/>
  <c r="P115"/>
  <c r="AI114"/>
  <c r="R114"/>
  <c r="AA115"/>
  <c r="Y116"/>
  <c r="N121"/>
  <c r="N116" i="2"/>
  <c r="Y115"/>
  <c r="S115"/>
  <c r="AB115"/>
  <c r="V115"/>
  <c r="P115"/>
  <c r="X116" i="21"/>
  <c r="V117"/>
  <c r="AG114" i="2"/>
  <c r="AI114"/>
  <c r="T115" l="1"/>
  <c r="U115" s="1"/>
  <c r="Q115"/>
  <c r="Q116" s="1"/>
  <c r="M121" i="21"/>
  <c r="L115" i="2"/>
  <c r="J115"/>
  <c r="L119" i="21"/>
  <c r="Z119"/>
  <c r="T119"/>
  <c r="AC119"/>
  <c r="W119"/>
  <c r="Q119"/>
  <c r="J119"/>
  <c r="M117" i="2"/>
  <c r="Z115"/>
  <c r="W115"/>
  <c r="AC115"/>
  <c r="U115" i="21"/>
  <c r="S116"/>
  <c r="AB116"/>
  <c r="AD115"/>
  <c r="AI115"/>
  <c r="P116"/>
  <c r="R115"/>
  <c r="AG115"/>
  <c r="X117"/>
  <c r="V118"/>
  <c r="AI115" i="2"/>
  <c r="AG115"/>
  <c r="N122" i="21"/>
  <c r="AA116"/>
  <c r="Y117"/>
  <c r="P116" i="2"/>
  <c r="V116"/>
  <c r="AB116"/>
  <c r="S116"/>
  <c r="Y116"/>
  <c r="N117"/>
  <c r="R115" l="1"/>
  <c r="AC116"/>
  <c r="AD116" s="1"/>
  <c r="Z116"/>
  <c r="AA116" s="1"/>
  <c r="T116"/>
  <c r="U116" s="1"/>
  <c r="W116"/>
  <c r="X116" s="1"/>
  <c r="AA115"/>
  <c r="AD115"/>
  <c r="X115"/>
  <c r="L116"/>
  <c r="J116"/>
  <c r="L120" i="21"/>
  <c r="Z120"/>
  <c r="T120"/>
  <c r="AC120"/>
  <c r="W120"/>
  <c r="Q120"/>
  <c r="J120"/>
  <c r="M118" i="2"/>
  <c r="M122" i="21"/>
  <c r="U116"/>
  <c r="S117"/>
  <c r="AB117"/>
  <c r="AD116"/>
  <c r="R116"/>
  <c r="P117"/>
  <c r="AG116"/>
  <c r="AI116"/>
  <c r="AG116" i="2"/>
  <c r="R116"/>
  <c r="AI116"/>
  <c r="X118" i="21"/>
  <c r="V119"/>
  <c r="P117" i="2"/>
  <c r="Y117"/>
  <c r="V117"/>
  <c r="N118"/>
  <c r="S117"/>
  <c r="AB117"/>
  <c r="AA117" i="21"/>
  <c r="Y118"/>
  <c r="N123"/>
  <c r="Z117" i="2" l="1"/>
  <c r="T117"/>
  <c r="U117" s="1"/>
  <c r="AA117"/>
  <c r="Q117"/>
  <c r="R117" s="1"/>
  <c r="L121" i="21"/>
  <c r="Z121"/>
  <c r="T121"/>
  <c r="AC121"/>
  <c r="W121"/>
  <c r="Q121"/>
  <c r="J121"/>
  <c r="M123"/>
  <c r="M119" i="2"/>
  <c r="W117"/>
  <c r="L117"/>
  <c r="J117"/>
  <c r="AC117"/>
  <c r="U117" i="21"/>
  <c r="S118"/>
  <c r="AD117"/>
  <c r="AB118"/>
  <c r="R117"/>
  <c r="AG117"/>
  <c r="AI117"/>
  <c r="P118"/>
  <c r="AA118"/>
  <c r="Y119"/>
  <c r="N119" i="2"/>
  <c r="P118"/>
  <c r="AB118"/>
  <c r="S118"/>
  <c r="V118"/>
  <c r="Y118"/>
  <c r="X119" i="21"/>
  <c r="V120"/>
  <c r="N124"/>
  <c r="AI117" i="2"/>
  <c r="AG117"/>
  <c r="AC118" l="1"/>
  <c r="AD118" s="1"/>
  <c r="W118"/>
  <c r="X118" s="1"/>
  <c r="AD117"/>
  <c r="X117"/>
  <c r="L118"/>
  <c r="J118"/>
  <c r="M124" i="21"/>
  <c r="M120" i="2"/>
  <c r="L122" i="21"/>
  <c r="Z122"/>
  <c r="T122"/>
  <c r="AC122"/>
  <c r="W122"/>
  <c r="Q122"/>
  <c r="J122"/>
  <c r="T118" i="2"/>
  <c r="Q118"/>
  <c r="Z118"/>
  <c r="U118" i="21"/>
  <c r="S119"/>
  <c r="R118"/>
  <c r="AI118"/>
  <c r="P119"/>
  <c r="AG118"/>
  <c r="AB119"/>
  <c r="AD118"/>
  <c r="N125"/>
  <c r="X120"/>
  <c r="V121"/>
  <c r="N120" i="2"/>
  <c r="Y119"/>
  <c r="V119"/>
  <c r="S119"/>
  <c r="AB119"/>
  <c r="P119"/>
  <c r="AI118"/>
  <c r="AG118"/>
  <c r="AA119" i="21"/>
  <c r="Y120"/>
  <c r="W119" i="2" l="1"/>
  <c r="X119" s="1"/>
  <c r="Z119"/>
  <c r="AA119" s="1"/>
  <c r="T119"/>
  <c r="U119" s="1"/>
  <c r="AC119"/>
  <c r="AD119" s="1"/>
  <c r="Q119"/>
  <c r="R118"/>
  <c r="AA118"/>
  <c r="U118"/>
  <c r="L119"/>
  <c r="J119"/>
  <c r="M125" i="21"/>
  <c r="M121" i="2"/>
  <c r="L123" i="21"/>
  <c r="Z123"/>
  <c r="T123"/>
  <c r="AC123"/>
  <c r="W123"/>
  <c r="Q123"/>
  <c r="J123"/>
  <c r="U119"/>
  <c r="S120"/>
  <c r="AB120"/>
  <c r="AD119"/>
  <c r="R119"/>
  <c r="P120"/>
  <c r="AI119"/>
  <c r="AG119"/>
  <c r="AA120"/>
  <c r="Y121"/>
  <c r="AB120" i="2"/>
  <c r="S120"/>
  <c r="V120"/>
  <c r="Y120"/>
  <c r="N121"/>
  <c r="P120"/>
  <c r="N126" i="21"/>
  <c r="AG119" i="2"/>
  <c r="AI119"/>
  <c r="R119"/>
  <c r="X121" i="21"/>
  <c r="V122"/>
  <c r="T120" i="2" l="1"/>
  <c r="U120" s="1"/>
  <c r="Q120"/>
  <c r="Q121" s="1"/>
  <c r="W120"/>
  <c r="X120" s="1"/>
  <c r="AC120"/>
  <c r="AD120" s="1"/>
  <c r="L120"/>
  <c r="J120"/>
  <c r="L124" i="21"/>
  <c r="Z124"/>
  <c r="T124"/>
  <c r="AC124"/>
  <c r="W124"/>
  <c r="Q124"/>
  <c r="J124"/>
  <c r="Z120" i="2"/>
  <c r="AA120" s="1"/>
  <c r="M122"/>
  <c r="M126" i="21"/>
  <c r="U120"/>
  <c r="S121"/>
  <c r="AD120"/>
  <c r="AB121"/>
  <c r="AI120"/>
  <c r="AG120"/>
  <c r="P121"/>
  <c r="R120"/>
  <c r="X122"/>
  <c r="V123"/>
  <c r="N122" i="2"/>
  <c r="P121"/>
  <c r="Y121"/>
  <c r="V121"/>
  <c r="S121"/>
  <c r="AB121"/>
  <c r="N127" i="21"/>
  <c r="AG120" i="2"/>
  <c r="AI120"/>
  <c r="R120"/>
  <c r="AA121" i="21"/>
  <c r="Y122"/>
  <c r="AC121" i="2" l="1"/>
  <c r="AD121" s="1"/>
  <c r="T121"/>
  <c r="W121"/>
  <c r="X121" s="1"/>
  <c r="U121"/>
  <c r="M127" i="21"/>
  <c r="L121" i="2"/>
  <c r="J121"/>
  <c r="Z121"/>
  <c r="AA121" s="1"/>
  <c r="L125" i="21"/>
  <c r="Z125"/>
  <c r="T125"/>
  <c r="AC125"/>
  <c r="W125"/>
  <c r="Q125"/>
  <c r="J125"/>
  <c r="T122" i="2"/>
  <c r="M123"/>
  <c r="U121" i="21"/>
  <c r="S122"/>
  <c r="AG121"/>
  <c r="P122"/>
  <c r="R121"/>
  <c r="AI121"/>
  <c r="AB122"/>
  <c r="AD121"/>
  <c r="N128"/>
  <c r="R121" i="2"/>
  <c r="AG121"/>
  <c r="AI121"/>
  <c r="X123" i="21"/>
  <c r="V124"/>
  <c r="AA122"/>
  <c r="Y123"/>
  <c r="P122" i="2"/>
  <c r="AB122"/>
  <c r="S122"/>
  <c r="V122"/>
  <c r="Y122"/>
  <c r="N123"/>
  <c r="Q122" l="1"/>
  <c r="R122" s="1"/>
  <c r="AC122"/>
  <c r="AD122" s="1"/>
  <c r="U122"/>
  <c r="L122"/>
  <c r="J122"/>
  <c r="M128" i="21"/>
  <c r="Z122" i="2"/>
  <c r="AA122" s="1"/>
  <c r="W122"/>
  <c r="X122" s="1"/>
  <c r="T123"/>
  <c r="M124"/>
  <c r="L126" i="21"/>
  <c r="Z126"/>
  <c r="T126"/>
  <c r="AC126"/>
  <c r="W126"/>
  <c r="Q126"/>
  <c r="J126"/>
  <c r="U122"/>
  <c r="S123"/>
  <c r="AD122"/>
  <c r="AB123"/>
  <c r="AG122"/>
  <c r="AI122"/>
  <c r="P123"/>
  <c r="R122"/>
  <c r="N129"/>
  <c r="N124" i="2"/>
  <c r="P123"/>
  <c r="Y123"/>
  <c r="V123"/>
  <c r="S123"/>
  <c r="AB123"/>
  <c r="AA123" i="21"/>
  <c r="Y124"/>
  <c r="X124"/>
  <c r="V125"/>
  <c r="AG122" i="2"/>
  <c r="AI122"/>
  <c r="U123" l="1"/>
  <c r="Q123"/>
  <c r="R123" s="1"/>
  <c r="W123"/>
  <c r="X123" s="1"/>
  <c r="L123"/>
  <c r="J123"/>
  <c r="M129" i="21"/>
  <c r="Z123" i="2"/>
  <c r="AA123" s="1"/>
  <c r="AC123"/>
  <c r="AD123" s="1"/>
  <c r="M125"/>
  <c r="L127" i="21"/>
  <c r="Z127"/>
  <c r="T127"/>
  <c r="AC127"/>
  <c r="W127"/>
  <c r="Q127"/>
  <c r="J127"/>
  <c r="U123"/>
  <c r="S124"/>
  <c r="AI123"/>
  <c r="AG123"/>
  <c r="R123"/>
  <c r="P124"/>
  <c r="AD123"/>
  <c r="AB124"/>
  <c r="X125"/>
  <c r="V126"/>
  <c r="AA124"/>
  <c r="Y125"/>
  <c r="AG123" i="2"/>
  <c r="AI123"/>
  <c r="P124"/>
  <c r="AB124"/>
  <c r="V124"/>
  <c r="S124"/>
  <c r="Y124"/>
  <c r="N125"/>
  <c r="N130" i="21"/>
  <c r="W124" i="2" l="1"/>
  <c r="X124" s="1"/>
  <c r="T124"/>
  <c r="U124" s="1"/>
  <c r="L124"/>
  <c r="J124"/>
  <c r="M130" i="21"/>
  <c r="AC124" i="2"/>
  <c r="AD124" s="1"/>
  <c r="Q124"/>
  <c r="R124" s="1"/>
  <c r="M126"/>
  <c r="L128" i="21"/>
  <c r="Z128"/>
  <c r="T128"/>
  <c r="AC128"/>
  <c r="W128"/>
  <c r="Q128"/>
  <c r="J128"/>
  <c r="Z124" i="2"/>
  <c r="U124" i="21"/>
  <c r="S125"/>
  <c r="AD124"/>
  <c r="AB125"/>
  <c r="R124"/>
  <c r="AI124"/>
  <c r="AG124"/>
  <c r="P125"/>
  <c r="N131"/>
  <c r="AG124" i="2"/>
  <c r="AI124"/>
  <c r="AA125" i="21"/>
  <c r="Y126"/>
  <c r="X126"/>
  <c r="V127"/>
  <c r="P125" i="2"/>
  <c r="Y125"/>
  <c r="S125"/>
  <c r="V125"/>
  <c r="AB125"/>
  <c r="N126"/>
  <c r="Z125" l="1"/>
  <c r="AA125" s="1"/>
  <c r="AA124"/>
  <c r="L125"/>
  <c r="J125"/>
  <c r="M131" i="21"/>
  <c r="M127" i="2"/>
  <c r="L129" i="21"/>
  <c r="Z129"/>
  <c r="T129"/>
  <c r="AC129"/>
  <c r="W129"/>
  <c r="Q129"/>
  <c r="J129"/>
  <c r="AC125" i="2"/>
  <c r="T125"/>
  <c r="T126" s="1"/>
  <c r="Q125"/>
  <c r="R125" s="1"/>
  <c r="W125"/>
  <c r="W126" s="1"/>
  <c r="U125" i="21"/>
  <c r="S126"/>
  <c r="AI125"/>
  <c r="P126"/>
  <c r="R125"/>
  <c r="AG125"/>
  <c r="AB126"/>
  <c r="AD125"/>
  <c r="P126" i="2"/>
  <c r="AB126"/>
  <c r="V126"/>
  <c r="S126"/>
  <c r="U126" s="1"/>
  <c r="Y126"/>
  <c r="N127"/>
  <c r="X127" i="21"/>
  <c r="V128"/>
  <c r="AA126"/>
  <c r="Y127"/>
  <c r="AG125" i="2"/>
  <c r="AI125"/>
  <c r="N132" i="21"/>
  <c r="Z126" i="2" l="1"/>
  <c r="AA126" s="1"/>
  <c r="X126"/>
  <c r="Q126"/>
  <c r="AC126"/>
  <c r="AD126" s="1"/>
  <c r="U125"/>
  <c r="AD125"/>
  <c r="X125"/>
  <c r="L126"/>
  <c r="J126"/>
  <c r="L130" i="21"/>
  <c r="Z130"/>
  <c r="T130"/>
  <c r="AC130"/>
  <c r="W130"/>
  <c r="Q130"/>
  <c r="J130"/>
  <c r="M128" i="2"/>
  <c r="M132" i="21"/>
  <c r="U126"/>
  <c r="S127"/>
  <c r="AI126"/>
  <c r="AG126"/>
  <c r="R126"/>
  <c r="P127"/>
  <c r="AD126"/>
  <c r="AB127"/>
  <c r="X128"/>
  <c r="V129"/>
  <c r="N133"/>
  <c r="AG126" i="2"/>
  <c r="R126"/>
  <c r="AI126"/>
  <c r="AA127" i="21"/>
  <c r="Y128"/>
  <c r="P127" i="2"/>
  <c r="Y127"/>
  <c r="S127"/>
  <c r="V127"/>
  <c r="AB127"/>
  <c r="N128"/>
  <c r="AC127" l="1"/>
  <c r="Z127"/>
  <c r="AA127" s="1"/>
  <c r="AD127"/>
  <c r="L127"/>
  <c r="J127"/>
  <c r="M133" i="21"/>
  <c r="M129" i="2"/>
  <c r="W127"/>
  <c r="Q127"/>
  <c r="T127"/>
  <c r="L131" i="21"/>
  <c r="Z131"/>
  <c r="T131"/>
  <c r="AC131"/>
  <c r="W131"/>
  <c r="Q131"/>
  <c r="J131"/>
  <c r="U127"/>
  <c r="S128"/>
  <c r="AD127"/>
  <c r="AB128"/>
  <c r="AG127"/>
  <c r="R127"/>
  <c r="AI127"/>
  <c r="P128"/>
  <c r="AG127" i="2"/>
  <c r="AI127"/>
  <c r="N134" i="21"/>
  <c r="X129"/>
  <c r="V130"/>
  <c r="N129" i="2"/>
  <c r="P128"/>
  <c r="AB128"/>
  <c r="V128"/>
  <c r="S128"/>
  <c r="Y128"/>
  <c r="AA128" i="21"/>
  <c r="Y129"/>
  <c r="Z128" i="2" l="1"/>
  <c r="AC128"/>
  <c r="AD128" s="1"/>
  <c r="AA128"/>
  <c r="T128"/>
  <c r="U128" s="1"/>
  <c r="W128"/>
  <c r="X128" s="1"/>
  <c r="X127"/>
  <c r="Q128"/>
  <c r="Q129" s="1"/>
  <c r="R127"/>
  <c r="U127"/>
  <c r="M130"/>
  <c r="L132" i="21"/>
  <c r="Z132"/>
  <c r="T132"/>
  <c r="AC132"/>
  <c r="W132"/>
  <c r="Q132"/>
  <c r="J132"/>
  <c r="L128" i="2"/>
  <c r="J128"/>
  <c r="M134" i="21"/>
  <c r="U128"/>
  <c r="S129"/>
  <c r="R128"/>
  <c r="AG128"/>
  <c r="AI128"/>
  <c r="P129"/>
  <c r="AD128"/>
  <c r="AB129"/>
  <c r="AA129"/>
  <c r="Y130"/>
  <c r="AG128" i="2"/>
  <c r="AI128"/>
  <c r="X130" i="21"/>
  <c r="V131"/>
  <c r="P129" i="2"/>
  <c r="N130"/>
  <c r="V129"/>
  <c r="AB129"/>
  <c r="Y129"/>
  <c r="S129"/>
  <c r="N135" i="21"/>
  <c r="R128" i="2" l="1"/>
  <c r="W129"/>
  <c r="Z129"/>
  <c r="AA129" s="1"/>
  <c r="AC129"/>
  <c r="AD129" s="1"/>
  <c r="T129"/>
  <c r="U129" s="1"/>
  <c r="X129"/>
  <c r="L133" i="21"/>
  <c r="Z133"/>
  <c r="T133"/>
  <c r="AC133"/>
  <c r="W133"/>
  <c r="Q133"/>
  <c r="J133"/>
  <c r="L129" i="2"/>
  <c r="J129"/>
  <c r="M135" i="21"/>
  <c r="M131" i="2"/>
  <c r="W130"/>
  <c r="U129" i="21"/>
  <c r="S130"/>
  <c r="AB130"/>
  <c r="AD129"/>
  <c r="AG129"/>
  <c r="P130"/>
  <c r="AI129"/>
  <c r="R129"/>
  <c r="N136"/>
  <c r="N131" i="2"/>
  <c r="S130"/>
  <c r="P130"/>
  <c r="Y130"/>
  <c r="AB130"/>
  <c r="V130"/>
  <c r="X131" i="21"/>
  <c r="V132"/>
  <c r="AG129" i="2"/>
  <c r="AI129"/>
  <c r="R129"/>
  <c r="AA130" i="21"/>
  <c r="Y131"/>
  <c r="Q130" i="2" l="1"/>
  <c r="Q131" s="1"/>
  <c r="AC130"/>
  <c r="AD130" s="1"/>
  <c r="X130"/>
  <c r="T130"/>
  <c r="U130" s="1"/>
  <c r="M132"/>
  <c r="M136" i="21"/>
  <c r="L130" i="2"/>
  <c r="J130"/>
  <c r="L134" i="21"/>
  <c r="Z134"/>
  <c r="T134"/>
  <c r="AC134"/>
  <c r="W134"/>
  <c r="Q134"/>
  <c r="J134"/>
  <c r="Z130" i="2"/>
  <c r="U130" i="21"/>
  <c r="S131"/>
  <c r="AB131"/>
  <c r="AD130"/>
  <c r="R130"/>
  <c r="P131"/>
  <c r="AG130"/>
  <c r="AI130"/>
  <c r="AA131"/>
  <c r="Y132"/>
  <c r="AG130" i="2"/>
  <c r="AI130"/>
  <c r="V131"/>
  <c r="AB131"/>
  <c r="Y131"/>
  <c r="S131"/>
  <c r="N132"/>
  <c r="P131"/>
  <c r="N137" i="21"/>
  <c r="X132"/>
  <c r="V133"/>
  <c r="R130" i="2" l="1"/>
  <c r="T131"/>
  <c r="U131" s="1"/>
  <c r="Z131"/>
  <c r="AA131" s="1"/>
  <c r="W131"/>
  <c r="X131" s="1"/>
  <c r="AA130"/>
  <c r="M137" i="21"/>
  <c r="M133" i="2"/>
  <c r="Q132"/>
  <c r="AC131"/>
  <c r="AD131" s="1"/>
  <c r="L135" i="21"/>
  <c r="Z135"/>
  <c r="T135"/>
  <c r="AC135"/>
  <c r="W135"/>
  <c r="Q135"/>
  <c r="J135"/>
  <c r="L131" i="2"/>
  <c r="J131"/>
  <c r="U131" i="21"/>
  <c r="S132"/>
  <c r="AG131"/>
  <c r="P132"/>
  <c r="AI131"/>
  <c r="R131"/>
  <c r="AB132"/>
  <c r="AD131"/>
  <c r="X133"/>
  <c r="V134"/>
  <c r="R131" i="2"/>
  <c r="AI131"/>
  <c r="AG131"/>
  <c r="N138" i="21"/>
  <c r="N133" i="2"/>
  <c r="P132"/>
  <c r="S132"/>
  <c r="Y132"/>
  <c r="AB132"/>
  <c r="V132"/>
  <c r="AA132" i="21"/>
  <c r="Y133"/>
  <c r="W132" i="2" l="1"/>
  <c r="X132" s="1"/>
  <c r="AC132"/>
  <c r="AD132" s="1"/>
  <c r="Z132"/>
  <c r="AA132" s="1"/>
  <c r="L132"/>
  <c r="J132"/>
  <c r="L136" i="21"/>
  <c r="Z136"/>
  <c r="T136"/>
  <c r="AC136"/>
  <c r="W136"/>
  <c r="Q136"/>
  <c r="J136"/>
  <c r="T132" i="2"/>
  <c r="U132" s="1"/>
  <c r="M134"/>
  <c r="M138" i="21"/>
  <c r="U132"/>
  <c r="S133"/>
  <c r="AG132"/>
  <c r="P133"/>
  <c r="R132"/>
  <c r="AI132"/>
  <c r="AD132"/>
  <c r="AB133"/>
  <c r="V133" i="2"/>
  <c r="AB133"/>
  <c r="Y133"/>
  <c r="S133"/>
  <c r="N134"/>
  <c r="P133"/>
  <c r="X134" i="21"/>
  <c r="V135"/>
  <c r="AA133"/>
  <c r="Y134"/>
  <c r="R132" i="2"/>
  <c r="AI132"/>
  <c r="AG132"/>
  <c r="N139" i="21"/>
  <c r="AC133" i="2" l="1"/>
  <c r="W133"/>
  <c r="X133" s="1"/>
  <c r="AD133"/>
  <c r="Z133"/>
  <c r="AA133" s="1"/>
  <c r="L137" i="21"/>
  <c r="Z137"/>
  <c r="T137"/>
  <c r="AC137"/>
  <c r="W137"/>
  <c r="Q137"/>
  <c r="J137"/>
  <c r="M135" i="2"/>
  <c r="T133"/>
  <c r="T134" s="1"/>
  <c r="M139" i="21"/>
  <c r="L133" i="2"/>
  <c r="J133"/>
  <c r="Q133"/>
  <c r="R133" s="1"/>
  <c r="U133" i="21"/>
  <c r="S134"/>
  <c r="AB134"/>
  <c r="AD133"/>
  <c r="AI133"/>
  <c r="R133"/>
  <c r="AG133"/>
  <c r="P134"/>
  <c r="AA134"/>
  <c r="Y135"/>
  <c r="X135"/>
  <c r="V136"/>
  <c r="AG133" i="2"/>
  <c r="AI133"/>
  <c r="N140" i="21"/>
  <c r="N135" i="2"/>
  <c r="P134"/>
  <c r="S134"/>
  <c r="U134" s="1"/>
  <c r="Y134"/>
  <c r="AB134"/>
  <c r="V134"/>
  <c r="Z134" l="1"/>
  <c r="AA134" s="1"/>
  <c r="W134"/>
  <c r="X134" s="1"/>
  <c r="Q134"/>
  <c r="R134" s="1"/>
  <c r="U133"/>
  <c r="M140" i="21"/>
  <c r="L134" i="2"/>
  <c r="J134"/>
  <c r="AC134"/>
  <c r="AD134" s="1"/>
  <c r="L138" i="21"/>
  <c r="Z138"/>
  <c r="T138"/>
  <c r="AC138"/>
  <c r="W138"/>
  <c r="Q138"/>
  <c r="J138"/>
  <c r="M136" i="2"/>
  <c r="U134" i="21"/>
  <c r="S135"/>
  <c r="R134"/>
  <c r="AG134"/>
  <c r="AI134"/>
  <c r="P135"/>
  <c r="AD134"/>
  <c r="AB135"/>
  <c r="P135" i="2"/>
  <c r="N136"/>
  <c r="V135"/>
  <c r="AB135"/>
  <c r="Y135"/>
  <c r="S135"/>
  <c r="X136" i="21"/>
  <c r="V137"/>
  <c r="AA135"/>
  <c r="Y136"/>
  <c r="AI134" i="2"/>
  <c r="AG134"/>
  <c r="N141" i="21"/>
  <c r="W135" i="2" l="1"/>
  <c r="X135" s="1"/>
  <c r="M137"/>
  <c r="M141" i="21"/>
  <c r="Z135" i="2"/>
  <c r="Z136" s="1"/>
  <c r="T135"/>
  <c r="U135" s="1"/>
  <c r="Q135"/>
  <c r="Q136" s="1"/>
  <c r="AC135"/>
  <c r="AD135" s="1"/>
  <c r="L135"/>
  <c r="J135"/>
  <c r="L139" i="21"/>
  <c r="Z139"/>
  <c r="T139"/>
  <c r="AC139"/>
  <c r="W139"/>
  <c r="Q139"/>
  <c r="J139"/>
  <c r="U135"/>
  <c r="S136"/>
  <c r="AD135"/>
  <c r="AB136"/>
  <c r="R135"/>
  <c r="P136"/>
  <c r="AG135"/>
  <c r="AI135"/>
  <c r="N142"/>
  <c r="X137"/>
  <c r="V138"/>
  <c r="N137" i="2"/>
  <c r="P136"/>
  <c r="S136"/>
  <c r="Y136"/>
  <c r="AB136"/>
  <c r="V136"/>
  <c r="R135"/>
  <c r="AI135"/>
  <c r="AG135"/>
  <c r="AA136" i="21"/>
  <c r="Y137"/>
  <c r="W136" i="2" l="1"/>
  <c r="X136" s="1"/>
  <c r="AA136"/>
  <c r="AA135"/>
  <c r="M142" i="21"/>
  <c r="M138" i="2"/>
  <c r="Z137"/>
  <c r="AC136"/>
  <c r="T136"/>
  <c r="T137" s="1"/>
  <c r="L140" i="21"/>
  <c r="Z140"/>
  <c r="T140"/>
  <c r="AC140"/>
  <c r="W140"/>
  <c r="Q140"/>
  <c r="J140"/>
  <c r="L136" i="2"/>
  <c r="J136"/>
  <c r="Q137"/>
  <c r="U136" i="21"/>
  <c r="S137"/>
  <c r="AI136"/>
  <c r="AG136"/>
  <c r="R136"/>
  <c r="P137"/>
  <c r="AD136"/>
  <c r="AB137"/>
  <c r="AA137"/>
  <c r="Y138"/>
  <c r="N138" i="2"/>
  <c r="P137"/>
  <c r="V137"/>
  <c r="AB137"/>
  <c r="Y137"/>
  <c r="S137"/>
  <c r="U137" s="1"/>
  <c r="R136"/>
  <c r="AG136"/>
  <c r="AI136"/>
  <c r="X138" i="21"/>
  <c r="V139"/>
  <c r="N143"/>
  <c r="AC137" i="2" l="1"/>
  <c r="AD137" s="1"/>
  <c r="AA137"/>
  <c r="U136"/>
  <c r="AD136"/>
  <c r="L137"/>
  <c r="J137"/>
  <c r="M143" i="21"/>
  <c r="W137" i="2"/>
  <c r="X137" s="1"/>
  <c r="M139"/>
  <c r="L141" i="21"/>
  <c r="Z141"/>
  <c r="T141"/>
  <c r="AC141"/>
  <c r="W141"/>
  <c r="Q141"/>
  <c r="J141"/>
  <c r="U137"/>
  <c r="S138"/>
  <c r="AD137"/>
  <c r="AB138"/>
  <c r="AI137"/>
  <c r="R137"/>
  <c r="AG137"/>
  <c r="P138"/>
  <c r="X139"/>
  <c r="V140"/>
  <c r="N139" i="2"/>
  <c r="P138"/>
  <c r="S138"/>
  <c r="Y138"/>
  <c r="AB138"/>
  <c r="V138"/>
  <c r="N144" i="21"/>
  <c r="AI137" i="2"/>
  <c r="AG137"/>
  <c r="R137"/>
  <c r="AA138" i="21"/>
  <c r="Y139"/>
  <c r="AC138" i="2" l="1"/>
  <c r="AD138" s="1"/>
  <c r="L138"/>
  <c r="J138"/>
  <c r="M144" i="21"/>
  <c r="AC139" i="2"/>
  <c r="M140"/>
  <c r="L142" i="21"/>
  <c r="Z142"/>
  <c r="T142"/>
  <c r="AC142"/>
  <c r="W142"/>
  <c r="Q142"/>
  <c r="J142"/>
  <c r="T138" i="2"/>
  <c r="Z138"/>
  <c r="Z139" s="1"/>
  <c r="W138"/>
  <c r="Q138"/>
  <c r="Q139" s="1"/>
  <c r="U138" i="21"/>
  <c r="S139"/>
  <c r="AG138"/>
  <c r="P139"/>
  <c r="AI138"/>
  <c r="R138"/>
  <c r="AB139"/>
  <c r="AD138"/>
  <c r="AG138" i="2"/>
  <c r="AI138"/>
  <c r="X140" i="21"/>
  <c r="V141"/>
  <c r="AA139"/>
  <c r="Y140"/>
  <c r="N145"/>
  <c r="N140" i="2"/>
  <c r="P139"/>
  <c r="V139"/>
  <c r="AB139"/>
  <c r="Y139"/>
  <c r="S139"/>
  <c r="AA139" l="1"/>
  <c r="R138"/>
  <c r="AD139"/>
  <c r="W139"/>
  <c r="X139" s="1"/>
  <c r="T139"/>
  <c r="U139" s="1"/>
  <c r="X138"/>
  <c r="U138"/>
  <c r="AA138"/>
  <c r="L139"/>
  <c r="J139"/>
  <c r="L143" i="21"/>
  <c r="Z143"/>
  <c r="T143"/>
  <c r="AC143"/>
  <c r="W143"/>
  <c r="Q143"/>
  <c r="J143"/>
  <c r="Z140" i="2"/>
  <c r="M141"/>
  <c r="M145" i="21"/>
  <c r="AC140" i="2"/>
  <c r="U139" i="21"/>
  <c r="S140"/>
  <c r="AD139"/>
  <c r="AB140"/>
  <c r="AI139"/>
  <c r="R139"/>
  <c r="AG139"/>
  <c r="P140"/>
  <c r="N141" i="2"/>
  <c r="P140"/>
  <c r="S140"/>
  <c r="Y140"/>
  <c r="AB140"/>
  <c r="V140"/>
  <c r="N146" i="21"/>
  <c r="AI139" i="2"/>
  <c r="AG139"/>
  <c r="R139"/>
  <c r="AA140" i="21"/>
  <c r="Y141"/>
  <c r="X141"/>
  <c r="V142"/>
  <c r="AD140" i="2" l="1"/>
  <c r="AA140"/>
  <c r="T140"/>
  <c r="U140" s="1"/>
  <c r="L144" i="21"/>
  <c r="Z144"/>
  <c r="T144"/>
  <c r="AC144"/>
  <c r="W144"/>
  <c r="Q144"/>
  <c r="J144"/>
  <c r="M146"/>
  <c r="M142" i="2"/>
  <c r="W140"/>
  <c r="W141" s="1"/>
  <c r="L140"/>
  <c r="J140"/>
  <c r="Q140"/>
  <c r="R140" s="1"/>
  <c r="U140" i="21"/>
  <c r="S141"/>
  <c r="AG140"/>
  <c r="R140"/>
  <c r="AI140"/>
  <c r="P141"/>
  <c r="AD140"/>
  <c r="AB141"/>
  <c r="N147"/>
  <c r="AI140" i="2"/>
  <c r="AG140"/>
  <c r="X142" i="21"/>
  <c r="V143"/>
  <c r="AA141"/>
  <c r="Y142"/>
  <c r="N142" i="2"/>
  <c r="P141"/>
  <c r="AB141"/>
  <c r="Y141"/>
  <c r="S141"/>
  <c r="V141"/>
  <c r="T141" l="1"/>
  <c r="U141" s="1"/>
  <c r="X141"/>
  <c r="AC141"/>
  <c r="AD141" s="1"/>
  <c r="Q141"/>
  <c r="R141" s="1"/>
  <c r="X140"/>
  <c r="L141"/>
  <c r="J141"/>
  <c r="L145" i="21"/>
  <c r="Z145"/>
  <c r="T145"/>
  <c r="AC145"/>
  <c r="W145"/>
  <c r="Q145"/>
  <c r="J145"/>
  <c r="Z141" i="2"/>
  <c r="AA141" s="1"/>
  <c r="M143"/>
  <c r="W142"/>
  <c r="M147" i="21"/>
  <c r="U141"/>
  <c r="S142"/>
  <c r="AB142"/>
  <c r="AD141"/>
  <c r="AI141"/>
  <c r="R141"/>
  <c r="P142"/>
  <c r="AG141"/>
  <c r="N143" i="2"/>
  <c r="Y142"/>
  <c r="AB142"/>
  <c r="V142"/>
  <c r="P142"/>
  <c r="S142"/>
  <c r="AI141"/>
  <c r="AG141"/>
  <c r="AA142" i="21"/>
  <c r="Y143"/>
  <c r="X143"/>
  <c r="V144"/>
  <c r="N148"/>
  <c r="X142" i="2" l="1"/>
  <c r="T142"/>
  <c r="U142" s="1"/>
  <c r="M148" i="21"/>
  <c r="L146"/>
  <c r="Z146"/>
  <c r="T146"/>
  <c r="AC146"/>
  <c r="W146"/>
  <c r="Q146"/>
  <c r="J146"/>
  <c r="M144" i="2"/>
  <c r="Q142"/>
  <c r="L142"/>
  <c r="J142"/>
  <c r="Z142"/>
  <c r="Z143" s="1"/>
  <c r="AC142"/>
  <c r="U142" i="21"/>
  <c r="S143"/>
  <c r="AG142"/>
  <c r="AI142"/>
  <c r="P143"/>
  <c r="R142"/>
  <c r="AB143"/>
  <c r="AD142"/>
  <c r="N149"/>
  <c r="X144"/>
  <c r="V145"/>
  <c r="AA143"/>
  <c r="Y144"/>
  <c r="AI142" i="2"/>
  <c r="AG142"/>
  <c r="N144"/>
  <c r="P143"/>
  <c r="V143"/>
  <c r="AB143"/>
  <c r="Y143"/>
  <c r="S143"/>
  <c r="T143" l="1"/>
  <c r="U143" s="1"/>
  <c r="AA143"/>
  <c r="AC143"/>
  <c r="AA142"/>
  <c r="AD143"/>
  <c r="Q143"/>
  <c r="Q144" s="1"/>
  <c r="R142"/>
  <c r="AD142"/>
  <c r="Z144"/>
  <c r="M145"/>
  <c r="L143"/>
  <c r="J143"/>
  <c r="M149" i="21"/>
  <c r="W143" i="2"/>
  <c r="L147" i="21"/>
  <c r="Z147"/>
  <c r="T147"/>
  <c r="AC147"/>
  <c r="W147"/>
  <c r="Q147"/>
  <c r="J147"/>
  <c r="U143"/>
  <c r="S144"/>
  <c r="AB144"/>
  <c r="AD143"/>
  <c r="AI143"/>
  <c r="R143"/>
  <c r="P144"/>
  <c r="AG143"/>
  <c r="N145" i="2"/>
  <c r="S144"/>
  <c r="Y144"/>
  <c r="AB144"/>
  <c r="V144"/>
  <c r="P144"/>
  <c r="AG143"/>
  <c r="AI143"/>
  <c r="N150" i="21"/>
  <c r="AA144"/>
  <c r="Y145"/>
  <c r="X145"/>
  <c r="V146"/>
  <c r="R143" i="2" l="1"/>
  <c r="T144"/>
  <c r="U144" s="1"/>
  <c r="AA144"/>
  <c r="AC144"/>
  <c r="AD144" s="1"/>
  <c r="W144"/>
  <c r="X144" s="1"/>
  <c r="X143"/>
  <c r="L148" i="21"/>
  <c r="Z148"/>
  <c r="T148"/>
  <c r="AC148"/>
  <c r="W148"/>
  <c r="Q148"/>
  <c r="J148"/>
  <c r="L144" i="2"/>
  <c r="J144"/>
  <c r="M150" i="21"/>
  <c r="M146" i="2"/>
  <c r="U144" i="21"/>
  <c r="S145"/>
  <c r="AI144"/>
  <c r="P145"/>
  <c r="AG144"/>
  <c r="R144"/>
  <c r="AB145"/>
  <c r="AD144"/>
  <c r="AG144" i="2"/>
  <c r="R144"/>
  <c r="AI144"/>
  <c r="X146" i="21"/>
  <c r="V147"/>
  <c r="AA145"/>
  <c r="Y146"/>
  <c r="N151"/>
  <c r="N146" i="2"/>
  <c r="P145"/>
  <c r="V145"/>
  <c r="AB145"/>
  <c r="Y145"/>
  <c r="S145"/>
  <c r="W145" l="1"/>
  <c r="W146" s="1"/>
  <c r="L145"/>
  <c r="J145"/>
  <c r="M151" i="21"/>
  <c r="Q145" i="2"/>
  <c r="M147"/>
  <c r="L149" i="21"/>
  <c r="Z149"/>
  <c r="T149"/>
  <c r="AC149"/>
  <c r="W149"/>
  <c r="Q149"/>
  <c r="J149"/>
  <c r="Z145" i="2"/>
  <c r="Z146" s="1"/>
  <c r="AC145"/>
  <c r="AD145" s="1"/>
  <c r="T145"/>
  <c r="T146" s="1"/>
  <c r="U145" i="21"/>
  <c r="S146"/>
  <c r="AB146"/>
  <c r="AD145"/>
  <c r="AG145"/>
  <c r="R145"/>
  <c r="P146"/>
  <c r="AI145"/>
  <c r="AI145" i="2"/>
  <c r="AG145"/>
  <c r="R145"/>
  <c r="N152" i="21"/>
  <c r="AA146"/>
  <c r="Y147"/>
  <c r="X147"/>
  <c r="V148"/>
  <c r="N147" i="2"/>
  <c r="P146"/>
  <c r="S146"/>
  <c r="Y146"/>
  <c r="AB146"/>
  <c r="V146"/>
  <c r="AA146" l="1"/>
  <c r="X146"/>
  <c r="U146"/>
  <c r="X145"/>
  <c r="U145"/>
  <c r="AA145"/>
  <c r="W147"/>
  <c r="M148"/>
  <c r="M152" i="21"/>
  <c r="T147" i="2"/>
  <c r="AC146"/>
  <c r="AD146" s="1"/>
  <c r="L146"/>
  <c r="J146"/>
  <c r="L150" i="21"/>
  <c r="Z150"/>
  <c r="T150"/>
  <c r="AC150"/>
  <c r="W150"/>
  <c r="Q150"/>
  <c r="J150"/>
  <c r="Z147" i="2"/>
  <c r="Q146"/>
  <c r="Q147" s="1"/>
  <c r="U146" i="21"/>
  <c r="S147"/>
  <c r="AG146"/>
  <c r="R146"/>
  <c r="AI146"/>
  <c r="P147"/>
  <c r="AD146"/>
  <c r="AB147"/>
  <c r="AG146" i="2"/>
  <c r="AI146"/>
  <c r="X148" i="21"/>
  <c r="V149"/>
  <c r="AA147"/>
  <c r="Y148"/>
  <c r="N153"/>
  <c r="N148" i="2"/>
  <c r="P147"/>
  <c r="V147"/>
  <c r="AB147"/>
  <c r="Y147"/>
  <c r="S147"/>
  <c r="X147" l="1"/>
  <c r="AA147"/>
  <c r="U147"/>
  <c r="R146"/>
  <c r="L151" i="21"/>
  <c r="Z151"/>
  <c r="T151"/>
  <c r="AC151"/>
  <c r="W151"/>
  <c r="Q151"/>
  <c r="J151"/>
  <c r="M149" i="2"/>
  <c r="AC147"/>
  <c r="M153" i="21"/>
  <c r="L147" i="2"/>
  <c r="J147"/>
  <c r="T148"/>
  <c r="U147" i="21"/>
  <c r="S148"/>
  <c r="AD147"/>
  <c r="AB148"/>
  <c r="AG147"/>
  <c r="AI147"/>
  <c r="R147"/>
  <c r="P148"/>
  <c r="AI147" i="2"/>
  <c r="AG147"/>
  <c r="R147"/>
  <c r="N154" i="21"/>
  <c r="AA148"/>
  <c r="Y149"/>
  <c r="X149"/>
  <c r="V150"/>
  <c r="N149" i="2"/>
  <c r="P148"/>
  <c r="S148"/>
  <c r="Y148"/>
  <c r="AB148"/>
  <c r="V148"/>
  <c r="U148" l="1"/>
  <c r="AC148"/>
  <c r="AD148" s="1"/>
  <c r="AD147"/>
  <c r="L152" i="21"/>
  <c r="Z152"/>
  <c r="T152"/>
  <c r="AC152"/>
  <c r="W152"/>
  <c r="Q152"/>
  <c r="J152"/>
  <c r="L148" i="2"/>
  <c r="J148"/>
  <c r="M154" i="21"/>
  <c r="M150" i="2"/>
  <c r="Q148"/>
  <c r="R148" s="1"/>
  <c r="Z148"/>
  <c r="AA148" s="1"/>
  <c r="W148"/>
  <c r="X148" s="1"/>
  <c r="U148" i="21"/>
  <c r="S149"/>
  <c r="AG148"/>
  <c r="R148"/>
  <c r="AI148"/>
  <c r="P149"/>
  <c r="AD148"/>
  <c r="AB149"/>
  <c r="AI148" i="2"/>
  <c r="AG148"/>
  <c r="X150" i="21"/>
  <c r="V151"/>
  <c r="AA149"/>
  <c r="Y150"/>
  <c r="N155"/>
  <c r="N150" i="2"/>
  <c r="P149"/>
  <c r="V149"/>
  <c r="AB149"/>
  <c r="Y149"/>
  <c r="S149"/>
  <c r="L149" l="1"/>
  <c r="J149"/>
  <c r="L153" i="21"/>
  <c r="Z153"/>
  <c r="T153"/>
  <c r="AC153"/>
  <c r="W153"/>
  <c r="Q153"/>
  <c r="J153"/>
  <c r="M151" i="2"/>
  <c r="M155" i="21"/>
  <c r="W149" i="2"/>
  <c r="Q149"/>
  <c r="R149" s="1"/>
  <c r="T149"/>
  <c r="Z149"/>
  <c r="AA149" s="1"/>
  <c r="AC149"/>
  <c r="U149" i="21"/>
  <c r="S150"/>
  <c r="AD149"/>
  <c r="AB150"/>
  <c r="AG149"/>
  <c r="AI149"/>
  <c r="R149"/>
  <c r="P150"/>
  <c r="N156"/>
  <c r="AI149" i="2"/>
  <c r="AG149"/>
  <c r="AA150" i="21"/>
  <c r="Y151"/>
  <c r="X151"/>
  <c r="V152"/>
  <c r="N151" i="2"/>
  <c r="P150"/>
  <c r="S150"/>
  <c r="Y150"/>
  <c r="AB150"/>
  <c r="V150"/>
  <c r="AC150" l="1"/>
  <c r="AC151" s="1"/>
  <c r="T150"/>
  <c r="U150" s="1"/>
  <c r="W150"/>
  <c r="X150" s="1"/>
  <c r="U149"/>
  <c r="AD149"/>
  <c r="X149"/>
  <c r="L154" i="21"/>
  <c r="Z154"/>
  <c r="T154"/>
  <c r="AC154"/>
  <c r="W154"/>
  <c r="Q154"/>
  <c r="J154"/>
  <c r="M152" i="2"/>
  <c r="Z150"/>
  <c r="AA150" s="1"/>
  <c r="Q150"/>
  <c r="R150" s="1"/>
  <c r="M156" i="21"/>
  <c r="L150" i="2"/>
  <c r="J150"/>
  <c r="U150" i="21"/>
  <c r="S151"/>
  <c r="R150"/>
  <c r="AI150"/>
  <c r="AG150"/>
  <c r="P151"/>
  <c r="AD150"/>
  <c r="AB151"/>
  <c r="AI150" i="2"/>
  <c r="AG150"/>
  <c r="X152" i="21"/>
  <c r="V153"/>
  <c r="AA151"/>
  <c r="Y152"/>
  <c r="N152" i="2"/>
  <c r="P151"/>
  <c r="V151"/>
  <c r="AB151"/>
  <c r="Y151"/>
  <c r="S151"/>
  <c r="N157" i="21"/>
  <c r="AD150" i="2" l="1"/>
  <c r="AD151"/>
  <c r="Z151"/>
  <c r="AA151" s="1"/>
  <c r="M157" i="21"/>
  <c r="L151" i="2"/>
  <c r="J151"/>
  <c r="L155" i="21"/>
  <c r="Z155"/>
  <c r="T155"/>
  <c r="AC155"/>
  <c r="W155"/>
  <c r="Q155"/>
  <c r="J155"/>
  <c r="M153" i="2"/>
  <c r="AC152"/>
  <c r="W151"/>
  <c r="Q151"/>
  <c r="T151"/>
  <c r="U151" i="21"/>
  <c r="S152"/>
  <c r="AD151"/>
  <c r="AB152"/>
  <c r="AG151"/>
  <c r="AI151"/>
  <c r="R151"/>
  <c r="P152"/>
  <c r="N158"/>
  <c r="P152" i="2"/>
  <c r="S152"/>
  <c r="Y152"/>
  <c r="AB152"/>
  <c r="V152"/>
  <c r="N153"/>
  <c r="AG151"/>
  <c r="AI151"/>
  <c r="AA152" i="21"/>
  <c r="Y153"/>
  <c r="X153"/>
  <c r="V154"/>
  <c r="Q152" i="2" l="1"/>
  <c r="Q153" s="1"/>
  <c r="Z152"/>
  <c r="Z153" s="1"/>
  <c r="R151"/>
  <c r="T152"/>
  <c r="U152" s="1"/>
  <c r="W152"/>
  <c r="X152" s="1"/>
  <c r="U151"/>
  <c r="AD152"/>
  <c r="X151"/>
  <c r="M154"/>
  <c r="L156" i="21"/>
  <c r="Z156"/>
  <c r="T156"/>
  <c r="AC156"/>
  <c r="W156"/>
  <c r="Q156"/>
  <c r="J156"/>
  <c r="L152" i="2"/>
  <c r="J152"/>
  <c r="M158" i="21"/>
  <c r="T153" i="2"/>
  <c r="W153"/>
  <c r="AC153"/>
  <c r="U152" i="21"/>
  <c r="S153"/>
  <c r="AI152"/>
  <c r="AG152"/>
  <c r="R152"/>
  <c r="P153"/>
  <c r="AD152"/>
  <c r="AB153"/>
  <c r="N154" i="2"/>
  <c r="V153"/>
  <c r="AB153"/>
  <c r="Y153"/>
  <c r="S153"/>
  <c r="P153"/>
  <c r="X154" i="21"/>
  <c r="V155"/>
  <c r="AA153"/>
  <c r="Y154"/>
  <c r="AI152" i="2"/>
  <c r="AG152"/>
  <c r="N159" i="21"/>
  <c r="R152" i="2" l="1"/>
  <c r="AA152"/>
  <c r="AA153"/>
  <c r="U153"/>
  <c r="AD153"/>
  <c r="X153"/>
  <c r="L157" i="21"/>
  <c r="Z157"/>
  <c r="T157"/>
  <c r="AC157"/>
  <c r="W157"/>
  <c r="Q157"/>
  <c r="J157"/>
  <c r="W154" i="2"/>
  <c r="M155"/>
  <c r="Q154"/>
  <c r="M159" i="21"/>
  <c r="L153" i="2"/>
  <c r="J153"/>
  <c r="Z154"/>
  <c r="T154"/>
  <c r="U153" i="21"/>
  <c r="S154"/>
  <c r="AB154"/>
  <c r="AD153"/>
  <c r="R153"/>
  <c r="AG153"/>
  <c r="P154"/>
  <c r="AI153"/>
  <c r="AA154"/>
  <c r="Y155"/>
  <c r="X155"/>
  <c r="V156"/>
  <c r="AI153" i="2"/>
  <c r="AG153"/>
  <c r="R153"/>
  <c r="N160" i="21"/>
  <c r="AB154" i="2"/>
  <c r="N155"/>
  <c r="P154"/>
  <c r="S154"/>
  <c r="U154" s="1"/>
  <c r="Y154"/>
  <c r="AA154" s="1"/>
  <c r="V154"/>
  <c r="AC154" l="1"/>
  <c r="AD154" s="1"/>
  <c r="X154"/>
  <c r="L158" i="21"/>
  <c r="Z158"/>
  <c r="T158"/>
  <c r="AC158"/>
  <c r="W158"/>
  <c r="Q158"/>
  <c r="J158"/>
  <c r="W155" i="2"/>
  <c r="M156"/>
  <c r="M160" i="21"/>
  <c r="L154" i="2"/>
  <c r="J154"/>
  <c r="Z155"/>
  <c r="U154" i="21"/>
  <c r="S155"/>
  <c r="P155"/>
  <c r="AG154"/>
  <c r="AI154"/>
  <c r="R154"/>
  <c r="AB155"/>
  <c r="AD154"/>
  <c r="AI154" i="2"/>
  <c r="R154"/>
  <c r="AG154"/>
  <c r="N156"/>
  <c r="P155"/>
  <c r="AB155"/>
  <c r="V155"/>
  <c r="Y155"/>
  <c r="S155"/>
  <c r="N161" i="21"/>
  <c r="X156"/>
  <c r="V157"/>
  <c r="AA155"/>
  <c r="Y156"/>
  <c r="AC155" i="2" l="1"/>
  <c r="AD155" s="1"/>
  <c r="Q155"/>
  <c r="R155" s="1"/>
  <c r="T155"/>
  <c r="U155" s="1"/>
  <c r="X155"/>
  <c r="AA155"/>
  <c r="M157"/>
  <c r="W156"/>
  <c r="L159" i="21"/>
  <c r="Z159"/>
  <c r="T159"/>
  <c r="AC159"/>
  <c r="W159"/>
  <c r="Q159"/>
  <c r="J159"/>
  <c r="M161"/>
  <c r="L155" i="2"/>
  <c r="J155"/>
  <c r="Z156"/>
  <c r="AC156"/>
  <c r="U155" i="21"/>
  <c r="S156"/>
  <c r="AB156"/>
  <c r="AD155"/>
  <c r="AG155"/>
  <c r="P156"/>
  <c r="AI155"/>
  <c r="R155"/>
  <c r="AA156"/>
  <c r="Y157"/>
  <c r="X157"/>
  <c r="V158"/>
  <c r="AI155" i="2"/>
  <c r="AG155"/>
  <c r="N162" i="21"/>
  <c r="N157" i="2"/>
  <c r="P156"/>
  <c r="S156"/>
  <c r="Y156"/>
  <c r="V156"/>
  <c r="X156" s="1"/>
  <c r="AB156"/>
  <c r="AA156" l="1"/>
  <c r="Q156"/>
  <c r="R156" s="1"/>
  <c r="T156"/>
  <c r="U156" s="1"/>
  <c r="AD156"/>
  <c r="L160" i="21"/>
  <c r="Z160"/>
  <c r="T160"/>
  <c r="AC160"/>
  <c r="W160"/>
  <c r="Q160"/>
  <c r="J160"/>
  <c r="M162"/>
  <c r="M158" i="2"/>
  <c r="L156"/>
  <c r="J156"/>
  <c r="U156" i="21"/>
  <c r="S157"/>
  <c r="AB157"/>
  <c r="AD156"/>
  <c r="AG156"/>
  <c r="R156"/>
  <c r="AI156"/>
  <c r="P157"/>
  <c r="V157" i="2"/>
  <c r="Y157"/>
  <c r="S157"/>
  <c r="N158"/>
  <c r="P157"/>
  <c r="AB157"/>
  <c r="X158" i="21"/>
  <c r="V159"/>
  <c r="AA157"/>
  <c r="Y158"/>
  <c r="AI156" i="2"/>
  <c r="AG156"/>
  <c r="N163" i="21"/>
  <c r="L157" i="2" l="1"/>
  <c r="J157"/>
  <c r="M159"/>
  <c r="M163" i="21"/>
  <c r="T157" i="2"/>
  <c r="T158" s="1"/>
  <c r="AC157"/>
  <c r="AC158" s="1"/>
  <c r="W157"/>
  <c r="W158" s="1"/>
  <c r="L161" i="21"/>
  <c r="Z161"/>
  <c r="T161"/>
  <c r="AC161"/>
  <c r="W161"/>
  <c r="Q161"/>
  <c r="J161"/>
  <c r="Z157" i="2"/>
  <c r="Z158" s="1"/>
  <c r="Q157"/>
  <c r="Q158" s="1"/>
  <c r="U157" i="21"/>
  <c r="S158"/>
  <c r="AB158"/>
  <c r="AD157"/>
  <c r="AG157"/>
  <c r="P158"/>
  <c r="AI157"/>
  <c r="R157"/>
  <c r="N164"/>
  <c r="AA158"/>
  <c r="Y159"/>
  <c r="X159"/>
  <c r="V160"/>
  <c r="N159" i="2"/>
  <c r="P158"/>
  <c r="S158"/>
  <c r="Y158"/>
  <c r="AA158" s="1"/>
  <c r="V158"/>
  <c r="AB158"/>
  <c r="AI157"/>
  <c r="AG157"/>
  <c r="R157"/>
  <c r="X158" l="1"/>
  <c r="U158"/>
  <c r="X157"/>
  <c r="AA157"/>
  <c r="AD158"/>
  <c r="U157"/>
  <c r="AD157"/>
  <c r="M164" i="21"/>
  <c r="L158" i="2"/>
  <c r="J158"/>
  <c r="L162" i="21"/>
  <c r="Z162"/>
  <c r="T162"/>
  <c r="AC162"/>
  <c r="W162"/>
  <c r="Q162"/>
  <c r="J162"/>
  <c r="M160" i="2"/>
  <c r="U158" i="21"/>
  <c r="S159"/>
  <c r="AB159"/>
  <c r="AD158"/>
  <c r="AG158"/>
  <c r="R158"/>
  <c r="AI158"/>
  <c r="P159"/>
  <c r="R158" i="2"/>
  <c r="AI158"/>
  <c r="AG158"/>
  <c r="AA159" i="21"/>
  <c r="Y160"/>
  <c r="N165"/>
  <c r="AB159" i="2"/>
  <c r="N160"/>
  <c r="P159"/>
  <c r="Y159"/>
  <c r="V159"/>
  <c r="S159"/>
  <c r="X160" i="21"/>
  <c r="V161"/>
  <c r="L159" i="2" l="1"/>
  <c r="J159"/>
  <c r="M165" i="21"/>
  <c r="W159" i="2"/>
  <c r="X159" s="1"/>
  <c r="Q159"/>
  <c r="M161"/>
  <c r="L163" i="21"/>
  <c r="Z163"/>
  <c r="T163"/>
  <c r="AC163"/>
  <c r="W163"/>
  <c r="Q163"/>
  <c r="J163"/>
  <c r="AC159" i="2"/>
  <c r="T159"/>
  <c r="T160" s="1"/>
  <c r="Z159"/>
  <c r="U159" i="21"/>
  <c r="S160"/>
  <c r="AB160"/>
  <c r="AD159"/>
  <c r="AG159"/>
  <c r="P160"/>
  <c r="AI159"/>
  <c r="R159"/>
  <c r="AI159" i="2"/>
  <c r="AG159"/>
  <c r="X161" i="21"/>
  <c r="V162"/>
  <c r="S160" i="2"/>
  <c r="U160" s="1"/>
  <c r="V160"/>
  <c r="AB160"/>
  <c r="N161"/>
  <c r="P160"/>
  <c r="Y160"/>
  <c r="N166" i="21"/>
  <c r="AA160"/>
  <c r="Y161"/>
  <c r="Z160" i="2" l="1"/>
  <c r="AA160" s="1"/>
  <c r="AC160"/>
  <c r="AD160" s="1"/>
  <c r="Q160"/>
  <c r="R159"/>
  <c r="AD159"/>
  <c r="AA159"/>
  <c r="U159"/>
  <c r="L160"/>
  <c r="J160"/>
  <c r="M166" i="21"/>
  <c r="W160" i="2"/>
  <c r="X160" s="1"/>
  <c r="M162"/>
  <c r="L164" i="21"/>
  <c r="Z164"/>
  <c r="T164"/>
  <c r="AC164"/>
  <c r="W164"/>
  <c r="Q164"/>
  <c r="J164"/>
  <c r="U160"/>
  <c r="S161"/>
  <c r="AD160"/>
  <c r="AB161"/>
  <c r="R160"/>
  <c r="AI160"/>
  <c r="AG160"/>
  <c r="P161"/>
  <c r="AG160" i="2"/>
  <c r="R160"/>
  <c r="AI160"/>
  <c r="AA161" i="21"/>
  <c r="Y162"/>
  <c r="N167"/>
  <c r="N162" i="2"/>
  <c r="P161"/>
  <c r="Y161"/>
  <c r="AB161"/>
  <c r="V161"/>
  <c r="S161"/>
  <c r="X162" i="21"/>
  <c r="V163"/>
  <c r="Z161" i="2" l="1"/>
  <c r="AC161"/>
  <c r="AC162" s="1"/>
  <c r="AA161"/>
  <c r="Q161"/>
  <c r="Q162" s="1"/>
  <c r="W161"/>
  <c r="X161" s="1"/>
  <c r="L161"/>
  <c r="J161"/>
  <c r="M167" i="21"/>
  <c r="T161" i="2"/>
  <c r="U161" s="1"/>
  <c r="M163"/>
  <c r="L165" i="21"/>
  <c r="Z165"/>
  <c r="T165"/>
  <c r="AC165"/>
  <c r="W165"/>
  <c r="Q165"/>
  <c r="J165"/>
  <c r="U161"/>
  <c r="S162"/>
  <c r="AG161"/>
  <c r="R161"/>
  <c r="AI161"/>
  <c r="P162"/>
  <c r="AB162"/>
  <c r="AD161"/>
  <c r="S162" i="2"/>
  <c r="V162"/>
  <c r="AB162"/>
  <c r="Y162"/>
  <c r="N163"/>
  <c r="P162"/>
  <c r="X163" i="21"/>
  <c r="V164"/>
  <c r="AG161" i="2"/>
  <c r="AI161"/>
  <c r="N168" i="21"/>
  <c r="AA162"/>
  <c r="Y163"/>
  <c r="R161" i="2" l="1"/>
  <c r="AD161"/>
  <c r="AD162"/>
  <c r="W162"/>
  <c r="X162" s="1"/>
  <c r="M164"/>
  <c r="L166" i="21"/>
  <c r="Z166"/>
  <c r="T166"/>
  <c r="AC166"/>
  <c r="W166"/>
  <c r="Q166"/>
  <c r="J166"/>
  <c r="Z162" i="2"/>
  <c r="Z163" s="1"/>
  <c r="L162"/>
  <c r="J162"/>
  <c r="M168" i="21"/>
  <c r="T162" i="2"/>
  <c r="U162" i="21"/>
  <c r="S163"/>
  <c r="AD162"/>
  <c r="AB163"/>
  <c r="R162"/>
  <c r="AG162"/>
  <c r="AI162"/>
  <c r="P163"/>
  <c r="N169"/>
  <c r="AG162" i="2"/>
  <c r="AI162"/>
  <c r="R162"/>
  <c r="AA163" i="21"/>
  <c r="Y164"/>
  <c r="P163" i="2"/>
  <c r="Y163"/>
  <c r="AB163"/>
  <c r="V163"/>
  <c r="S163"/>
  <c r="N164"/>
  <c r="X164" i="21"/>
  <c r="V165"/>
  <c r="W163" i="2" l="1"/>
  <c r="W164" s="1"/>
  <c r="Q163"/>
  <c r="R163" s="1"/>
  <c r="X163"/>
  <c r="AA163"/>
  <c r="T163"/>
  <c r="U163" s="1"/>
  <c r="U162"/>
  <c r="AA162"/>
  <c r="M169" i="21"/>
  <c r="L163" i="2"/>
  <c r="J163"/>
  <c r="AC163"/>
  <c r="AD163" s="1"/>
  <c r="L167" i="21"/>
  <c r="Z167"/>
  <c r="T167"/>
  <c r="AC167"/>
  <c r="W167"/>
  <c r="Q167"/>
  <c r="J167"/>
  <c r="Z164" i="2"/>
  <c r="M165"/>
  <c r="T164"/>
  <c r="U163" i="21"/>
  <c r="S164"/>
  <c r="AI163"/>
  <c r="AG163"/>
  <c r="P164"/>
  <c r="R163"/>
  <c r="AD163"/>
  <c r="AB164"/>
  <c r="AI163" i="2"/>
  <c r="AG163"/>
  <c r="X165" i="21"/>
  <c r="V166"/>
  <c r="N165" i="2"/>
  <c r="P164"/>
  <c r="S164"/>
  <c r="AB164"/>
  <c r="V164"/>
  <c r="Y164"/>
  <c r="AA164" i="21"/>
  <c r="Y165"/>
  <c r="N170"/>
  <c r="U164" i="2" l="1"/>
  <c r="X164"/>
  <c r="AA164"/>
  <c r="T165"/>
  <c r="M166"/>
  <c r="L164"/>
  <c r="J164"/>
  <c r="M170" i="21"/>
  <c r="W165" i="2"/>
  <c r="AC164"/>
  <c r="Q164"/>
  <c r="L168" i="21"/>
  <c r="Z168"/>
  <c r="T168"/>
  <c r="AC168"/>
  <c r="W168"/>
  <c r="Q168"/>
  <c r="J168"/>
  <c r="U164"/>
  <c r="S165"/>
  <c r="R164"/>
  <c r="AI164"/>
  <c r="AG164"/>
  <c r="P165"/>
  <c r="AD164"/>
  <c r="AB165"/>
  <c r="AA165"/>
  <c r="Y166"/>
  <c r="N171"/>
  <c r="AI164" i="2"/>
  <c r="AG164"/>
  <c r="X166" i="21"/>
  <c r="V167"/>
  <c r="N166" i="2"/>
  <c r="P165"/>
  <c r="Y165"/>
  <c r="V165"/>
  <c r="X165" s="1"/>
  <c r="AB165"/>
  <c r="S165"/>
  <c r="AC165" l="1"/>
  <c r="AD165" s="1"/>
  <c r="Z165"/>
  <c r="AA165" s="1"/>
  <c r="Q165"/>
  <c r="Q166" s="1"/>
  <c r="AD164"/>
  <c r="U165"/>
  <c r="R164"/>
  <c r="M171" i="21"/>
  <c r="L165" i="2"/>
  <c r="J165"/>
  <c r="L169" i="21"/>
  <c r="Z169"/>
  <c r="T169"/>
  <c r="AC169"/>
  <c r="W169"/>
  <c r="Q169"/>
  <c r="J169"/>
  <c r="M167" i="2"/>
  <c r="U165" i="21"/>
  <c r="S166"/>
  <c r="AB166"/>
  <c r="AD165"/>
  <c r="R165"/>
  <c r="AI165"/>
  <c r="P166"/>
  <c r="AG165"/>
  <c r="N167" i="2"/>
  <c r="S166"/>
  <c r="AB166"/>
  <c r="P166"/>
  <c r="V166"/>
  <c r="Y166"/>
  <c r="N172" i="21"/>
  <c r="AA166"/>
  <c r="Y167"/>
  <c r="AI165" i="2"/>
  <c r="AG165"/>
  <c r="X167" i="21"/>
  <c r="V168"/>
  <c r="R165" i="2" l="1"/>
  <c r="L166"/>
  <c r="J166"/>
  <c r="M172" i="21"/>
  <c r="AC166" i="2"/>
  <c r="AD166" s="1"/>
  <c r="M168"/>
  <c r="L170" i="21"/>
  <c r="Z170"/>
  <c r="T170"/>
  <c r="AC170"/>
  <c r="W170"/>
  <c r="Q170"/>
  <c r="J170"/>
  <c r="T166" i="2"/>
  <c r="U166" s="1"/>
  <c r="Z166"/>
  <c r="Z167" s="1"/>
  <c r="W166"/>
  <c r="X166" s="1"/>
  <c r="U166" i="21"/>
  <c r="S167"/>
  <c r="AI166"/>
  <c r="P167"/>
  <c r="R166"/>
  <c r="AG166"/>
  <c r="AB167"/>
  <c r="AD166"/>
  <c r="AA167"/>
  <c r="Y168"/>
  <c r="AI166" i="2"/>
  <c r="R166"/>
  <c r="AG166"/>
  <c r="X168" i="21"/>
  <c r="V169"/>
  <c r="N168" i="2"/>
  <c r="P167"/>
  <c r="Y167"/>
  <c r="V167"/>
  <c r="AB167"/>
  <c r="S167"/>
  <c r="N173" i="21"/>
  <c r="AA167" i="2" l="1"/>
  <c r="AA166"/>
  <c r="L167"/>
  <c r="J167"/>
  <c r="M173" i="21"/>
  <c r="M169" i="2"/>
  <c r="L171" i="21"/>
  <c r="Z171"/>
  <c r="T171"/>
  <c r="AC171"/>
  <c r="W171"/>
  <c r="Q171"/>
  <c r="J171"/>
  <c r="Q167" i="2"/>
  <c r="R167" s="1"/>
  <c r="W167"/>
  <c r="T167"/>
  <c r="T168" s="1"/>
  <c r="AC167"/>
  <c r="U167" i="21"/>
  <c r="S168"/>
  <c r="AD167"/>
  <c r="AB168"/>
  <c r="AI167"/>
  <c r="P168"/>
  <c r="AG167"/>
  <c r="R167"/>
  <c r="N174"/>
  <c r="AI167" i="2"/>
  <c r="AG167"/>
  <c r="X169" i="21"/>
  <c r="V170"/>
  <c r="N169" i="2"/>
  <c r="P168"/>
  <c r="V168"/>
  <c r="S168"/>
  <c r="AB168"/>
  <c r="Y168"/>
  <c r="AA168" i="21"/>
  <c r="Y169"/>
  <c r="U168" i="2" l="1"/>
  <c r="Q168"/>
  <c r="AC168"/>
  <c r="AD168" s="1"/>
  <c r="W168"/>
  <c r="X168" s="1"/>
  <c r="X167"/>
  <c r="U167"/>
  <c r="AD167"/>
  <c r="M170"/>
  <c r="M174" i="21"/>
  <c r="L168" i="2"/>
  <c r="J168"/>
  <c r="AC172" i="21"/>
  <c r="W172"/>
  <c r="Q172"/>
  <c r="L172"/>
  <c r="Z172"/>
  <c r="T172"/>
  <c r="J172"/>
  <c r="Z168" i="2"/>
  <c r="U168" i="21"/>
  <c r="S169"/>
  <c r="R168"/>
  <c r="P169"/>
  <c r="AI168"/>
  <c r="AG168"/>
  <c r="AD168"/>
  <c r="AB169"/>
  <c r="AA169"/>
  <c r="Y170"/>
  <c r="R168" i="2"/>
  <c r="AG168"/>
  <c r="AI168"/>
  <c r="X170" i="21"/>
  <c r="V171"/>
  <c r="N170" i="2"/>
  <c r="P169"/>
  <c r="AB169"/>
  <c r="S169"/>
  <c r="Y169"/>
  <c r="V169"/>
  <c r="N175" i="21"/>
  <c r="AC169" i="2" l="1"/>
  <c r="AD169" s="1"/>
  <c r="Q169"/>
  <c r="R169" s="1"/>
  <c r="Z169"/>
  <c r="AA169" s="1"/>
  <c r="W169"/>
  <c r="X169" s="1"/>
  <c r="T169"/>
  <c r="U169" s="1"/>
  <c r="AA168"/>
  <c r="L173" i="21"/>
  <c r="Z173"/>
  <c r="T173"/>
  <c r="AC173"/>
  <c r="W173"/>
  <c r="Q173"/>
  <c r="J173"/>
  <c r="L169" i="2"/>
  <c r="J169"/>
  <c r="M175" i="21"/>
  <c r="M171" i="2"/>
  <c r="U169" i="21"/>
  <c r="S170"/>
  <c r="AD169"/>
  <c r="AB170"/>
  <c r="AI169"/>
  <c r="AG169"/>
  <c r="P170"/>
  <c r="R169"/>
  <c r="N176"/>
  <c r="AI169" i="2"/>
  <c r="AG169"/>
  <c r="X171" i="21"/>
  <c r="V172"/>
  <c r="N171" i="2"/>
  <c r="V170"/>
  <c r="P170"/>
  <c r="Y170"/>
  <c r="S170"/>
  <c r="AB170"/>
  <c r="AA170" i="21"/>
  <c r="Y171"/>
  <c r="AC170" i="2" l="1"/>
  <c r="AD170" s="1"/>
  <c r="W170"/>
  <c r="X170" s="1"/>
  <c r="Z170"/>
  <c r="AA170" s="1"/>
  <c r="T170"/>
  <c r="U170" s="1"/>
  <c r="M172"/>
  <c r="M176" i="21"/>
  <c r="L170" i="2"/>
  <c r="J170"/>
  <c r="L174" i="21"/>
  <c r="Z174"/>
  <c r="T174"/>
  <c r="AC174"/>
  <c r="W174"/>
  <c r="Q174"/>
  <c r="J174"/>
  <c r="T171" i="2"/>
  <c r="Z171"/>
  <c r="Q170"/>
  <c r="Q171" s="1"/>
  <c r="U170" i="21"/>
  <c r="S171"/>
  <c r="R170"/>
  <c r="P171"/>
  <c r="AG170"/>
  <c r="AI170"/>
  <c r="AD170"/>
  <c r="AB171"/>
  <c r="AA171"/>
  <c r="Y172"/>
  <c r="X172"/>
  <c r="V173"/>
  <c r="AG170" i="2"/>
  <c r="AI170"/>
  <c r="P171"/>
  <c r="N172"/>
  <c r="V171"/>
  <c r="AB171"/>
  <c r="S171"/>
  <c r="Y171"/>
  <c r="N177" i="21"/>
  <c r="AC171" i="2" l="1"/>
  <c r="W171"/>
  <c r="X171" s="1"/>
  <c r="U171"/>
  <c r="AA171"/>
  <c r="AD171"/>
  <c r="R170"/>
  <c r="L175" i="21"/>
  <c r="Z175"/>
  <c r="T175"/>
  <c r="AC175"/>
  <c r="W175"/>
  <c r="Q175"/>
  <c r="J175"/>
  <c r="M173" i="2"/>
  <c r="M177" i="21"/>
  <c r="L171" i="2"/>
  <c r="J171"/>
  <c r="U171" i="21"/>
  <c r="S172"/>
  <c r="AD171"/>
  <c r="AB172"/>
  <c r="R171"/>
  <c r="P172"/>
  <c r="AG171"/>
  <c r="AI171"/>
  <c r="AI171" i="2"/>
  <c r="AG171"/>
  <c r="R171"/>
  <c r="X173" i="21"/>
  <c r="V174"/>
  <c r="AA172"/>
  <c r="Y173"/>
  <c r="N178"/>
  <c r="N173" i="2"/>
  <c r="S172"/>
  <c r="AB172"/>
  <c r="V172"/>
  <c r="P172"/>
  <c r="Y172"/>
  <c r="W172" l="1"/>
  <c r="X172" s="1"/>
  <c r="Z172"/>
  <c r="AA172" s="1"/>
  <c r="AC172"/>
  <c r="AD172" s="1"/>
  <c r="T172"/>
  <c r="U172" s="1"/>
  <c r="Q172"/>
  <c r="R172" s="1"/>
  <c r="M178" i="21"/>
  <c r="M174" i="2"/>
  <c r="L176" i="21"/>
  <c r="Z176"/>
  <c r="T176"/>
  <c r="AC176"/>
  <c r="W176"/>
  <c r="Q176"/>
  <c r="J176"/>
  <c r="L172" i="2"/>
  <c r="J172"/>
  <c r="Q173"/>
  <c r="U172" i="21"/>
  <c r="S173"/>
  <c r="R172"/>
  <c r="P173"/>
  <c r="AI172"/>
  <c r="AG172"/>
  <c r="AB173"/>
  <c r="AD172"/>
  <c r="AI172" i="2"/>
  <c r="AG172"/>
  <c r="V173"/>
  <c r="AB173"/>
  <c r="Y173"/>
  <c r="S173"/>
  <c r="N174"/>
  <c r="P173"/>
  <c r="N179" i="21"/>
  <c r="AA173"/>
  <c r="Y174"/>
  <c r="X174"/>
  <c r="V175"/>
  <c r="AC173" i="2" l="1"/>
  <c r="AD173" s="1"/>
  <c r="W173"/>
  <c r="X173" s="1"/>
  <c r="Z173"/>
  <c r="T173"/>
  <c r="T174" s="1"/>
  <c r="AA173"/>
  <c r="L173"/>
  <c r="J173"/>
  <c r="L177" i="21"/>
  <c r="Z177"/>
  <c r="T177"/>
  <c r="AC177"/>
  <c r="W177"/>
  <c r="Q177"/>
  <c r="J177"/>
  <c r="M175" i="2"/>
  <c r="M179" i="21"/>
  <c r="U173"/>
  <c r="S174"/>
  <c r="AD173"/>
  <c r="AB174"/>
  <c r="AI173"/>
  <c r="R173"/>
  <c r="AG173"/>
  <c r="P174"/>
  <c r="N180"/>
  <c r="X175"/>
  <c r="V176"/>
  <c r="AA174"/>
  <c r="Y175"/>
  <c r="R173" i="2"/>
  <c r="AG173"/>
  <c r="AI173"/>
  <c r="P174"/>
  <c r="S174"/>
  <c r="N175"/>
  <c r="Y174"/>
  <c r="AB174"/>
  <c r="V174"/>
  <c r="U173" l="1"/>
  <c r="U174"/>
  <c r="AC174"/>
  <c r="AD174" s="1"/>
  <c r="L178" i="21"/>
  <c r="Z178"/>
  <c r="T178"/>
  <c r="AC178"/>
  <c r="W178"/>
  <c r="Q178"/>
  <c r="J178"/>
  <c r="T175" i="2"/>
  <c r="M176"/>
  <c r="M180" i="21"/>
  <c r="L174" i="2"/>
  <c r="J174"/>
  <c r="W174"/>
  <c r="Q174"/>
  <c r="Q175" s="1"/>
  <c r="Z174"/>
  <c r="U174" i="21"/>
  <c r="S175"/>
  <c r="AG174"/>
  <c r="AI174"/>
  <c r="R174"/>
  <c r="P175"/>
  <c r="AB175"/>
  <c r="AD174"/>
  <c r="R174" i="2"/>
  <c r="AI174"/>
  <c r="AG174"/>
  <c r="AA175" i="21"/>
  <c r="Y176"/>
  <c r="X176"/>
  <c r="V177"/>
  <c r="N181"/>
  <c r="V175" i="2"/>
  <c r="AB175"/>
  <c r="Y175"/>
  <c r="S175"/>
  <c r="N176"/>
  <c r="P175"/>
  <c r="AC175" l="1"/>
  <c r="AD175" s="1"/>
  <c r="Z175"/>
  <c r="AA175" s="1"/>
  <c r="W175"/>
  <c r="X175" s="1"/>
  <c r="U175"/>
  <c r="AA174"/>
  <c r="X174"/>
  <c r="L179" i="21"/>
  <c r="Z179"/>
  <c r="T179"/>
  <c r="AC179"/>
  <c r="W179"/>
  <c r="Q179"/>
  <c r="J179"/>
  <c r="T176" i="2"/>
  <c r="M177"/>
  <c r="M181" i="21"/>
  <c r="L175" i="2"/>
  <c r="J175"/>
  <c r="W176"/>
  <c r="U175" i="21"/>
  <c r="S176"/>
  <c r="AB176"/>
  <c r="AD175"/>
  <c r="R175"/>
  <c r="P176"/>
  <c r="AG175"/>
  <c r="AI175"/>
  <c r="P176" i="2"/>
  <c r="Y176"/>
  <c r="AB176"/>
  <c r="V176"/>
  <c r="N177"/>
  <c r="S176"/>
  <c r="N182" i="21"/>
  <c r="R175" i="2"/>
  <c r="AI175"/>
  <c r="AG175"/>
  <c r="X177" i="21"/>
  <c r="V178"/>
  <c r="AA176"/>
  <c r="Y177"/>
  <c r="Q176" i="2" l="1"/>
  <c r="AC176"/>
  <c r="AD176" s="1"/>
  <c r="Z176"/>
  <c r="AA176" s="1"/>
  <c r="U176"/>
  <c r="X176"/>
  <c r="L180" i="21"/>
  <c r="Z180"/>
  <c r="T180"/>
  <c r="AC180"/>
  <c r="W180"/>
  <c r="Q180"/>
  <c r="J180"/>
  <c r="T177" i="2"/>
  <c r="M178"/>
  <c r="M182" i="21"/>
  <c r="L176" i="2"/>
  <c r="J176"/>
  <c r="U176" i="21"/>
  <c r="S177"/>
  <c r="AD176"/>
  <c r="AB177"/>
  <c r="AI176"/>
  <c r="AG176"/>
  <c r="R176"/>
  <c r="P177"/>
  <c r="AA177"/>
  <c r="Y178"/>
  <c r="X178"/>
  <c r="V179"/>
  <c r="P177" i="2"/>
  <c r="V177"/>
  <c r="AB177"/>
  <c r="Y177"/>
  <c r="N178"/>
  <c r="S177"/>
  <c r="AI176"/>
  <c r="R176"/>
  <c r="AG176"/>
  <c r="N183" i="21"/>
  <c r="W177" i="2" l="1"/>
  <c r="X177" s="1"/>
  <c r="Z177"/>
  <c r="AA177" s="1"/>
  <c r="Q177"/>
  <c r="R177" s="1"/>
  <c r="AC177"/>
  <c r="AD177" s="1"/>
  <c r="U177"/>
  <c r="M179"/>
  <c r="T178"/>
  <c r="L181" i="21"/>
  <c r="Z181"/>
  <c r="T181"/>
  <c r="AC181"/>
  <c r="W181"/>
  <c r="Q181"/>
  <c r="J181"/>
  <c r="M183"/>
  <c r="L177" i="2"/>
  <c r="J177"/>
  <c r="Z178"/>
  <c r="Q178"/>
  <c r="AC178"/>
  <c r="W178"/>
  <c r="U177" i="21"/>
  <c r="S178"/>
  <c r="R177"/>
  <c r="AG177"/>
  <c r="AI177"/>
  <c r="P178"/>
  <c r="AD177"/>
  <c r="AB178"/>
  <c r="P178" i="2"/>
  <c r="V178"/>
  <c r="S178"/>
  <c r="N179"/>
  <c r="Y178"/>
  <c r="AB178"/>
  <c r="AI177"/>
  <c r="AG177"/>
  <c r="N184" i="21"/>
  <c r="X179"/>
  <c r="V180"/>
  <c r="AA178"/>
  <c r="Y179"/>
  <c r="X178" i="2" l="1"/>
  <c r="AA178"/>
  <c r="U178"/>
  <c r="AD178"/>
  <c r="M184" i="21"/>
  <c r="L178" i="2"/>
  <c r="J178"/>
  <c r="L182" i="21"/>
  <c r="Z182"/>
  <c r="T182"/>
  <c r="AC182"/>
  <c r="W182"/>
  <c r="Q182"/>
  <c r="J182"/>
  <c r="M180" i="2"/>
  <c r="AC179"/>
  <c r="Q179"/>
  <c r="U178" i="21"/>
  <c r="S179"/>
  <c r="AD178"/>
  <c r="AB179"/>
  <c r="AI178"/>
  <c r="AG178"/>
  <c r="R178"/>
  <c r="P179"/>
  <c r="N185"/>
  <c r="N180" i="2"/>
  <c r="P179"/>
  <c r="AB179"/>
  <c r="Y179"/>
  <c r="S179"/>
  <c r="V179"/>
  <c r="AA179" i="21"/>
  <c r="Y180"/>
  <c r="X180"/>
  <c r="V181"/>
  <c r="R178" i="2"/>
  <c r="AG178"/>
  <c r="AI178"/>
  <c r="AD179" l="1"/>
  <c r="AC180"/>
  <c r="M181"/>
  <c r="M185" i="21"/>
  <c r="Z179" i="2"/>
  <c r="Z180" s="1"/>
  <c r="W179"/>
  <c r="X179" s="1"/>
  <c r="T179"/>
  <c r="T180" s="1"/>
  <c r="L179"/>
  <c r="J179"/>
  <c r="L183" i="21"/>
  <c r="Z183"/>
  <c r="T183"/>
  <c r="AC183"/>
  <c r="W183"/>
  <c r="Q183"/>
  <c r="J183"/>
  <c r="Q180" i="2"/>
  <c r="U179" i="21"/>
  <c r="S180"/>
  <c r="AG179"/>
  <c r="R179"/>
  <c r="AI179"/>
  <c r="P180"/>
  <c r="AD179"/>
  <c r="AB180"/>
  <c r="X181"/>
  <c r="V182"/>
  <c r="AA180"/>
  <c r="Y181"/>
  <c r="AI179" i="2"/>
  <c r="R179"/>
  <c r="AG179"/>
  <c r="N186" i="21"/>
  <c r="V180" i="2"/>
  <c r="S180"/>
  <c r="U180" s="1"/>
  <c r="N181"/>
  <c r="P180"/>
  <c r="Y180"/>
  <c r="AB180"/>
  <c r="AD180" l="1"/>
  <c r="AA180"/>
  <c r="W180"/>
  <c r="X180" s="1"/>
  <c r="AA179"/>
  <c r="U179"/>
  <c r="L184" i="21"/>
  <c r="Z184"/>
  <c r="T184"/>
  <c r="AC184"/>
  <c r="W184"/>
  <c r="Q184"/>
  <c r="J184"/>
  <c r="M182" i="2"/>
  <c r="AC181"/>
  <c r="M186" i="21"/>
  <c r="L180" i="2"/>
  <c r="J180"/>
  <c r="U180" i="21"/>
  <c r="S181"/>
  <c r="AB181"/>
  <c r="AD180"/>
  <c r="AG180"/>
  <c r="AI180"/>
  <c r="R180"/>
  <c r="P181"/>
  <c r="AA181"/>
  <c r="Y182"/>
  <c r="X182"/>
  <c r="V183"/>
  <c r="AI180" i="2"/>
  <c r="AG180"/>
  <c r="R180"/>
  <c r="N187" i="21"/>
  <c r="N182" i="2"/>
  <c r="P181"/>
  <c r="S181"/>
  <c r="V181"/>
  <c r="AB181"/>
  <c r="Y181"/>
  <c r="AD181" l="1"/>
  <c r="T181"/>
  <c r="U181" s="1"/>
  <c r="Z181"/>
  <c r="AA181" s="1"/>
  <c r="Q181"/>
  <c r="Q182" s="1"/>
  <c r="L185" i="21"/>
  <c r="Z185"/>
  <c r="T185"/>
  <c r="AC185"/>
  <c r="W185"/>
  <c r="Q185"/>
  <c r="J185"/>
  <c r="M183" i="2"/>
  <c r="W181"/>
  <c r="X181" s="1"/>
  <c r="M187" i="21"/>
  <c r="L181" i="2"/>
  <c r="J181"/>
  <c r="U181" i="21"/>
  <c r="S182"/>
  <c r="AB182"/>
  <c r="AD181"/>
  <c r="AG181"/>
  <c r="P182"/>
  <c r="AI181"/>
  <c r="R181"/>
  <c r="X183"/>
  <c r="V184"/>
  <c r="AA182"/>
  <c r="Y183"/>
  <c r="AI181" i="2"/>
  <c r="AG181"/>
  <c r="N188" i="21"/>
  <c r="P182" i="2"/>
  <c r="N183"/>
  <c r="V182"/>
  <c r="AB182"/>
  <c r="S182"/>
  <c r="Y182"/>
  <c r="R181" l="1"/>
  <c r="L182"/>
  <c r="J182"/>
  <c r="M188" i="21"/>
  <c r="M184" i="2"/>
  <c r="Z182"/>
  <c r="Z183" s="1"/>
  <c r="T182"/>
  <c r="T183" s="1"/>
  <c r="AC182"/>
  <c r="AC183" s="1"/>
  <c r="L186" i="21"/>
  <c r="Z186"/>
  <c r="T186"/>
  <c r="AC186"/>
  <c r="W186"/>
  <c r="Q186"/>
  <c r="J186"/>
  <c r="Q183" i="2"/>
  <c r="W182"/>
  <c r="W183" s="1"/>
  <c r="U182" i="21"/>
  <c r="S183"/>
  <c r="AB183"/>
  <c r="AD182"/>
  <c r="AG182"/>
  <c r="P183"/>
  <c r="R182"/>
  <c r="AI182"/>
  <c r="Y183" i="2"/>
  <c r="AA183" s="1"/>
  <c r="S183"/>
  <c r="U183" s="1"/>
  <c r="N184"/>
  <c r="P183"/>
  <c r="AB183"/>
  <c r="AD183" s="1"/>
  <c r="V183"/>
  <c r="N189" i="21"/>
  <c r="R182" i="2"/>
  <c r="AG182"/>
  <c r="AI182"/>
  <c r="AA183" i="21"/>
  <c r="Y184"/>
  <c r="X184"/>
  <c r="V185"/>
  <c r="X183" i="2" l="1"/>
  <c r="AA182"/>
  <c r="AD182"/>
  <c r="U182"/>
  <c r="X182"/>
  <c r="T184"/>
  <c r="M185"/>
  <c r="L187" i="21"/>
  <c r="Z187"/>
  <c r="T187"/>
  <c r="AC187"/>
  <c r="W187"/>
  <c r="Q187"/>
  <c r="J187"/>
  <c r="L183" i="2"/>
  <c r="J183"/>
  <c r="M189" i="21"/>
  <c r="U183"/>
  <c r="S184"/>
  <c r="AB184"/>
  <c r="AD183"/>
  <c r="AG183"/>
  <c r="P184"/>
  <c r="AI183"/>
  <c r="R183"/>
  <c r="X185"/>
  <c r="V186"/>
  <c r="AA184"/>
  <c r="Y185"/>
  <c r="N190"/>
  <c r="P184" i="2"/>
  <c r="N185"/>
  <c r="S184"/>
  <c r="V184"/>
  <c r="AB184"/>
  <c r="Y184"/>
  <c r="R183"/>
  <c r="AG183"/>
  <c r="AI183"/>
  <c r="Z184" l="1"/>
  <c r="AA184" s="1"/>
  <c r="Q184"/>
  <c r="U184"/>
  <c r="W184"/>
  <c r="X184" s="1"/>
  <c r="AC184"/>
  <c r="AD184" s="1"/>
  <c r="L184"/>
  <c r="J184"/>
  <c r="L188" i="21"/>
  <c r="Z188"/>
  <c r="T188"/>
  <c r="AC188"/>
  <c r="W188"/>
  <c r="Q188"/>
  <c r="J188"/>
  <c r="M190"/>
  <c r="M186" i="2"/>
  <c r="U184" i="21"/>
  <c r="S185"/>
  <c r="AD184"/>
  <c r="AB185"/>
  <c r="AI184"/>
  <c r="AG184"/>
  <c r="R184"/>
  <c r="P185"/>
  <c r="N191"/>
  <c r="X186"/>
  <c r="V187"/>
  <c r="R184" i="2"/>
  <c r="AI184"/>
  <c r="AG184"/>
  <c r="N186"/>
  <c r="P185"/>
  <c r="AB185"/>
  <c r="Y185"/>
  <c r="V185"/>
  <c r="S185"/>
  <c r="AA185" i="21"/>
  <c r="Y186"/>
  <c r="Z185" i="2" l="1"/>
  <c r="AA185" s="1"/>
  <c r="M187"/>
  <c r="L189" i="21"/>
  <c r="Z189"/>
  <c r="T189"/>
  <c r="AC189"/>
  <c r="W189"/>
  <c r="Q189"/>
  <c r="J189"/>
  <c r="T185" i="2"/>
  <c r="T186" s="1"/>
  <c r="W185"/>
  <c r="AC185"/>
  <c r="AC186" s="1"/>
  <c r="L185"/>
  <c r="J185"/>
  <c r="M191" i="21"/>
  <c r="Q185" i="2"/>
  <c r="R185" s="1"/>
  <c r="U185" i="21"/>
  <c r="S186"/>
  <c r="R185"/>
  <c r="P186"/>
  <c r="AG185"/>
  <c r="AI185"/>
  <c r="AB186"/>
  <c r="AD185"/>
  <c r="N187" i="2"/>
  <c r="P186"/>
  <c r="Y186"/>
  <c r="S186"/>
  <c r="V186"/>
  <c r="AB186"/>
  <c r="X187" i="21"/>
  <c r="V188"/>
  <c r="AA186"/>
  <c r="Y187"/>
  <c r="AI185" i="2"/>
  <c r="AG185"/>
  <c r="N192" i="21"/>
  <c r="AD186" i="2" l="1"/>
  <c r="U186"/>
  <c r="Q186"/>
  <c r="W186"/>
  <c r="X186" s="1"/>
  <c r="AD185"/>
  <c r="U185"/>
  <c r="X185"/>
  <c r="L190" i="21"/>
  <c r="Z190"/>
  <c r="T190"/>
  <c r="AC190"/>
  <c r="W190"/>
  <c r="Q190"/>
  <c r="J190"/>
  <c r="L186" i="2"/>
  <c r="J186"/>
  <c r="Z186"/>
  <c r="AA186" s="1"/>
  <c r="M192" i="21"/>
  <c r="M188" i="2"/>
  <c r="T187"/>
  <c r="U186" i="21"/>
  <c r="S187"/>
  <c r="AB187"/>
  <c r="AD186"/>
  <c r="AG186"/>
  <c r="P187"/>
  <c r="R186"/>
  <c r="AI186"/>
  <c r="AA187"/>
  <c r="Y188"/>
  <c r="R186" i="2"/>
  <c r="AI186"/>
  <c r="AG186"/>
  <c r="N193" i="21"/>
  <c r="S187" i="2"/>
  <c r="AB187"/>
  <c r="V187"/>
  <c r="N188"/>
  <c r="P187"/>
  <c r="Y187"/>
  <c r="X188" i="21"/>
  <c r="V189"/>
  <c r="W187" i="2" l="1"/>
  <c r="X187" s="1"/>
  <c r="U187"/>
  <c r="Q187"/>
  <c r="R187" s="1"/>
  <c r="M189"/>
  <c r="Q188"/>
  <c r="M193" i="21"/>
  <c r="L187" i="2"/>
  <c r="J187"/>
  <c r="L191" i="21"/>
  <c r="Z191"/>
  <c r="T191"/>
  <c r="AC191"/>
  <c r="W191"/>
  <c r="Q191"/>
  <c r="J191"/>
  <c r="Z187" i="2"/>
  <c r="AC187"/>
  <c r="AC188" s="1"/>
  <c r="U187" i="21"/>
  <c r="S188"/>
  <c r="AB188"/>
  <c r="AD187"/>
  <c r="AI187"/>
  <c r="R187"/>
  <c r="AG187"/>
  <c r="P188"/>
  <c r="AG187" i="2"/>
  <c r="AI187"/>
  <c r="N194" i="21"/>
  <c r="AA188"/>
  <c r="Y189"/>
  <c r="X189"/>
  <c r="V190"/>
  <c r="N189" i="2"/>
  <c r="P188"/>
  <c r="AB188"/>
  <c r="Y188"/>
  <c r="V188"/>
  <c r="S188"/>
  <c r="W188" l="1"/>
  <c r="Z188"/>
  <c r="AA188" s="1"/>
  <c r="X188"/>
  <c r="AD188"/>
  <c r="T188"/>
  <c r="U188" s="1"/>
  <c r="AD187"/>
  <c r="AA187"/>
  <c r="M194" i="21"/>
  <c r="M190" i="2"/>
  <c r="AC189"/>
  <c r="L192" i="21"/>
  <c r="Z192"/>
  <c r="T192"/>
  <c r="AC192"/>
  <c r="W192"/>
  <c r="Q192"/>
  <c r="J192"/>
  <c r="L188" i="2"/>
  <c r="J188"/>
  <c r="U188" i="21"/>
  <c r="S189"/>
  <c r="AB189"/>
  <c r="AD188"/>
  <c r="AI188"/>
  <c r="AG188"/>
  <c r="R188"/>
  <c r="P189"/>
  <c r="AG188" i="2"/>
  <c r="R188"/>
  <c r="AI188"/>
  <c r="AA189" i="21"/>
  <c r="Y190"/>
  <c r="N195"/>
  <c r="X190"/>
  <c r="V191"/>
  <c r="AB189" i="2"/>
  <c r="AD189" s="1"/>
  <c r="N190"/>
  <c r="P189"/>
  <c r="Y189"/>
  <c r="S189"/>
  <c r="V189"/>
  <c r="W189" l="1"/>
  <c r="X189" s="1"/>
  <c r="T189"/>
  <c r="U189" s="1"/>
  <c r="Z189"/>
  <c r="AA189" s="1"/>
  <c r="L189"/>
  <c r="J189"/>
  <c r="L193" i="21"/>
  <c r="Z193"/>
  <c r="T193"/>
  <c r="AC193"/>
  <c r="W193"/>
  <c r="Q193"/>
  <c r="J193"/>
  <c r="Q189" i="2"/>
  <c r="R189" s="1"/>
  <c r="M191"/>
  <c r="W190"/>
  <c r="M195" i="21"/>
  <c r="U189"/>
  <c r="S190"/>
  <c r="AD189"/>
  <c r="AB190"/>
  <c r="AI189"/>
  <c r="R189"/>
  <c r="AG189"/>
  <c r="P190"/>
  <c r="N191" i="2"/>
  <c r="P190"/>
  <c r="AB190"/>
  <c r="V190"/>
  <c r="S190"/>
  <c r="Y190"/>
  <c r="X191" i="21"/>
  <c r="V192"/>
  <c r="N196"/>
  <c r="AA190"/>
  <c r="Y191"/>
  <c r="AI189" i="2"/>
  <c r="AG189"/>
  <c r="X190" l="1"/>
  <c r="Z190"/>
  <c r="AA190" s="1"/>
  <c r="AC190"/>
  <c r="T190"/>
  <c r="U190" s="1"/>
  <c r="AD190"/>
  <c r="L194" i="21"/>
  <c r="Z194"/>
  <c r="T194"/>
  <c r="AC194"/>
  <c r="W194"/>
  <c r="Q194"/>
  <c r="J194"/>
  <c r="L190" i="2"/>
  <c r="J190"/>
  <c r="Q190"/>
  <c r="R190" s="1"/>
  <c r="M196" i="21"/>
  <c r="M192" i="2"/>
  <c r="U190" i="21"/>
  <c r="S191"/>
  <c r="AG190"/>
  <c r="P191"/>
  <c r="AI190"/>
  <c r="R190"/>
  <c r="AD190"/>
  <c r="AB191"/>
  <c r="N197"/>
  <c r="X192"/>
  <c r="V193"/>
  <c r="AI190" i="2"/>
  <c r="AG190"/>
  <c r="P191"/>
  <c r="N192"/>
  <c r="Y191"/>
  <c r="S191"/>
  <c r="V191"/>
  <c r="AB191"/>
  <c r="AA191" i="21"/>
  <c r="Y192"/>
  <c r="L191" i="2" l="1"/>
  <c r="J191"/>
  <c r="L195" i="21"/>
  <c r="Z195"/>
  <c r="T195"/>
  <c r="AC195"/>
  <c r="W195"/>
  <c r="Q195"/>
  <c r="J195"/>
  <c r="M193" i="2"/>
  <c r="M197" i="21"/>
  <c r="T191" i="2"/>
  <c r="U191" s="1"/>
  <c r="Q191"/>
  <c r="W191"/>
  <c r="X191" s="1"/>
  <c r="AC191"/>
  <c r="AD191" s="1"/>
  <c r="Z191"/>
  <c r="U191" i="21"/>
  <c r="S192"/>
  <c r="AB192"/>
  <c r="AD191"/>
  <c r="R191"/>
  <c r="P192"/>
  <c r="AI191"/>
  <c r="AG191"/>
  <c r="AA192"/>
  <c r="Y193"/>
  <c r="P192" i="2"/>
  <c r="N193"/>
  <c r="V192"/>
  <c r="S192"/>
  <c r="AB192"/>
  <c r="Y192"/>
  <c r="R191"/>
  <c r="AG191"/>
  <c r="AI191"/>
  <c r="X193" i="21"/>
  <c r="V194"/>
  <c r="N198"/>
  <c r="Z192" i="2" l="1"/>
  <c r="AA192" s="1"/>
  <c r="AA191"/>
  <c r="L192"/>
  <c r="J192"/>
  <c r="L196" i="21"/>
  <c r="Z196"/>
  <c r="T196"/>
  <c r="AC196"/>
  <c r="W196"/>
  <c r="Q196"/>
  <c r="J196"/>
  <c r="M194" i="2"/>
  <c r="AC192"/>
  <c r="Q192"/>
  <c r="M198" i="21"/>
  <c r="W192" i="2"/>
  <c r="X192" s="1"/>
  <c r="T192"/>
  <c r="U192" i="21"/>
  <c r="S193"/>
  <c r="AB193"/>
  <c r="AD192"/>
  <c r="R192"/>
  <c r="AG192"/>
  <c r="AI192"/>
  <c r="P193"/>
  <c r="N194" i="2"/>
  <c r="P193"/>
  <c r="V193"/>
  <c r="Y193"/>
  <c r="AB193"/>
  <c r="S193"/>
  <c r="AA193" i="21"/>
  <c r="Y194"/>
  <c r="N199"/>
  <c r="X194"/>
  <c r="V195"/>
  <c r="AG192" i="2"/>
  <c r="R192"/>
  <c r="AI192"/>
  <c r="Z193" l="1"/>
  <c r="AA193" s="1"/>
  <c r="T193"/>
  <c r="U193" s="1"/>
  <c r="AC193"/>
  <c r="AD193" s="1"/>
  <c r="AD192"/>
  <c r="U192"/>
  <c r="M199" i="21"/>
  <c r="L197"/>
  <c r="Z197"/>
  <c r="T197"/>
  <c r="AC197"/>
  <c r="W197"/>
  <c r="Q197"/>
  <c r="J197"/>
  <c r="M195" i="2"/>
  <c r="W193"/>
  <c r="Q193"/>
  <c r="L193"/>
  <c r="J193"/>
  <c r="U193" i="21"/>
  <c r="S194"/>
  <c r="AD193"/>
  <c r="AB194"/>
  <c r="R193"/>
  <c r="P194"/>
  <c r="AG193"/>
  <c r="AI193"/>
  <c r="N200"/>
  <c r="S194" i="2"/>
  <c r="N195"/>
  <c r="P194"/>
  <c r="AB194"/>
  <c r="Y194"/>
  <c r="V194"/>
  <c r="X195" i="21"/>
  <c r="V196"/>
  <c r="AA194"/>
  <c r="Y195"/>
  <c r="AG193" i="2"/>
  <c r="AI193"/>
  <c r="R193"/>
  <c r="T194" l="1"/>
  <c r="T195" s="1"/>
  <c r="AC194"/>
  <c r="AC195" s="1"/>
  <c r="U194"/>
  <c r="W194"/>
  <c r="X194" s="1"/>
  <c r="X193"/>
  <c r="L194"/>
  <c r="J194"/>
  <c r="M200" i="21"/>
  <c r="M196" i="2"/>
  <c r="L198" i="21"/>
  <c r="Z198"/>
  <c r="T198"/>
  <c r="AC198"/>
  <c r="W198"/>
  <c r="Q198"/>
  <c r="J198"/>
  <c r="Q194" i="2"/>
  <c r="Z194"/>
  <c r="Z195" s="1"/>
  <c r="U194" i="21"/>
  <c r="S195"/>
  <c r="R194"/>
  <c r="P195"/>
  <c r="AI194"/>
  <c r="AG194"/>
  <c r="AB195"/>
  <c r="AD194"/>
  <c r="AG194" i="2"/>
  <c r="AI194"/>
  <c r="R194"/>
  <c r="AA195" i="21"/>
  <c r="Y196"/>
  <c r="X196"/>
  <c r="V197"/>
  <c r="N196" i="2"/>
  <c r="P195"/>
  <c r="V195"/>
  <c r="Y195"/>
  <c r="AB195"/>
  <c r="S195"/>
  <c r="U195" s="1"/>
  <c r="N201" i="21"/>
  <c r="AD194" i="2" l="1"/>
  <c r="AD195"/>
  <c r="AA195"/>
  <c r="AA194"/>
  <c r="M197"/>
  <c r="Z196"/>
  <c r="AC199" i="21"/>
  <c r="W199"/>
  <c r="Q199"/>
  <c r="L199"/>
  <c r="Z199"/>
  <c r="T199"/>
  <c r="J199"/>
  <c r="Q195" i="2"/>
  <c r="Q196" s="1"/>
  <c r="L195"/>
  <c r="J195"/>
  <c r="M201" i="21"/>
  <c r="W195" i="2"/>
  <c r="U195" i="21"/>
  <c r="S196"/>
  <c r="AB196"/>
  <c r="AD195"/>
  <c r="R195"/>
  <c r="AI195"/>
  <c r="AG195"/>
  <c r="P196"/>
  <c r="N202"/>
  <c r="AG195" i="2"/>
  <c r="AI195"/>
  <c r="X197" i="21"/>
  <c r="V198"/>
  <c r="AA196"/>
  <c r="Y197"/>
  <c r="Y196" i="2"/>
  <c r="V196"/>
  <c r="N197"/>
  <c r="P196"/>
  <c r="AB196"/>
  <c r="S196"/>
  <c r="R195" l="1"/>
  <c r="AC196"/>
  <c r="AD196" s="1"/>
  <c r="W196"/>
  <c r="X196" s="1"/>
  <c r="AA196"/>
  <c r="X195"/>
  <c r="M202" i="21"/>
  <c r="L196" i="2"/>
  <c r="J196"/>
  <c r="T196"/>
  <c r="U196" s="1"/>
  <c r="AC200" i="21"/>
  <c r="W200"/>
  <c r="Q200"/>
  <c r="L200"/>
  <c r="Z200"/>
  <c r="T200"/>
  <c r="J200"/>
  <c r="Q197" i="2"/>
  <c r="M198"/>
  <c r="W197"/>
  <c r="U196" i="21"/>
  <c r="S197"/>
  <c r="AB197"/>
  <c r="AD196"/>
  <c r="R196"/>
  <c r="P197"/>
  <c r="AG196"/>
  <c r="AI196"/>
  <c r="AI196" i="2"/>
  <c r="R196"/>
  <c r="AG196"/>
  <c r="AA197" i="21"/>
  <c r="Y198"/>
  <c r="X198"/>
  <c r="V199"/>
  <c r="N203"/>
  <c r="N198" i="2"/>
  <c r="P197"/>
  <c r="V197"/>
  <c r="S197"/>
  <c r="Y197"/>
  <c r="AB197"/>
  <c r="X197" l="1"/>
  <c r="Z197"/>
  <c r="AA197" s="1"/>
  <c r="L197"/>
  <c r="J197"/>
  <c r="AC201" i="21"/>
  <c r="W201"/>
  <c r="Q201"/>
  <c r="L201"/>
  <c r="Z201"/>
  <c r="T201"/>
  <c r="J201"/>
  <c r="T197" i="2"/>
  <c r="U197" s="1"/>
  <c r="AC197"/>
  <c r="W198"/>
  <c r="M199"/>
  <c r="M203" i="21"/>
  <c r="U197"/>
  <c r="S198"/>
  <c r="AB198"/>
  <c r="AD197"/>
  <c r="AI197"/>
  <c r="P198"/>
  <c r="AG197"/>
  <c r="R197"/>
  <c r="AI197" i="2"/>
  <c r="AG197"/>
  <c r="R197"/>
  <c r="N204" i="21"/>
  <c r="X199"/>
  <c r="V200"/>
  <c r="AA198"/>
  <c r="Y199"/>
  <c r="N199" i="2"/>
  <c r="AB198"/>
  <c r="Y198"/>
  <c r="P198"/>
  <c r="S198"/>
  <c r="V198"/>
  <c r="Z198" l="1"/>
  <c r="X198"/>
  <c r="AA198"/>
  <c r="AC198"/>
  <c r="AD198" s="1"/>
  <c r="AD197"/>
  <c r="M204" i="21"/>
  <c r="W199" i="2"/>
  <c r="M200"/>
  <c r="AC202" i="21"/>
  <c r="W202"/>
  <c r="Q202"/>
  <c r="L202"/>
  <c r="Z202"/>
  <c r="T202"/>
  <c r="J202"/>
  <c r="L198" i="2"/>
  <c r="J198"/>
  <c r="T198"/>
  <c r="T199" s="1"/>
  <c r="Q198"/>
  <c r="U198" i="21"/>
  <c r="S199"/>
  <c r="AB199"/>
  <c r="AD198"/>
  <c r="AI198"/>
  <c r="P199"/>
  <c r="R198"/>
  <c r="AG198"/>
  <c r="N200" i="2"/>
  <c r="P199"/>
  <c r="V199"/>
  <c r="S199"/>
  <c r="Y199"/>
  <c r="AB199"/>
  <c r="AI198"/>
  <c r="R198"/>
  <c r="AG198"/>
  <c r="AA199" i="21"/>
  <c r="Y200"/>
  <c r="X200"/>
  <c r="V201"/>
  <c r="N205"/>
  <c r="X199" i="2" l="1"/>
  <c r="AC199"/>
  <c r="AD199" s="1"/>
  <c r="Q199"/>
  <c r="R199" s="1"/>
  <c r="Z199"/>
  <c r="AA199" s="1"/>
  <c r="U198"/>
  <c r="U199"/>
  <c r="L199"/>
  <c r="J199"/>
  <c r="AC203" i="21"/>
  <c r="W203"/>
  <c r="Q203"/>
  <c r="L203"/>
  <c r="Z203"/>
  <c r="T203"/>
  <c r="J203"/>
  <c r="M201" i="2"/>
  <c r="T200"/>
  <c r="M205" i="21"/>
  <c r="U199"/>
  <c r="S200"/>
  <c r="AD199"/>
  <c r="AB200"/>
  <c r="AG199"/>
  <c r="AI199"/>
  <c r="P200"/>
  <c r="R199"/>
  <c r="N206"/>
  <c r="AG199" i="2"/>
  <c r="AI199"/>
  <c r="X201" i="21"/>
  <c r="V202"/>
  <c r="AA200"/>
  <c r="Y201"/>
  <c r="N201" i="2"/>
  <c r="P200"/>
  <c r="Y200"/>
  <c r="V200"/>
  <c r="AB200"/>
  <c r="S200"/>
  <c r="U200" l="1"/>
  <c r="W200"/>
  <c r="W201" s="1"/>
  <c r="Q200"/>
  <c r="Q201" s="1"/>
  <c r="AC204" i="21"/>
  <c r="W204"/>
  <c r="Q204"/>
  <c r="L204"/>
  <c r="Z204"/>
  <c r="T204"/>
  <c r="J204"/>
  <c r="M202" i="2"/>
  <c r="Z200"/>
  <c r="Z201" s="1"/>
  <c r="M206" i="21"/>
  <c r="L200" i="2"/>
  <c r="J200"/>
  <c r="AC200"/>
  <c r="U200" i="21"/>
  <c r="S201"/>
  <c r="AG200"/>
  <c r="P201"/>
  <c r="R200"/>
  <c r="AI200"/>
  <c r="AB201"/>
  <c r="AD200"/>
  <c r="N202" i="2"/>
  <c r="P201"/>
  <c r="Y201"/>
  <c r="S201"/>
  <c r="AB201"/>
  <c r="V201"/>
  <c r="R200"/>
  <c r="AG200"/>
  <c r="AI200"/>
  <c r="AA201" i="21"/>
  <c r="Y202"/>
  <c r="X202"/>
  <c r="V203"/>
  <c r="N207"/>
  <c r="X200" i="2" l="1"/>
  <c r="X201"/>
  <c r="AA201"/>
  <c r="AC201"/>
  <c r="AD201" s="1"/>
  <c r="AA200"/>
  <c r="AD200"/>
  <c r="M207" i="21"/>
  <c r="L201" i="2"/>
  <c r="J201"/>
  <c r="T201"/>
  <c r="U201" s="1"/>
  <c r="AC205" i="21"/>
  <c r="W205"/>
  <c r="Q205"/>
  <c r="L205"/>
  <c r="Z205"/>
  <c r="T205"/>
  <c r="J205"/>
  <c r="M203" i="2"/>
  <c r="Q202"/>
  <c r="U201" i="21"/>
  <c r="S202"/>
  <c r="AB202"/>
  <c r="AD201"/>
  <c r="AI201"/>
  <c r="P202"/>
  <c r="AG201"/>
  <c r="R201"/>
  <c r="N208"/>
  <c r="X203"/>
  <c r="V204"/>
  <c r="AA202"/>
  <c r="Y203"/>
  <c r="N203" i="2"/>
  <c r="S202"/>
  <c r="P202"/>
  <c r="AB202"/>
  <c r="Y202"/>
  <c r="V202"/>
  <c r="AG201"/>
  <c r="AI201"/>
  <c r="R201"/>
  <c r="W202" l="1"/>
  <c r="X202" s="1"/>
  <c r="Q203"/>
  <c r="M204"/>
  <c r="AC206" i="21"/>
  <c r="W206"/>
  <c r="Q206"/>
  <c r="L206"/>
  <c r="Z206"/>
  <c r="T206"/>
  <c r="J206"/>
  <c r="Z202" i="2"/>
  <c r="AA202" s="1"/>
  <c r="AC202"/>
  <c r="AC203" s="1"/>
  <c r="T202"/>
  <c r="U202" s="1"/>
  <c r="L202"/>
  <c r="J202"/>
  <c r="M208" i="21"/>
  <c r="W203" i="2"/>
  <c r="U202" i="21"/>
  <c r="S203"/>
  <c r="AB203"/>
  <c r="AD202"/>
  <c r="AG202"/>
  <c r="R202"/>
  <c r="P203"/>
  <c r="AI202"/>
  <c r="R202" i="2"/>
  <c r="AI202"/>
  <c r="AG202"/>
  <c r="N204"/>
  <c r="S203"/>
  <c r="P203"/>
  <c r="V203"/>
  <c r="Y203"/>
  <c r="AB203"/>
  <c r="AA203" i="21"/>
  <c r="Y204"/>
  <c r="X204"/>
  <c r="V205"/>
  <c r="N209"/>
  <c r="AD203" i="2" l="1"/>
  <c r="X203"/>
  <c r="AD202"/>
  <c r="M209" i="21"/>
  <c r="M205" i="2"/>
  <c r="W204"/>
  <c r="T203"/>
  <c r="T204" s="1"/>
  <c r="Z203"/>
  <c r="AC207" i="21"/>
  <c r="W207"/>
  <c r="Q207"/>
  <c r="L207"/>
  <c r="Z207"/>
  <c r="T207"/>
  <c r="J207"/>
  <c r="L203" i="2"/>
  <c r="J203"/>
  <c r="AC204"/>
  <c r="U203" i="21"/>
  <c r="S204"/>
  <c r="AI203"/>
  <c r="P204"/>
  <c r="R203"/>
  <c r="AG203"/>
  <c r="AD203"/>
  <c r="AB204"/>
  <c r="N210"/>
  <c r="X205"/>
  <c r="V206"/>
  <c r="AA204"/>
  <c r="Y205"/>
  <c r="AG203" i="2"/>
  <c r="AI203"/>
  <c r="R203"/>
  <c r="N205"/>
  <c r="P204"/>
  <c r="S204"/>
  <c r="U204" s="1"/>
  <c r="AB204"/>
  <c r="AD204" s="1"/>
  <c r="Y204"/>
  <c r="V204"/>
  <c r="X204" s="1"/>
  <c r="Z204" l="1"/>
  <c r="AA204" s="1"/>
  <c r="AA203"/>
  <c r="U203"/>
  <c r="L204"/>
  <c r="J204"/>
  <c r="M210" i="21"/>
  <c r="Q204" i="2"/>
  <c r="R204" s="1"/>
  <c r="M206"/>
  <c r="T205"/>
  <c r="AC208" i="21"/>
  <c r="W208"/>
  <c r="Q208"/>
  <c r="L208"/>
  <c r="Z208"/>
  <c r="T208"/>
  <c r="J208"/>
  <c r="AC205" i="2"/>
  <c r="U204" i="21"/>
  <c r="S205"/>
  <c r="AD204"/>
  <c r="AB205"/>
  <c r="R204"/>
  <c r="AI204"/>
  <c r="P205"/>
  <c r="AG204"/>
  <c r="AI204" i="2"/>
  <c r="AG204"/>
  <c r="N206"/>
  <c r="P205"/>
  <c r="V205"/>
  <c r="Y205"/>
  <c r="AB205"/>
  <c r="S205"/>
  <c r="AA205" i="21"/>
  <c r="Y206"/>
  <c r="X206"/>
  <c r="V207"/>
  <c r="N211"/>
  <c r="U205" i="2" l="1"/>
  <c r="AD205"/>
  <c r="W205"/>
  <c r="X205" s="1"/>
  <c r="M207"/>
  <c r="AC209" i="21"/>
  <c r="W209"/>
  <c r="Q209"/>
  <c r="L209"/>
  <c r="Z209"/>
  <c r="T209"/>
  <c r="J209"/>
  <c r="Z205" i="2"/>
  <c r="Z206" s="1"/>
  <c r="L205"/>
  <c r="J205"/>
  <c r="M211" i="21"/>
  <c r="AC206" i="2"/>
  <c r="Q205"/>
  <c r="Q206" s="1"/>
  <c r="U205" i="21"/>
  <c r="S206"/>
  <c r="AI205"/>
  <c r="P206"/>
  <c r="R205"/>
  <c r="AG205"/>
  <c r="AB206"/>
  <c r="AD205"/>
  <c r="N212"/>
  <c r="X207"/>
  <c r="V208"/>
  <c r="AA206"/>
  <c r="Y207"/>
  <c r="AI205" i="2"/>
  <c r="AG205"/>
  <c r="R205"/>
  <c r="N207"/>
  <c r="P206"/>
  <c r="S206"/>
  <c r="AB206"/>
  <c r="Y206"/>
  <c r="V206"/>
  <c r="AA206" l="1"/>
  <c r="W206"/>
  <c r="X206" s="1"/>
  <c r="AD206"/>
  <c r="AA205"/>
  <c r="M212" i="21"/>
  <c r="L206" i="2"/>
  <c r="J206"/>
  <c r="T206"/>
  <c r="U206" s="1"/>
  <c r="AC210" i="21"/>
  <c r="W210"/>
  <c r="Q210"/>
  <c r="L210"/>
  <c r="Z210"/>
  <c r="T210"/>
  <c r="J210"/>
  <c r="M208" i="2"/>
  <c r="AC207"/>
  <c r="U206" i="21"/>
  <c r="S207"/>
  <c r="AD206"/>
  <c r="AB207"/>
  <c r="R206"/>
  <c r="P207"/>
  <c r="AG206"/>
  <c r="AI206"/>
  <c r="N208" i="2"/>
  <c r="P207"/>
  <c r="Y207"/>
  <c r="S207"/>
  <c r="V207"/>
  <c r="AB207"/>
  <c r="X208" i="21"/>
  <c r="V209"/>
  <c r="R206" i="2"/>
  <c r="AI206"/>
  <c r="AG206"/>
  <c r="N213" i="21"/>
  <c r="AA207"/>
  <c r="Y208"/>
  <c r="AD207" i="2" l="1"/>
  <c r="W207"/>
  <c r="X207" s="1"/>
  <c r="M209"/>
  <c r="AC211" i="21"/>
  <c r="W211"/>
  <c r="Q211"/>
  <c r="L211"/>
  <c r="Z211"/>
  <c r="T211"/>
  <c r="J211"/>
  <c r="Z207" i="2"/>
  <c r="Z208" s="1"/>
  <c r="Q207"/>
  <c r="R207" s="1"/>
  <c r="T207"/>
  <c r="T208" s="1"/>
  <c r="L207"/>
  <c r="J207"/>
  <c r="M213" i="21"/>
  <c r="U207"/>
  <c r="S208"/>
  <c r="AG207"/>
  <c r="P208"/>
  <c r="AI207"/>
  <c r="R207"/>
  <c r="AB208"/>
  <c r="AD207"/>
  <c r="X209"/>
  <c r="V210"/>
  <c r="AG207" i="2"/>
  <c r="AI207"/>
  <c r="AA208" i="21"/>
  <c r="Y209"/>
  <c r="N214"/>
  <c r="N209" i="2"/>
  <c r="P208"/>
  <c r="S208"/>
  <c r="Y208"/>
  <c r="AB208"/>
  <c r="V208"/>
  <c r="AA208" l="1"/>
  <c r="W208"/>
  <c r="W209" s="1"/>
  <c r="U208"/>
  <c r="Q208"/>
  <c r="R208" s="1"/>
  <c r="AA207"/>
  <c r="U207"/>
  <c r="M214" i="21"/>
  <c r="L208" i="2"/>
  <c r="J208"/>
  <c r="AC208"/>
  <c r="AD208" s="1"/>
  <c r="AC212" i="21"/>
  <c r="W212"/>
  <c r="Q212"/>
  <c r="L212"/>
  <c r="Z212"/>
  <c r="T212"/>
  <c r="J212"/>
  <c r="Z209" i="2"/>
  <c r="M210"/>
  <c r="U208" i="21"/>
  <c r="S209"/>
  <c r="AB209"/>
  <c r="AD208"/>
  <c r="R208"/>
  <c r="AI208"/>
  <c r="AG208"/>
  <c r="P209"/>
  <c r="N210" i="2"/>
  <c r="P209"/>
  <c r="V209"/>
  <c r="AB209"/>
  <c r="Y209"/>
  <c r="S209"/>
  <c r="X210" i="21"/>
  <c r="V211"/>
  <c r="AI208" i="2"/>
  <c r="AG208"/>
  <c r="N215" i="21"/>
  <c r="AA209"/>
  <c r="Y210"/>
  <c r="X208" i="2" l="1"/>
  <c r="X209"/>
  <c r="Q209"/>
  <c r="R209" s="1"/>
  <c r="AA209"/>
  <c r="L209"/>
  <c r="J209"/>
  <c r="AC213" i="21"/>
  <c r="W213"/>
  <c r="Q213"/>
  <c r="L213"/>
  <c r="Z213"/>
  <c r="T213"/>
  <c r="J213"/>
  <c r="AC209" i="2"/>
  <c r="AD209" s="1"/>
  <c r="T209"/>
  <c r="U209" s="1"/>
  <c r="M211"/>
  <c r="M215" i="21"/>
  <c r="U209"/>
  <c r="S210"/>
  <c r="AB210"/>
  <c r="AD209"/>
  <c r="AI209"/>
  <c r="P210"/>
  <c r="R209"/>
  <c r="AG209"/>
  <c r="AA210"/>
  <c r="Y211"/>
  <c r="N211" i="2"/>
  <c r="P210"/>
  <c r="S210"/>
  <c r="Y210"/>
  <c r="AB210"/>
  <c r="V210"/>
  <c r="N216" i="21"/>
  <c r="X211"/>
  <c r="V212"/>
  <c r="AG209" i="2"/>
  <c r="AI209"/>
  <c r="Q210" l="1"/>
  <c r="Q211" s="1"/>
  <c r="L210"/>
  <c r="J210"/>
  <c r="M216" i="21"/>
  <c r="M212" i="2"/>
  <c r="T210"/>
  <c r="W210"/>
  <c r="W211" s="1"/>
  <c r="AC214" i="21"/>
  <c r="W214"/>
  <c r="Q214"/>
  <c r="L214"/>
  <c r="Z214"/>
  <c r="T214"/>
  <c r="J214"/>
  <c r="AC210" i="2"/>
  <c r="AC211" s="1"/>
  <c r="Z210"/>
  <c r="U210" i="21"/>
  <c r="S211"/>
  <c r="AB211"/>
  <c r="AD210"/>
  <c r="R210"/>
  <c r="AI210"/>
  <c r="AG210"/>
  <c r="P211"/>
  <c r="AG210" i="2"/>
  <c r="AI210"/>
  <c r="AA211" i="21"/>
  <c r="Y212"/>
  <c r="N217"/>
  <c r="N212" i="2"/>
  <c r="P211"/>
  <c r="V211"/>
  <c r="AB211"/>
  <c r="Y211"/>
  <c r="S211"/>
  <c r="X212" i="21"/>
  <c r="V213"/>
  <c r="X211" i="2" l="1"/>
  <c r="R210"/>
  <c r="AD211"/>
  <c r="Z211"/>
  <c r="AA211" s="1"/>
  <c r="T211"/>
  <c r="U211" s="1"/>
  <c r="AD210"/>
  <c r="X210"/>
  <c r="U210"/>
  <c r="AA210"/>
  <c r="L211"/>
  <c r="J211"/>
  <c r="AC215" i="21"/>
  <c r="W215"/>
  <c r="Q215"/>
  <c r="L215"/>
  <c r="Z215"/>
  <c r="T215"/>
  <c r="J215"/>
  <c r="M213" i="2"/>
  <c r="M217" i="21"/>
  <c r="U211"/>
  <c r="S212"/>
  <c r="AB212"/>
  <c r="AD211"/>
  <c r="P212"/>
  <c r="AG211"/>
  <c r="AI211"/>
  <c r="R211"/>
  <c r="N213" i="2"/>
  <c r="S212"/>
  <c r="Y212"/>
  <c r="AB212"/>
  <c r="V212"/>
  <c r="P212"/>
  <c r="N218" i="21"/>
  <c r="X213"/>
  <c r="V214"/>
  <c r="AG211" i="2"/>
  <c r="R211"/>
  <c r="AI211"/>
  <c r="AA212" i="21"/>
  <c r="Y213"/>
  <c r="L212" i="2" l="1"/>
  <c r="J212"/>
  <c r="AC216" i="21"/>
  <c r="W216"/>
  <c r="Q216"/>
  <c r="L216"/>
  <c r="Z216"/>
  <c r="T216"/>
  <c r="J216"/>
  <c r="M214" i="2"/>
  <c r="Z212"/>
  <c r="AA212" s="1"/>
  <c r="W212"/>
  <c r="X212" s="1"/>
  <c r="M218" i="21"/>
  <c r="T212" i="2"/>
  <c r="T213" s="1"/>
  <c r="Q212"/>
  <c r="AC212"/>
  <c r="AC213" s="1"/>
  <c r="U212" i="21"/>
  <c r="S213"/>
  <c r="AI212"/>
  <c r="P213"/>
  <c r="AG212"/>
  <c r="R212"/>
  <c r="AB213"/>
  <c r="AD212"/>
  <c r="N219"/>
  <c r="AI212" i="2"/>
  <c r="R212"/>
  <c r="AG212"/>
  <c r="AA213" i="21"/>
  <c r="Y214"/>
  <c r="P213" i="2"/>
  <c r="AB213"/>
  <c r="S213"/>
  <c r="N214"/>
  <c r="V213"/>
  <c r="Y213"/>
  <c r="X214" i="21"/>
  <c r="V215"/>
  <c r="AD213" i="2" l="1"/>
  <c r="U213"/>
  <c r="U212"/>
  <c r="AD212"/>
  <c r="AC217" i="21"/>
  <c r="W217"/>
  <c r="Q217"/>
  <c r="L217"/>
  <c r="Z217"/>
  <c r="T217"/>
  <c r="J217"/>
  <c r="M219"/>
  <c r="AC214" i="2"/>
  <c r="M215"/>
  <c r="Z213"/>
  <c r="Z214" s="1"/>
  <c r="Q213"/>
  <c r="R213" s="1"/>
  <c r="W213"/>
  <c r="W214" s="1"/>
  <c r="L213"/>
  <c r="J213"/>
  <c r="U213" i="21"/>
  <c r="S214"/>
  <c r="AB214"/>
  <c r="AD213"/>
  <c r="AG213"/>
  <c r="AI213"/>
  <c r="R213"/>
  <c r="P214"/>
  <c r="AG213" i="2"/>
  <c r="AI213"/>
  <c r="X215" i="21"/>
  <c r="V216"/>
  <c r="P214" i="2"/>
  <c r="Y214"/>
  <c r="V214"/>
  <c r="S214"/>
  <c r="AB214"/>
  <c r="N215"/>
  <c r="AA214" i="21"/>
  <c r="Y215"/>
  <c r="N220"/>
  <c r="AA214" i="2" l="1"/>
  <c r="X214"/>
  <c r="T214"/>
  <c r="T215" s="1"/>
  <c r="AD214"/>
  <c r="Q214"/>
  <c r="R214" s="1"/>
  <c r="AA213"/>
  <c r="X213"/>
  <c r="M216"/>
  <c r="M220" i="21"/>
  <c r="L214" i="2"/>
  <c r="J214"/>
  <c r="AC218" i="21"/>
  <c r="W218"/>
  <c r="Q218"/>
  <c r="L218"/>
  <c r="Z218"/>
  <c r="T218"/>
  <c r="J218"/>
  <c r="Z215" i="2"/>
  <c r="U214" i="21"/>
  <c r="S215"/>
  <c r="AB215"/>
  <c r="AD214"/>
  <c r="R214"/>
  <c r="P215"/>
  <c r="AI214"/>
  <c r="AG214"/>
  <c r="N221"/>
  <c r="AG214" i="2"/>
  <c r="AI214"/>
  <c r="AA215" i="21"/>
  <c r="Y216"/>
  <c r="P215" i="2"/>
  <c r="AB215"/>
  <c r="S215"/>
  <c r="V215"/>
  <c r="Y215"/>
  <c r="N216"/>
  <c r="X216" i="21"/>
  <c r="V217"/>
  <c r="U214" i="2" l="1"/>
  <c r="U215"/>
  <c r="AA215"/>
  <c r="W215"/>
  <c r="X215" s="1"/>
  <c r="AC215"/>
  <c r="AD215" s="1"/>
  <c r="M221" i="21"/>
  <c r="M217" i="2"/>
  <c r="Z216"/>
  <c r="Q215"/>
  <c r="R215" s="1"/>
  <c r="L219" i="21"/>
  <c r="Z219"/>
  <c r="T219"/>
  <c r="AC219"/>
  <c r="W219"/>
  <c r="Q219"/>
  <c r="J219"/>
  <c r="L215" i="2"/>
  <c r="J215"/>
  <c r="U215" i="21"/>
  <c r="S216"/>
  <c r="AD215"/>
  <c r="AB216"/>
  <c r="R215"/>
  <c r="AI215"/>
  <c r="AG215"/>
  <c r="P216"/>
  <c r="N222"/>
  <c r="X217"/>
  <c r="V218"/>
  <c r="P216" i="2"/>
  <c r="N217"/>
  <c r="Y216"/>
  <c r="V216"/>
  <c r="S216"/>
  <c r="AB216"/>
  <c r="AA216" i="21"/>
  <c r="Y217"/>
  <c r="AI215" i="2"/>
  <c r="AG215"/>
  <c r="W216" l="1"/>
  <c r="X216" s="1"/>
  <c r="AA216"/>
  <c r="AC216"/>
  <c r="AD216" s="1"/>
  <c r="Q216"/>
  <c r="R216" s="1"/>
  <c r="L216"/>
  <c r="J216"/>
  <c r="M222" i="21"/>
  <c r="T216" i="2"/>
  <c r="U216" s="1"/>
  <c r="M218"/>
  <c r="AC220" i="21"/>
  <c r="W220"/>
  <c r="Q220"/>
  <c r="L220"/>
  <c r="Z220"/>
  <c r="T220"/>
  <c r="J220"/>
  <c r="U216"/>
  <c r="S217"/>
  <c r="R216"/>
  <c r="AG216"/>
  <c r="P217"/>
  <c r="AI216"/>
  <c r="AB217"/>
  <c r="AD216"/>
  <c r="AA217"/>
  <c r="Y218"/>
  <c r="AB217" i="2"/>
  <c r="S217"/>
  <c r="V217"/>
  <c r="Y217"/>
  <c r="N218"/>
  <c r="P217"/>
  <c r="X218" i="21"/>
  <c r="V219"/>
  <c r="AG216" i="2"/>
  <c r="AI216"/>
  <c r="N223" i="21"/>
  <c r="L217" i="2" l="1"/>
  <c r="J217"/>
  <c r="M219"/>
  <c r="M223" i="21"/>
  <c r="Q217" i="2"/>
  <c r="Q218" s="1"/>
  <c r="W217"/>
  <c r="L221" i="21"/>
  <c r="Z221"/>
  <c r="T221"/>
  <c r="AC221"/>
  <c r="W221"/>
  <c r="Q221"/>
  <c r="J221"/>
  <c r="Z217" i="2"/>
  <c r="AC217"/>
  <c r="AC218" s="1"/>
  <c r="T217"/>
  <c r="U217" i="21"/>
  <c r="S218"/>
  <c r="AB218"/>
  <c r="AD217"/>
  <c r="AI217"/>
  <c r="P218"/>
  <c r="R217"/>
  <c r="AG217"/>
  <c r="N224"/>
  <c r="AI217" i="2"/>
  <c r="AG217"/>
  <c r="AA218" i="21"/>
  <c r="Y219"/>
  <c r="N219" i="2"/>
  <c r="P218"/>
  <c r="Y218"/>
  <c r="V218"/>
  <c r="S218"/>
  <c r="AB218"/>
  <c r="X219" i="21"/>
  <c r="V220"/>
  <c r="AD218" i="2" l="1"/>
  <c r="R217"/>
  <c r="T218"/>
  <c r="U218" s="1"/>
  <c r="Z218"/>
  <c r="AA218" s="1"/>
  <c r="W218"/>
  <c r="X218" s="1"/>
  <c r="X217"/>
  <c r="AA217"/>
  <c r="AD217"/>
  <c r="U217"/>
  <c r="M224" i="21"/>
  <c r="L218" i="2"/>
  <c r="J218"/>
  <c r="L222" i="21"/>
  <c r="Z222"/>
  <c r="T222"/>
  <c r="AC222"/>
  <c r="W222"/>
  <c r="Q222"/>
  <c r="J222"/>
  <c r="M220" i="2"/>
  <c r="U218" i="21"/>
  <c r="S219"/>
  <c r="AB219"/>
  <c r="AD218"/>
  <c r="AG218"/>
  <c r="P219"/>
  <c r="R218"/>
  <c r="AI218"/>
  <c r="X220"/>
  <c r="V221"/>
  <c r="R218" i="2"/>
  <c r="AI218"/>
  <c r="AG218"/>
  <c r="AA219" i="21"/>
  <c r="Y220"/>
  <c r="N220" i="2"/>
  <c r="AB219"/>
  <c r="S219"/>
  <c r="V219"/>
  <c r="Y219"/>
  <c r="P219"/>
  <c r="N225" i="21"/>
  <c r="T219" i="2" l="1"/>
  <c r="U219" s="1"/>
  <c r="M221"/>
  <c r="AC223" i="21"/>
  <c r="W223"/>
  <c r="Q223"/>
  <c r="L223"/>
  <c r="Z223"/>
  <c r="T223"/>
  <c r="J223"/>
  <c r="W219" i="2"/>
  <c r="W220" s="1"/>
  <c r="AC219"/>
  <c r="Z219"/>
  <c r="Z220" s="1"/>
  <c r="Q219"/>
  <c r="R219" s="1"/>
  <c r="L219"/>
  <c r="J219"/>
  <c r="M225" i="21"/>
  <c r="U219"/>
  <c r="S220"/>
  <c r="AD219"/>
  <c r="AB220"/>
  <c r="AI219"/>
  <c r="P220"/>
  <c r="R219"/>
  <c r="AG219"/>
  <c r="N226"/>
  <c r="X221"/>
  <c r="V222"/>
  <c r="AI219" i="2"/>
  <c r="AG219"/>
  <c r="AA220" i="21"/>
  <c r="Y221"/>
  <c r="P220" i="2"/>
  <c r="Y220"/>
  <c r="V220"/>
  <c r="X220" s="1"/>
  <c r="S220"/>
  <c r="AB220"/>
  <c r="N221"/>
  <c r="AA220" l="1"/>
  <c r="AA219"/>
  <c r="Q220"/>
  <c r="R220" s="1"/>
  <c r="AC220"/>
  <c r="AD220" s="1"/>
  <c r="X219"/>
  <c r="AD219"/>
  <c r="M226" i="21"/>
  <c r="L220" i="2"/>
  <c r="J220"/>
  <c r="T220"/>
  <c r="U220" s="1"/>
  <c r="L224" i="21"/>
  <c r="Z224"/>
  <c r="T224"/>
  <c r="AC224"/>
  <c r="W224"/>
  <c r="Q224"/>
  <c r="J224"/>
  <c r="AC221" i="2"/>
  <c r="M222"/>
  <c r="U220" i="21"/>
  <c r="S221"/>
  <c r="AI220"/>
  <c r="P221"/>
  <c r="AG220"/>
  <c r="R220"/>
  <c r="AD220"/>
  <c r="AB221"/>
  <c r="AI220" i="2"/>
  <c r="AG220"/>
  <c r="N222"/>
  <c r="P221"/>
  <c r="AB221"/>
  <c r="S221"/>
  <c r="V221"/>
  <c r="Y221"/>
  <c r="AA221" i="21"/>
  <c r="Y222"/>
  <c r="N227"/>
  <c r="X222"/>
  <c r="V223"/>
  <c r="W221" i="2" l="1"/>
  <c r="X221" s="1"/>
  <c r="AD221"/>
  <c r="L221"/>
  <c r="J221"/>
  <c r="M227" i="21"/>
  <c r="T221" i="2"/>
  <c r="U221" s="1"/>
  <c r="Z221"/>
  <c r="Q221"/>
  <c r="M223"/>
  <c r="AC222"/>
  <c r="L225" i="21"/>
  <c r="Z225"/>
  <c r="T225"/>
  <c r="AC225"/>
  <c r="W225"/>
  <c r="Q225"/>
  <c r="J225"/>
  <c r="U221"/>
  <c r="S222"/>
  <c r="AD221"/>
  <c r="AB222"/>
  <c r="R221"/>
  <c r="P222"/>
  <c r="AG221"/>
  <c r="AI221"/>
  <c r="N228"/>
  <c r="N223" i="2"/>
  <c r="Y222"/>
  <c r="S222"/>
  <c r="AB222"/>
  <c r="P222"/>
  <c r="V222"/>
  <c r="X223" i="21"/>
  <c r="V224"/>
  <c r="AA222"/>
  <c r="Y223"/>
  <c r="AI221" i="2"/>
  <c r="R221"/>
  <c r="AG221"/>
  <c r="AD222" l="1"/>
  <c r="Z222"/>
  <c r="AA222" s="1"/>
  <c r="AA221"/>
  <c r="M224"/>
  <c r="L226" i="21"/>
  <c r="Z226"/>
  <c r="T226"/>
  <c r="AC226"/>
  <c r="W226"/>
  <c r="Q226"/>
  <c r="J226"/>
  <c r="L222" i="2"/>
  <c r="J222"/>
  <c r="M228" i="21"/>
  <c r="Q222" i="2"/>
  <c r="T222"/>
  <c r="W222"/>
  <c r="U222" i="21"/>
  <c r="S223"/>
  <c r="AI222"/>
  <c r="P223"/>
  <c r="AG222"/>
  <c r="R222"/>
  <c r="AB223"/>
  <c r="AD222"/>
  <c r="AA223"/>
  <c r="Y224"/>
  <c r="X224"/>
  <c r="V225"/>
  <c r="N229"/>
  <c r="R222" i="2"/>
  <c r="AI222"/>
  <c r="AG222"/>
  <c r="V223"/>
  <c r="AB223"/>
  <c r="S223"/>
  <c r="Y223"/>
  <c r="N224"/>
  <c r="P223"/>
  <c r="Z223" l="1"/>
  <c r="W223"/>
  <c r="X223" s="1"/>
  <c r="T223"/>
  <c r="U223" s="1"/>
  <c r="AC223"/>
  <c r="AD223" s="1"/>
  <c r="AA223"/>
  <c r="Q223"/>
  <c r="R223" s="1"/>
  <c r="U222"/>
  <c r="X222"/>
  <c r="L223"/>
  <c r="J223"/>
  <c r="L227" i="21"/>
  <c r="Z227"/>
  <c r="T227"/>
  <c r="AC227"/>
  <c r="W227"/>
  <c r="Q227"/>
  <c r="J227"/>
  <c r="M229"/>
  <c r="M225" i="2"/>
  <c r="U223" i="21"/>
  <c r="S224"/>
  <c r="AB224"/>
  <c r="AD223"/>
  <c r="P224"/>
  <c r="AI223"/>
  <c r="R223"/>
  <c r="AG223"/>
  <c r="N225" i="2"/>
  <c r="P224"/>
  <c r="S224"/>
  <c r="AB224"/>
  <c r="V224"/>
  <c r="Y224"/>
  <c r="N230" i="21"/>
  <c r="X225"/>
  <c r="V226"/>
  <c r="AA224"/>
  <c r="Y225"/>
  <c r="AG223" i="2"/>
  <c r="AI223"/>
  <c r="AC224" l="1"/>
  <c r="AD224" s="1"/>
  <c r="Z224"/>
  <c r="AA224" s="1"/>
  <c r="T224"/>
  <c r="U224" s="1"/>
  <c r="W224"/>
  <c r="X224" s="1"/>
  <c r="AC225"/>
  <c r="M226"/>
  <c r="L228" i="21"/>
  <c r="Z228"/>
  <c r="T228"/>
  <c r="AC228"/>
  <c r="W228"/>
  <c r="Q228"/>
  <c r="J228"/>
  <c r="Q224" i="2"/>
  <c r="R224" s="1"/>
  <c r="L224"/>
  <c r="J224"/>
  <c r="M230" i="21"/>
  <c r="U224"/>
  <c r="S225"/>
  <c r="AI224"/>
  <c r="P225"/>
  <c r="AG224"/>
  <c r="R224"/>
  <c r="AD224"/>
  <c r="AB225"/>
  <c r="AA225"/>
  <c r="Y226"/>
  <c r="X226"/>
  <c r="V227"/>
  <c r="N231"/>
  <c r="AI224" i="2"/>
  <c r="AG224"/>
  <c r="N226"/>
  <c r="P225"/>
  <c r="Y225"/>
  <c r="V225"/>
  <c r="AB225"/>
  <c r="S225"/>
  <c r="T225" l="1"/>
  <c r="T226" s="1"/>
  <c r="AD225"/>
  <c r="Q225"/>
  <c r="R225" s="1"/>
  <c r="M231" i="21"/>
  <c r="AC226" i="2"/>
  <c r="M227"/>
  <c r="W225"/>
  <c r="Z225"/>
  <c r="AA225" s="1"/>
  <c r="L229" i="21"/>
  <c r="Z229"/>
  <c r="T229"/>
  <c r="AC229"/>
  <c r="W229"/>
  <c r="Q229"/>
  <c r="J229"/>
  <c r="L225" i="2"/>
  <c r="J225"/>
  <c r="U225" i="21"/>
  <c r="S226"/>
  <c r="AD225"/>
  <c r="AB226"/>
  <c r="AI225"/>
  <c r="R225"/>
  <c r="AG225"/>
  <c r="P226"/>
  <c r="N232"/>
  <c r="X227"/>
  <c r="V228"/>
  <c r="AA226"/>
  <c r="Y227"/>
  <c r="AG225" i="2"/>
  <c r="AI225"/>
  <c r="S226"/>
  <c r="AB226"/>
  <c r="V226"/>
  <c r="Y226"/>
  <c r="N227"/>
  <c r="P226"/>
  <c r="U225" l="1"/>
  <c r="U226"/>
  <c r="AD226"/>
  <c r="W226"/>
  <c r="X226" s="1"/>
  <c r="X225"/>
  <c r="M228"/>
  <c r="L230" i="21"/>
  <c r="Z230"/>
  <c r="T230"/>
  <c r="AC230"/>
  <c r="W230"/>
  <c r="Q230"/>
  <c r="J230"/>
  <c r="Z226" i="2"/>
  <c r="Z227" s="1"/>
  <c r="Q226"/>
  <c r="Q227" s="1"/>
  <c r="L226"/>
  <c r="J226"/>
  <c r="M232" i="21"/>
  <c r="T227" i="2"/>
  <c r="U226" i="21"/>
  <c r="S227"/>
  <c r="AI226"/>
  <c r="P227"/>
  <c r="AG226"/>
  <c r="R226"/>
  <c r="AB227"/>
  <c r="AD226"/>
  <c r="P227" i="2"/>
  <c r="Y227"/>
  <c r="V227"/>
  <c r="AB227"/>
  <c r="S227"/>
  <c r="N228"/>
  <c r="X228" i="21"/>
  <c r="V229"/>
  <c r="N233"/>
  <c r="AI226" i="2"/>
  <c r="AG226"/>
  <c r="AA227" i="21"/>
  <c r="Y228"/>
  <c r="AA227" i="2" l="1"/>
  <c r="W227"/>
  <c r="X227" s="1"/>
  <c r="AA226"/>
  <c r="R226"/>
  <c r="U227"/>
  <c r="M233" i="21"/>
  <c r="L227" i="2"/>
  <c r="J227"/>
  <c r="AC227"/>
  <c r="AD227" s="1"/>
  <c r="L231" i="21"/>
  <c r="Z231"/>
  <c r="T231"/>
  <c r="AC231"/>
  <c r="W231"/>
  <c r="Q231"/>
  <c r="J231"/>
  <c r="Q228" i="2"/>
  <c r="M229"/>
  <c r="U227" i="21"/>
  <c r="S228"/>
  <c r="AB228"/>
  <c r="AD227"/>
  <c r="R227"/>
  <c r="P228"/>
  <c r="AG227"/>
  <c r="AI227"/>
  <c r="AA228"/>
  <c r="Y229"/>
  <c r="R227" i="2"/>
  <c r="AI227"/>
  <c r="AG227"/>
  <c r="N234" i="21"/>
  <c r="X229"/>
  <c r="V230"/>
  <c r="N229" i="2"/>
  <c r="P228"/>
  <c r="S228"/>
  <c r="AB228"/>
  <c r="V228"/>
  <c r="Y228"/>
  <c r="Q229" l="1"/>
  <c r="M230"/>
  <c r="M234" i="21"/>
  <c r="T228" i="2"/>
  <c r="T229" s="1"/>
  <c r="AC228"/>
  <c r="AD228" s="1"/>
  <c r="W228"/>
  <c r="W229" s="1"/>
  <c r="Z228"/>
  <c r="AA228" s="1"/>
  <c r="L228"/>
  <c r="J228"/>
  <c r="L232" i="21"/>
  <c r="Z232"/>
  <c r="T232"/>
  <c r="AC232"/>
  <c r="W232"/>
  <c r="Q232"/>
  <c r="J232"/>
  <c r="U228"/>
  <c r="S229"/>
  <c r="AB229"/>
  <c r="AD228"/>
  <c r="AG228"/>
  <c r="R228"/>
  <c r="AI228"/>
  <c r="P229"/>
  <c r="AG228" i="2"/>
  <c r="R228"/>
  <c r="AI228"/>
  <c r="X230" i="21"/>
  <c r="V231"/>
  <c r="N235"/>
  <c r="P229" i="2"/>
  <c r="N230"/>
  <c r="V229"/>
  <c r="AB229"/>
  <c r="Y229"/>
  <c r="S229"/>
  <c r="U229" s="1"/>
  <c r="AA229" i="21"/>
  <c r="Y230"/>
  <c r="X229" i="2" l="1"/>
  <c r="U228"/>
  <c r="X228"/>
  <c r="L233" i="21"/>
  <c r="Z233"/>
  <c r="T233"/>
  <c r="AC233"/>
  <c r="W233"/>
  <c r="Q233"/>
  <c r="J233"/>
  <c r="M231" i="2"/>
  <c r="Z229"/>
  <c r="Z230" s="1"/>
  <c r="AC229"/>
  <c r="M235" i="21"/>
  <c r="L229" i="2"/>
  <c r="J229"/>
  <c r="W230"/>
  <c r="T230"/>
  <c r="U229" i="21"/>
  <c r="S230"/>
  <c r="AD229"/>
  <c r="AB230"/>
  <c r="AG229"/>
  <c r="AI229"/>
  <c r="R229"/>
  <c r="P230"/>
  <c r="AA230"/>
  <c r="Y231"/>
  <c r="N231" i="2"/>
  <c r="P230"/>
  <c r="AB230"/>
  <c r="V230"/>
  <c r="S230"/>
  <c r="Y230"/>
  <c r="AA230" s="1"/>
  <c r="N236" i="21"/>
  <c r="X231"/>
  <c r="V232"/>
  <c r="AG229" i="2"/>
  <c r="AI229"/>
  <c r="R229"/>
  <c r="X230" l="1"/>
  <c r="AC230"/>
  <c r="AD230" s="1"/>
  <c r="U230"/>
  <c r="AA229"/>
  <c r="AD229"/>
  <c r="L234" i="21"/>
  <c r="Z234"/>
  <c r="T234"/>
  <c r="AC234"/>
  <c r="W234"/>
  <c r="Q234"/>
  <c r="J234"/>
  <c r="M232" i="2"/>
  <c r="M236" i="21"/>
  <c r="L230" i="2"/>
  <c r="J230"/>
  <c r="W231"/>
  <c r="Z231"/>
  <c r="Q230"/>
  <c r="Q231" s="1"/>
  <c r="T231"/>
  <c r="U230" i="21"/>
  <c r="S231"/>
  <c r="AG230"/>
  <c r="R230"/>
  <c r="AI230"/>
  <c r="P231"/>
  <c r="AD230"/>
  <c r="AB231"/>
  <c r="N237"/>
  <c r="N232" i="2"/>
  <c r="P231"/>
  <c r="Y231"/>
  <c r="AA231" s="1"/>
  <c r="S231"/>
  <c r="V231"/>
  <c r="AB231"/>
  <c r="X232" i="21"/>
  <c r="V233"/>
  <c r="AI230" i="2"/>
  <c r="AG230"/>
  <c r="AA231" i="21"/>
  <c r="Y232"/>
  <c r="AC231" i="2" l="1"/>
  <c r="AD231" s="1"/>
  <c r="U231"/>
  <c r="R230"/>
  <c r="X231"/>
  <c r="M237" i="21"/>
  <c r="M233" i="2"/>
  <c r="AC235" i="21"/>
  <c r="W235"/>
  <c r="Q235"/>
  <c r="L235"/>
  <c r="Z235"/>
  <c r="T235"/>
  <c r="J235"/>
  <c r="L231" i="2"/>
  <c r="J231"/>
  <c r="Q232"/>
  <c r="W232"/>
  <c r="T232"/>
  <c r="Z232"/>
  <c r="U231" i="21"/>
  <c r="S232"/>
  <c r="AB232"/>
  <c r="AD231"/>
  <c r="R231"/>
  <c r="P232"/>
  <c r="AI231"/>
  <c r="AG231"/>
  <c r="AA232"/>
  <c r="Y233"/>
  <c r="N233" i="2"/>
  <c r="AB232"/>
  <c r="V232"/>
  <c r="S232"/>
  <c r="Y232"/>
  <c r="P232"/>
  <c r="N238" i="21"/>
  <c r="X233"/>
  <c r="V234"/>
  <c r="AG231" i="2"/>
  <c r="R231"/>
  <c r="AI231"/>
  <c r="X232" l="1"/>
  <c r="U232"/>
  <c r="AC232"/>
  <c r="AD232" s="1"/>
  <c r="AA232"/>
  <c r="Z233"/>
  <c r="M234"/>
  <c r="AC236" i="21"/>
  <c r="W236"/>
  <c r="Q236"/>
  <c r="L236"/>
  <c r="Z236"/>
  <c r="T236"/>
  <c r="J236"/>
  <c r="L232" i="2"/>
  <c r="J232"/>
  <c r="M238" i="21"/>
  <c r="T233" i="2"/>
  <c r="U232" i="21"/>
  <c r="S233"/>
  <c r="AB233"/>
  <c r="AD232"/>
  <c r="AG232"/>
  <c r="R232"/>
  <c r="AI232"/>
  <c r="P233"/>
  <c r="X234"/>
  <c r="V235"/>
  <c r="N239"/>
  <c r="N234" i="2"/>
  <c r="P233"/>
  <c r="S233"/>
  <c r="Y233"/>
  <c r="V233"/>
  <c r="AB233"/>
  <c r="AI232"/>
  <c r="R232"/>
  <c r="AG232"/>
  <c r="AA233" i="21"/>
  <c r="Y234"/>
  <c r="AA233" i="2" l="1"/>
  <c r="W233"/>
  <c r="W234" s="1"/>
  <c r="Q233"/>
  <c r="R233" s="1"/>
  <c r="AC233"/>
  <c r="AD233" s="1"/>
  <c r="U233"/>
  <c r="L233"/>
  <c r="J233"/>
  <c r="M239" i="21"/>
  <c r="AC237"/>
  <c r="W237"/>
  <c r="Q237"/>
  <c r="L237"/>
  <c r="Z237"/>
  <c r="T237"/>
  <c r="J237"/>
  <c r="M235" i="2"/>
  <c r="U233" i="21"/>
  <c r="S234"/>
  <c r="AD233"/>
  <c r="AB234"/>
  <c r="P234"/>
  <c r="AG233"/>
  <c r="AI233"/>
  <c r="R233"/>
  <c r="AA234"/>
  <c r="Y235"/>
  <c r="N235" i="2"/>
  <c r="P234"/>
  <c r="AB234"/>
  <c r="V234"/>
  <c r="Y234"/>
  <c r="S234"/>
  <c r="N240" i="21"/>
  <c r="AI233" i="2"/>
  <c r="AG233"/>
  <c r="X235" i="21"/>
  <c r="V236"/>
  <c r="X233" i="2" l="1"/>
  <c r="X234"/>
  <c r="Z234"/>
  <c r="T234"/>
  <c r="U234" s="1"/>
  <c r="AA234"/>
  <c r="Q234"/>
  <c r="R234" s="1"/>
  <c r="W235"/>
  <c r="M236"/>
  <c r="AC238" i="21"/>
  <c r="W238"/>
  <c r="Q238"/>
  <c r="L238"/>
  <c r="Z238"/>
  <c r="T238"/>
  <c r="J238"/>
  <c r="AC234" i="2"/>
  <c r="AD234" s="1"/>
  <c r="L234"/>
  <c r="J234"/>
  <c r="M240" i="21"/>
  <c r="T235" i="2"/>
  <c r="U234" i="21"/>
  <c r="S235"/>
  <c r="R234"/>
  <c r="P235"/>
  <c r="AG234"/>
  <c r="AI234"/>
  <c r="AB235"/>
  <c r="AD234"/>
  <c r="X236"/>
  <c r="V237"/>
  <c r="N236" i="2"/>
  <c r="P235"/>
  <c r="V235"/>
  <c r="X235" s="1"/>
  <c r="AB235"/>
  <c r="S235"/>
  <c r="Y235"/>
  <c r="N241" i="21"/>
  <c r="AG234" i="2"/>
  <c r="AI234"/>
  <c r="AA235" i="21"/>
  <c r="Y236"/>
  <c r="U235" i="2" l="1"/>
  <c r="AC235"/>
  <c r="AD235" s="1"/>
  <c r="AC239" i="21"/>
  <c r="W239"/>
  <c r="Q239"/>
  <c r="L239"/>
  <c r="Z239"/>
  <c r="T239"/>
  <c r="J239"/>
  <c r="T236" i="2"/>
  <c r="M237"/>
  <c r="Z235"/>
  <c r="Q235"/>
  <c r="Q236" s="1"/>
  <c r="M241" i="21"/>
  <c r="L235" i="2"/>
  <c r="J235"/>
  <c r="U235" i="21"/>
  <c r="S236"/>
  <c r="AB236"/>
  <c r="AD235"/>
  <c r="AI235"/>
  <c r="AG235"/>
  <c r="P236"/>
  <c r="R235"/>
  <c r="AG235" i="2"/>
  <c r="AI235"/>
  <c r="R235"/>
  <c r="X237" i="21"/>
  <c r="V238"/>
  <c r="AA236"/>
  <c r="Y237"/>
  <c r="N242"/>
  <c r="N237" i="2"/>
  <c r="P236"/>
  <c r="Y236"/>
  <c r="S236"/>
  <c r="AB236"/>
  <c r="V236"/>
  <c r="AC236" l="1"/>
  <c r="AC237" s="1"/>
  <c r="U236"/>
  <c r="Z236"/>
  <c r="AA236" s="1"/>
  <c r="AA235"/>
  <c r="M242" i="21"/>
  <c r="L236" i="2"/>
  <c r="J236"/>
  <c r="W236"/>
  <c r="X236" s="1"/>
  <c r="AC240" i="21"/>
  <c r="W240"/>
  <c r="Q240"/>
  <c r="L240"/>
  <c r="Z240"/>
  <c r="T240"/>
  <c r="J240"/>
  <c r="M238" i="2"/>
  <c r="T237"/>
  <c r="U236" i="21"/>
  <c r="S237"/>
  <c r="AI236"/>
  <c r="P237"/>
  <c r="AG236"/>
  <c r="R236"/>
  <c r="AB237"/>
  <c r="AD236"/>
  <c r="AI236" i="2"/>
  <c r="R236"/>
  <c r="AG236"/>
  <c r="AA237" i="21"/>
  <c r="Y238"/>
  <c r="X238"/>
  <c r="V239"/>
  <c r="P237" i="2"/>
  <c r="V237"/>
  <c r="AB237"/>
  <c r="S237"/>
  <c r="Y237"/>
  <c r="N238"/>
  <c r="N243" i="21"/>
  <c r="U237" i="2" l="1"/>
  <c r="AD236"/>
  <c r="AD237"/>
  <c r="Z237"/>
  <c r="AA237" s="1"/>
  <c r="L237"/>
  <c r="J237"/>
  <c r="AC241" i="21"/>
  <c r="W241"/>
  <c r="Q241"/>
  <c r="L241"/>
  <c r="Z241"/>
  <c r="T241"/>
  <c r="J241"/>
  <c r="W237" i="2"/>
  <c r="X237" s="1"/>
  <c r="Q237"/>
  <c r="T238"/>
  <c r="M239"/>
  <c r="M243" i="21"/>
  <c r="U237"/>
  <c r="S238"/>
  <c r="AD237"/>
  <c r="AB238"/>
  <c r="AI237"/>
  <c r="AG237"/>
  <c r="R237"/>
  <c r="P238"/>
  <c r="N244"/>
  <c r="Y238" i="2"/>
  <c r="S238"/>
  <c r="AB238"/>
  <c r="V238"/>
  <c r="N239"/>
  <c r="P238"/>
  <c r="X239" i="21"/>
  <c r="V240"/>
  <c r="AA238"/>
  <c r="Y239"/>
  <c r="AG237" i="2"/>
  <c r="AI237"/>
  <c r="Z238" l="1"/>
  <c r="AA238" s="1"/>
  <c r="U238"/>
  <c r="Q238"/>
  <c r="R238" s="1"/>
  <c r="R237"/>
  <c r="M244" i="21"/>
  <c r="M240" i="2"/>
  <c r="Q239"/>
  <c r="AC242" i="21"/>
  <c r="W242"/>
  <c r="Q242"/>
  <c r="L242"/>
  <c r="Z242"/>
  <c r="T242"/>
  <c r="J242"/>
  <c r="L238" i="2"/>
  <c r="J238"/>
  <c r="W238"/>
  <c r="W239" s="1"/>
  <c r="AC238"/>
  <c r="U238" i="21"/>
  <c r="S239"/>
  <c r="AG238"/>
  <c r="R238"/>
  <c r="AI238"/>
  <c r="P239"/>
  <c r="AD238"/>
  <c r="AB239"/>
  <c r="AA239"/>
  <c r="Y240"/>
  <c r="X240"/>
  <c r="V241"/>
  <c r="N240" i="2"/>
  <c r="P239"/>
  <c r="V239"/>
  <c r="X239" s="1"/>
  <c r="AB239"/>
  <c r="S239"/>
  <c r="Y239"/>
  <c r="N245" i="21"/>
  <c r="AI238" i="2"/>
  <c r="AG238"/>
  <c r="AC239" l="1"/>
  <c r="AD239" s="1"/>
  <c r="Z239"/>
  <c r="AA239" s="1"/>
  <c r="T239"/>
  <c r="AD238"/>
  <c r="U239"/>
  <c r="X238"/>
  <c r="Q240"/>
  <c r="M241"/>
  <c r="AC243" i="21"/>
  <c r="W243"/>
  <c r="Q243"/>
  <c r="L243"/>
  <c r="Z243"/>
  <c r="T243"/>
  <c r="J243"/>
  <c r="L239" i="2"/>
  <c r="J239"/>
  <c r="M245" i="21"/>
  <c r="U239"/>
  <c r="S240"/>
  <c r="AB240"/>
  <c r="AD239"/>
  <c r="P240"/>
  <c r="AG239"/>
  <c r="R239"/>
  <c r="AI239"/>
  <c r="AI239" i="2"/>
  <c r="R239"/>
  <c r="AG239"/>
  <c r="AA240" i="21"/>
  <c r="Y241"/>
  <c r="N246"/>
  <c r="N241" i="2"/>
  <c r="P240"/>
  <c r="Y240"/>
  <c r="S240"/>
  <c r="AB240"/>
  <c r="V240"/>
  <c r="X241" i="21"/>
  <c r="V242"/>
  <c r="T240" i="2" l="1"/>
  <c r="U240" s="1"/>
  <c r="AC240"/>
  <c r="AD240" s="1"/>
  <c r="AC244" i="21"/>
  <c r="W244"/>
  <c r="Q244"/>
  <c r="L244"/>
  <c r="Z244"/>
  <c r="T244"/>
  <c r="J244"/>
  <c r="M242" i="2"/>
  <c r="Z240"/>
  <c r="Z241" s="1"/>
  <c r="W240"/>
  <c r="W241" s="1"/>
  <c r="M246" i="21"/>
  <c r="L240" i="2"/>
  <c r="J240"/>
  <c r="U240" i="21"/>
  <c r="S241"/>
  <c r="AG240"/>
  <c r="R240"/>
  <c r="AI240"/>
  <c r="P241"/>
  <c r="AD240"/>
  <c r="AB241"/>
  <c r="N242" i="2"/>
  <c r="V241"/>
  <c r="S241"/>
  <c r="Y241"/>
  <c r="AA241" s="1"/>
  <c r="P241"/>
  <c r="AB241"/>
  <c r="N247" i="21"/>
  <c r="X242"/>
  <c r="V243"/>
  <c r="AI240" i="2"/>
  <c r="AG240"/>
  <c r="R240"/>
  <c r="AA241" i="21"/>
  <c r="Y242"/>
  <c r="X241" i="2" l="1"/>
  <c r="T241"/>
  <c r="U241" s="1"/>
  <c r="AC241"/>
  <c r="AC242" s="1"/>
  <c r="X240"/>
  <c r="AA240"/>
  <c r="M247" i="21"/>
  <c r="M243" i="2"/>
  <c r="AC245" i="21"/>
  <c r="W245"/>
  <c r="Q245"/>
  <c r="L245"/>
  <c r="Z245"/>
  <c r="T245"/>
  <c r="J245"/>
  <c r="L241" i="2"/>
  <c r="J241"/>
  <c r="W242"/>
  <c r="T242"/>
  <c r="Z242"/>
  <c r="Q241"/>
  <c r="Q242" s="1"/>
  <c r="U241" i="21"/>
  <c r="S242"/>
  <c r="AB242"/>
  <c r="AD241"/>
  <c r="AI241"/>
  <c r="R241"/>
  <c r="AG241"/>
  <c r="P242"/>
  <c r="X243"/>
  <c r="V244"/>
  <c r="AA242"/>
  <c r="Y243"/>
  <c r="N248"/>
  <c r="AI241" i="2"/>
  <c r="AG241"/>
  <c r="N243"/>
  <c r="P242"/>
  <c r="S242"/>
  <c r="AB242"/>
  <c r="AD242" s="1"/>
  <c r="Y242"/>
  <c r="V242"/>
  <c r="X242" s="1"/>
  <c r="AA242" l="1"/>
  <c r="AD241"/>
  <c r="U242"/>
  <c r="R241"/>
  <c r="Q243"/>
  <c r="M244"/>
  <c r="AC246" i="21"/>
  <c r="W246"/>
  <c r="Q246"/>
  <c r="L246"/>
  <c r="Z246"/>
  <c r="T246"/>
  <c r="J246"/>
  <c r="L242" i="2"/>
  <c r="J242"/>
  <c r="M248" i="21"/>
  <c r="Z243" i="2"/>
  <c r="U242" i="21"/>
  <c r="S243"/>
  <c r="AD242"/>
  <c r="AB243"/>
  <c r="AG242"/>
  <c r="AI242"/>
  <c r="P243"/>
  <c r="R242"/>
  <c r="R242" i="2"/>
  <c r="AG242"/>
  <c r="AI242"/>
  <c r="N249" i="21"/>
  <c r="AB243" i="2"/>
  <c r="V243"/>
  <c r="Y243"/>
  <c r="N244"/>
  <c r="P243"/>
  <c r="S243"/>
  <c r="AA243" i="21"/>
  <c r="Y244"/>
  <c r="X244"/>
  <c r="V245"/>
  <c r="AA243" i="2" l="1"/>
  <c r="T243"/>
  <c r="U243" s="1"/>
  <c r="W243"/>
  <c r="X243" s="1"/>
  <c r="AC243"/>
  <c r="AD243" s="1"/>
  <c r="L243"/>
  <c r="J243"/>
  <c r="M249" i="21"/>
  <c r="AC247"/>
  <c r="W247"/>
  <c r="Q247"/>
  <c r="L247"/>
  <c r="Z247"/>
  <c r="T247"/>
  <c r="J247"/>
  <c r="M245" i="2"/>
  <c r="U243" i="21"/>
  <c r="S244"/>
  <c r="AG243"/>
  <c r="P244"/>
  <c r="AI243"/>
  <c r="R243"/>
  <c r="AB244"/>
  <c r="AD243"/>
  <c r="X245"/>
  <c r="V246"/>
  <c r="AA244"/>
  <c r="Y245"/>
  <c r="N245" i="2"/>
  <c r="S244"/>
  <c r="P244"/>
  <c r="Y244"/>
  <c r="V244"/>
  <c r="AB244"/>
  <c r="AG243"/>
  <c r="AI243"/>
  <c r="R243"/>
  <c r="N250" i="21"/>
  <c r="T244" i="2" l="1"/>
  <c r="U244" s="1"/>
  <c r="M250" i="21"/>
  <c r="M246" i="2"/>
  <c r="AC248" i="21"/>
  <c r="W248"/>
  <c r="Q248"/>
  <c r="L248"/>
  <c r="Z248"/>
  <c r="T248"/>
  <c r="J248"/>
  <c r="Q244" i="2"/>
  <c r="Q245" s="1"/>
  <c r="W244"/>
  <c r="W245" s="1"/>
  <c r="Z244"/>
  <c r="Z245" s="1"/>
  <c r="AC244"/>
  <c r="AC245" s="1"/>
  <c r="L244"/>
  <c r="J244"/>
  <c r="U244" i="21"/>
  <c r="S245"/>
  <c r="AB245"/>
  <c r="AD244"/>
  <c r="AI244"/>
  <c r="P245"/>
  <c r="AG244"/>
  <c r="R244"/>
  <c r="AG244" i="2"/>
  <c r="AI244"/>
  <c r="R244"/>
  <c r="P245"/>
  <c r="AB245"/>
  <c r="V245"/>
  <c r="Y245"/>
  <c r="AA245" s="1"/>
  <c r="S245"/>
  <c r="N246"/>
  <c r="N251" i="21"/>
  <c r="AA245"/>
  <c r="Y246"/>
  <c r="X246"/>
  <c r="V247"/>
  <c r="X245" i="2" l="1"/>
  <c r="AA244"/>
  <c r="AD245"/>
  <c r="X244"/>
  <c r="AD244"/>
  <c r="L245"/>
  <c r="J245"/>
  <c r="M251" i="21"/>
  <c r="T245" i="2"/>
  <c r="U245" s="1"/>
  <c r="M247"/>
  <c r="AC249" i="21"/>
  <c r="W249"/>
  <c r="Q249"/>
  <c r="L249"/>
  <c r="Z249"/>
  <c r="T249"/>
  <c r="J249"/>
  <c r="U245"/>
  <c r="S246"/>
  <c r="AB246"/>
  <c r="AD245"/>
  <c r="AG245"/>
  <c r="P246"/>
  <c r="AI245"/>
  <c r="R245"/>
  <c r="X247"/>
  <c r="V248"/>
  <c r="AA246"/>
  <c r="Y247"/>
  <c r="N252"/>
  <c r="N247" i="2"/>
  <c r="P246"/>
  <c r="Y246"/>
  <c r="AB246"/>
  <c r="S246"/>
  <c r="V246"/>
  <c r="AI245"/>
  <c r="AG245"/>
  <c r="R245"/>
  <c r="L246" l="1"/>
  <c r="J246"/>
  <c r="M252" i="21"/>
  <c r="M248" i="2"/>
  <c r="AC250" i="21"/>
  <c r="W250"/>
  <c r="Q250"/>
  <c r="L250"/>
  <c r="Z250"/>
  <c r="T250"/>
  <c r="J250"/>
  <c r="Q246" i="2"/>
  <c r="Q247" s="1"/>
  <c r="W246"/>
  <c r="W247" s="1"/>
  <c r="T246"/>
  <c r="T247" s="1"/>
  <c r="Z246"/>
  <c r="Z247" s="1"/>
  <c r="AC246"/>
  <c r="AC247" s="1"/>
  <c r="U246" i="21"/>
  <c r="S247"/>
  <c r="AB247"/>
  <c r="AD246"/>
  <c r="R246"/>
  <c r="P247"/>
  <c r="AI246"/>
  <c r="AG246"/>
  <c r="AI246" i="2"/>
  <c r="R246"/>
  <c r="AG246"/>
  <c r="AA247" i="21"/>
  <c r="Y248"/>
  <c r="X248"/>
  <c r="V249"/>
  <c r="AB247" i="2"/>
  <c r="N248"/>
  <c r="P247"/>
  <c r="V247"/>
  <c r="X247" s="1"/>
  <c r="S247"/>
  <c r="U247" s="1"/>
  <c r="Y247"/>
  <c r="N253" i="21"/>
  <c r="AA247" i="2" l="1"/>
  <c r="AD247"/>
  <c r="AD246"/>
  <c r="AA246"/>
  <c r="U246"/>
  <c r="X246"/>
  <c r="L247"/>
  <c r="J247"/>
  <c r="AC251" i="21"/>
  <c r="W251"/>
  <c r="Q251"/>
  <c r="L251"/>
  <c r="Z251"/>
  <c r="T251"/>
  <c r="J251"/>
  <c r="M249" i="2"/>
  <c r="Z248"/>
  <c r="M253" i="21"/>
  <c r="U247"/>
  <c r="S248"/>
  <c r="AD247"/>
  <c r="AB248"/>
  <c r="AI247"/>
  <c r="P248"/>
  <c r="AG247"/>
  <c r="R247"/>
  <c r="N254"/>
  <c r="AI247" i="2"/>
  <c r="AG247"/>
  <c r="R247"/>
  <c r="N249"/>
  <c r="S248"/>
  <c r="V248"/>
  <c r="P248"/>
  <c r="Y248"/>
  <c r="AB248"/>
  <c r="X249" i="21"/>
  <c r="V250"/>
  <c r="AA248"/>
  <c r="Y249"/>
  <c r="T248" i="2" l="1"/>
  <c r="U248" s="1"/>
  <c r="Q248"/>
  <c r="AC248"/>
  <c r="AD248" s="1"/>
  <c r="AA248"/>
  <c r="AC252" i="21"/>
  <c r="W252"/>
  <c r="Q252"/>
  <c r="L252"/>
  <c r="Z252"/>
  <c r="T252"/>
  <c r="J252"/>
  <c r="M254"/>
  <c r="L248" i="2"/>
  <c r="J248"/>
  <c r="W248"/>
  <c r="X248" s="1"/>
  <c r="Q249"/>
  <c r="M250"/>
  <c r="U248" i="21"/>
  <c r="S249"/>
  <c r="AG248"/>
  <c r="R248"/>
  <c r="AI248"/>
  <c r="P249"/>
  <c r="AD248"/>
  <c r="AB249"/>
  <c r="AA249"/>
  <c r="Y250"/>
  <c r="X250"/>
  <c r="V251"/>
  <c r="AG248" i="2"/>
  <c r="AI248"/>
  <c r="R248"/>
  <c r="N255" i="21"/>
  <c r="P249" i="2"/>
  <c r="S249"/>
  <c r="V249"/>
  <c r="N250"/>
  <c r="AB249"/>
  <c r="Y249"/>
  <c r="M255" i="21" l="1"/>
  <c r="L249" i="2"/>
  <c r="J249"/>
  <c r="M251"/>
  <c r="Q250"/>
  <c r="AC253" i="21"/>
  <c r="W253"/>
  <c r="Q253"/>
  <c r="L253"/>
  <c r="Z253"/>
  <c r="T253"/>
  <c r="J253"/>
  <c r="T249" i="2"/>
  <c r="U249" s="1"/>
  <c r="AC249"/>
  <c r="W249"/>
  <c r="X249" s="1"/>
  <c r="Z249"/>
  <c r="U249" i="21"/>
  <c r="S250"/>
  <c r="AB250"/>
  <c r="AD249"/>
  <c r="R249"/>
  <c r="P250"/>
  <c r="AG249"/>
  <c r="AI249"/>
  <c r="R249" i="2"/>
  <c r="AG249"/>
  <c r="AI249"/>
  <c r="N256" i="21"/>
  <c r="X251"/>
  <c r="V252"/>
  <c r="AA250"/>
  <c r="Y251"/>
  <c r="N251" i="2"/>
  <c r="P250"/>
  <c r="V250"/>
  <c r="S250"/>
  <c r="Y250"/>
  <c r="AB250"/>
  <c r="Z250" l="1"/>
  <c r="AA250" s="1"/>
  <c r="AC250"/>
  <c r="AD250" s="1"/>
  <c r="AA249"/>
  <c r="AD249"/>
  <c r="M252"/>
  <c r="AC254" i="21"/>
  <c r="W254"/>
  <c r="Q254"/>
  <c r="L254"/>
  <c r="Z254"/>
  <c r="T254"/>
  <c r="J254"/>
  <c r="W250" i="2"/>
  <c r="T250"/>
  <c r="T251" s="1"/>
  <c r="L250"/>
  <c r="J250"/>
  <c r="M256" i="21"/>
  <c r="U250"/>
  <c r="S251"/>
  <c r="AB251"/>
  <c r="AD250"/>
  <c r="AI250"/>
  <c r="P251"/>
  <c r="AG250"/>
  <c r="R250"/>
  <c r="P251" i="2"/>
  <c r="S251"/>
  <c r="V251"/>
  <c r="N252"/>
  <c r="AB251"/>
  <c r="Y251"/>
  <c r="AG250"/>
  <c r="R250"/>
  <c r="AI250"/>
  <c r="AA251" i="21"/>
  <c r="Y252"/>
  <c r="X252"/>
  <c r="V253"/>
  <c r="N257"/>
  <c r="AC251" i="2" l="1"/>
  <c r="AD251" s="1"/>
  <c r="U251"/>
  <c r="Z251"/>
  <c r="AA251" s="1"/>
  <c r="W251"/>
  <c r="X251" s="1"/>
  <c r="U250"/>
  <c r="X250"/>
  <c r="M257" i="21"/>
  <c r="L251" i="2"/>
  <c r="J251"/>
  <c r="Q251"/>
  <c r="AC255" i="21"/>
  <c r="W255"/>
  <c r="Q255"/>
  <c r="L255"/>
  <c r="Z255"/>
  <c r="T255"/>
  <c r="J255"/>
  <c r="M253" i="2"/>
  <c r="U251" i="21"/>
  <c r="S252"/>
  <c r="AD251"/>
  <c r="AB252"/>
  <c r="AI251"/>
  <c r="AG251"/>
  <c r="R251"/>
  <c r="P252"/>
  <c r="N258"/>
  <c r="N253" i="2"/>
  <c r="P252"/>
  <c r="Y252"/>
  <c r="V252"/>
  <c r="S252"/>
  <c r="AB252"/>
  <c r="X253" i="21"/>
  <c r="V254"/>
  <c r="AA252"/>
  <c r="Y253"/>
  <c r="R251" i="2"/>
  <c r="AI251"/>
  <c r="AG251"/>
  <c r="W252" l="1"/>
  <c r="W253" s="1"/>
  <c r="Z252"/>
  <c r="Z253" s="1"/>
  <c r="X252"/>
  <c r="M254"/>
  <c r="L252"/>
  <c r="J252"/>
  <c r="AC256" i="21"/>
  <c r="W256"/>
  <c r="Q256"/>
  <c r="L256"/>
  <c r="Z256"/>
  <c r="T256"/>
  <c r="J256"/>
  <c r="Q252" i="2"/>
  <c r="Q253" s="1"/>
  <c r="T252"/>
  <c r="T253" s="1"/>
  <c r="M258" i="21"/>
  <c r="AC252" i="2"/>
  <c r="AC253" s="1"/>
  <c r="U252" i="21"/>
  <c r="S253"/>
  <c r="R252"/>
  <c r="AI252"/>
  <c r="P253"/>
  <c r="AG252"/>
  <c r="AB253"/>
  <c r="AD252"/>
  <c r="AA253"/>
  <c r="Y254"/>
  <c r="X254"/>
  <c r="V255"/>
  <c r="R252" i="2"/>
  <c r="AI252"/>
  <c r="AG252"/>
  <c r="N259" i="21"/>
  <c r="N254" i="2"/>
  <c r="P253"/>
  <c r="AB253"/>
  <c r="S253"/>
  <c r="V253"/>
  <c r="Y253"/>
  <c r="X253" l="1"/>
  <c r="AA252"/>
  <c r="AD253"/>
  <c r="AA253"/>
  <c r="U253"/>
  <c r="U252"/>
  <c r="AD252"/>
  <c r="M259" i="21"/>
  <c r="M255" i="2"/>
  <c r="AC254"/>
  <c r="L257" i="21"/>
  <c r="AC257"/>
  <c r="W257"/>
  <c r="Q257"/>
  <c r="Z257"/>
  <c r="T257"/>
  <c r="J257"/>
  <c r="L253" i="2"/>
  <c r="J253"/>
  <c r="U253" i="21"/>
  <c r="S254"/>
  <c r="AD253"/>
  <c r="AB254"/>
  <c r="AG253"/>
  <c r="P254"/>
  <c r="R253"/>
  <c r="AI253"/>
  <c r="X255"/>
  <c r="V256"/>
  <c r="AA254"/>
  <c r="Y255"/>
  <c r="AG253" i="2"/>
  <c r="R253"/>
  <c r="AI253"/>
  <c r="N260" i="21"/>
  <c r="V254" i="2"/>
  <c r="N255"/>
  <c r="P254"/>
  <c r="Y254"/>
  <c r="S254"/>
  <c r="AB254"/>
  <c r="AD254" l="1"/>
  <c r="W254"/>
  <c r="X254" s="1"/>
  <c r="Z254"/>
  <c r="AA254" s="1"/>
  <c r="Q254"/>
  <c r="R254" s="1"/>
  <c r="AC255"/>
  <c r="M256"/>
  <c r="L258" i="21"/>
  <c r="Z258"/>
  <c r="T258"/>
  <c r="AC258"/>
  <c r="W258"/>
  <c r="Q258"/>
  <c r="J258"/>
  <c r="T254" i="2"/>
  <c r="U254" s="1"/>
  <c r="L254"/>
  <c r="J254"/>
  <c r="M260" i="21"/>
  <c r="W255" i="2"/>
  <c r="U254" i="21"/>
  <c r="S255"/>
  <c r="AG254"/>
  <c r="P255"/>
  <c r="AI254"/>
  <c r="R254"/>
  <c r="AB255"/>
  <c r="AD254"/>
  <c r="N261"/>
  <c r="N256" i="2"/>
  <c r="AB255"/>
  <c r="AD255" s="1"/>
  <c r="V255"/>
  <c r="P255"/>
  <c r="S255"/>
  <c r="Y255"/>
  <c r="AI254"/>
  <c r="AG254"/>
  <c r="AA255" i="21"/>
  <c r="Y256"/>
  <c r="X256"/>
  <c r="V257"/>
  <c r="X255" i="2" l="1"/>
  <c r="Q255"/>
  <c r="Z255"/>
  <c r="AA255" s="1"/>
  <c r="L259" i="21"/>
  <c r="Z259"/>
  <c r="T259"/>
  <c r="AC259"/>
  <c r="W259"/>
  <c r="Q259"/>
  <c r="J259"/>
  <c r="M257" i="2"/>
  <c r="T255"/>
  <c r="M261" i="21"/>
  <c r="L255" i="2"/>
  <c r="J255"/>
  <c r="W256"/>
  <c r="U255" i="21"/>
  <c r="S256"/>
  <c r="AB256"/>
  <c r="AD255"/>
  <c r="AG255"/>
  <c r="P256"/>
  <c r="R255"/>
  <c r="AI255"/>
  <c r="AI255" i="2"/>
  <c r="R255"/>
  <c r="AG255"/>
  <c r="X257" i="21"/>
  <c r="V258"/>
  <c r="AA256"/>
  <c r="Y257"/>
  <c r="N257" i="2"/>
  <c r="P256"/>
  <c r="Y256"/>
  <c r="S256"/>
  <c r="V256"/>
  <c r="X256" s="1"/>
  <c r="AB256"/>
  <c r="N262" i="21"/>
  <c r="T256" i="2" l="1"/>
  <c r="U256" s="1"/>
  <c r="U255"/>
  <c r="L260" i="21"/>
  <c r="Z260"/>
  <c r="T260"/>
  <c r="AC260"/>
  <c r="W260"/>
  <c r="Q260"/>
  <c r="J260"/>
  <c r="L256" i="2"/>
  <c r="J256"/>
  <c r="M262" i="21"/>
  <c r="M258" i="2"/>
  <c r="Q256"/>
  <c r="Z256"/>
  <c r="AA256" s="1"/>
  <c r="AC256"/>
  <c r="AD256" s="1"/>
  <c r="U256" i="21"/>
  <c r="S257"/>
  <c r="AB257"/>
  <c r="AD256"/>
  <c r="R256"/>
  <c r="AG256"/>
  <c r="P257"/>
  <c r="AI256"/>
  <c r="N263"/>
  <c r="R256" i="2"/>
  <c r="AI256"/>
  <c r="AG256"/>
  <c r="AA257" i="21"/>
  <c r="Y258"/>
  <c r="X258"/>
  <c r="V259"/>
  <c r="N258" i="2"/>
  <c r="P257"/>
  <c r="AB257"/>
  <c r="V257"/>
  <c r="S257"/>
  <c r="Y257"/>
  <c r="AC257" l="1"/>
  <c r="AD257" s="1"/>
  <c r="Q257"/>
  <c r="Q258" s="1"/>
  <c r="L257"/>
  <c r="J257"/>
  <c r="L261" i="21"/>
  <c r="Z261"/>
  <c r="T261"/>
  <c r="AC261"/>
  <c r="W261"/>
  <c r="Q261"/>
  <c r="J261"/>
  <c r="M259" i="2"/>
  <c r="M263" i="21"/>
  <c r="W257" i="2"/>
  <c r="X257" s="1"/>
  <c r="Z257"/>
  <c r="T257"/>
  <c r="U257" s="1"/>
  <c r="U257" i="21"/>
  <c r="S258"/>
  <c r="AI257"/>
  <c r="AG257"/>
  <c r="R257"/>
  <c r="P258"/>
  <c r="AD257"/>
  <c r="AB258"/>
  <c r="AI257" i="2"/>
  <c r="AG257"/>
  <c r="X259" i="21"/>
  <c r="V260"/>
  <c r="AA258"/>
  <c r="Y259"/>
  <c r="N264"/>
  <c r="N259" i="2"/>
  <c r="P258"/>
  <c r="Y258"/>
  <c r="S258"/>
  <c r="V258"/>
  <c r="AB258"/>
  <c r="R257" l="1"/>
  <c r="Z258"/>
  <c r="AA258" s="1"/>
  <c r="AA257"/>
  <c r="AC262" i="21"/>
  <c r="W262"/>
  <c r="Q262"/>
  <c r="L262"/>
  <c r="Z262"/>
  <c r="T262"/>
  <c r="J262"/>
  <c r="L258" i="2"/>
  <c r="J258"/>
  <c r="M264" i="21"/>
  <c r="M260" i="2"/>
  <c r="T258"/>
  <c r="U258" s="1"/>
  <c r="W258"/>
  <c r="AC258"/>
  <c r="AD258" s="1"/>
  <c r="U258" i="21"/>
  <c r="S259"/>
  <c r="AD258"/>
  <c r="AB259"/>
  <c r="AI258"/>
  <c r="R258"/>
  <c r="AG258"/>
  <c r="P259"/>
  <c r="N260" i="2"/>
  <c r="P259"/>
  <c r="AB259"/>
  <c r="V259"/>
  <c r="S259"/>
  <c r="Y259"/>
  <c r="AG258"/>
  <c r="AI258"/>
  <c r="R258"/>
  <c r="AA259" i="21"/>
  <c r="Y260"/>
  <c r="X260"/>
  <c r="V261"/>
  <c r="N265"/>
  <c r="W259" i="2" l="1"/>
  <c r="W260" s="1"/>
  <c r="X258"/>
  <c r="X259"/>
  <c r="L259"/>
  <c r="J259"/>
  <c r="M265" i="21"/>
  <c r="M261" i="2"/>
  <c r="L263" i="21"/>
  <c r="Z263"/>
  <c r="T263"/>
  <c r="AC263"/>
  <c r="W263"/>
  <c r="Q263"/>
  <c r="J263"/>
  <c r="Q259" i="2"/>
  <c r="AC259"/>
  <c r="T259"/>
  <c r="Z259"/>
  <c r="U259" i="21"/>
  <c r="S260"/>
  <c r="AI259"/>
  <c r="AG259"/>
  <c r="R259"/>
  <c r="P260"/>
  <c r="AD259"/>
  <c r="AB260"/>
  <c r="N266"/>
  <c r="AG259" i="2"/>
  <c r="R259"/>
  <c r="AI259"/>
  <c r="X261" i="21"/>
  <c r="V262"/>
  <c r="AA260"/>
  <c r="Y261"/>
  <c r="N261" i="2"/>
  <c r="P260"/>
  <c r="Y260"/>
  <c r="S260"/>
  <c r="V260"/>
  <c r="AB260"/>
  <c r="T260" l="1"/>
  <c r="U260" s="1"/>
  <c r="Q260"/>
  <c r="Q261" s="1"/>
  <c r="X260"/>
  <c r="Z260"/>
  <c r="AA260" s="1"/>
  <c r="AC260"/>
  <c r="AD260" s="1"/>
  <c r="AD259"/>
  <c r="AA259"/>
  <c r="U259"/>
  <c r="L260"/>
  <c r="J260"/>
  <c r="L264" i="21"/>
  <c r="Z264"/>
  <c r="T264"/>
  <c r="AC264"/>
  <c r="W264"/>
  <c r="Q264"/>
  <c r="J264"/>
  <c r="M262" i="2"/>
  <c r="M266" i="21"/>
  <c r="U260"/>
  <c r="S261"/>
  <c r="AD260"/>
  <c r="AB261"/>
  <c r="AG260"/>
  <c r="AI260"/>
  <c r="R260"/>
  <c r="P261"/>
  <c r="AG260" i="2"/>
  <c r="AI260"/>
  <c r="AA261" i="21"/>
  <c r="Y262"/>
  <c r="X262"/>
  <c r="V263"/>
  <c r="N262" i="2"/>
  <c r="P261"/>
  <c r="AB261"/>
  <c r="V261"/>
  <c r="S261"/>
  <c r="Y261"/>
  <c r="N267" i="21"/>
  <c r="R260" i="2" l="1"/>
  <c r="Z261"/>
  <c r="AA261" s="1"/>
  <c r="W261"/>
  <c r="X261" s="1"/>
  <c r="M267" i="21"/>
  <c r="Q262" i="2"/>
  <c r="M263"/>
  <c r="AC261"/>
  <c r="L265" i="21"/>
  <c r="Z265"/>
  <c r="T265"/>
  <c r="AC265"/>
  <c r="W265"/>
  <c r="Q265"/>
  <c r="J265"/>
  <c r="L261" i="2"/>
  <c r="J261"/>
  <c r="T261"/>
  <c r="U261" i="21"/>
  <c r="S262"/>
  <c r="AI261"/>
  <c r="AG261"/>
  <c r="R261"/>
  <c r="P262"/>
  <c r="AD261"/>
  <c r="AB262"/>
  <c r="AI261" i="2"/>
  <c r="AG261"/>
  <c r="R261"/>
  <c r="X263" i="21"/>
  <c r="V264"/>
  <c r="AA262"/>
  <c r="Y263"/>
  <c r="N268"/>
  <c r="Y262" i="2"/>
  <c r="N263"/>
  <c r="P262"/>
  <c r="S262"/>
  <c r="V262"/>
  <c r="AB262"/>
  <c r="W262" l="1"/>
  <c r="X262" s="1"/>
  <c r="T262"/>
  <c r="U262" s="1"/>
  <c r="AC262"/>
  <c r="AD262" s="1"/>
  <c r="AD261"/>
  <c r="U261"/>
  <c r="Q263"/>
  <c r="M264"/>
  <c r="M268" i="21"/>
  <c r="Z262" i="2"/>
  <c r="Z263" s="1"/>
  <c r="L262"/>
  <c r="J262"/>
  <c r="L266" i="21"/>
  <c r="Z266"/>
  <c r="T266"/>
  <c r="AC266"/>
  <c r="W266"/>
  <c r="Q266"/>
  <c r="J266"/>
  <c r="U262"/>
  <c r="S263"/>
  <c r="AD262"/>
  <c r="AB263"/>
  <c r="R262"/>
  <c r="AG262"/>
  <c r="AI262"/>
  <c r="P263"/>
  <c r="N264" i="2"/>
  <c r="P263"/>
  <c r="AB263"/>
  <c r="V263"/>
  <c r="S263"/>
  <c r="Y263"/>
  <c r="AA263" i="21"/>
  <c r="Y264"/>
  <c r="X264"/>
  <c r="V265"/>
  <c r="R262" i="2"/>
  <c r="AG262"/>
  <c r="AI262"/>
  <c r="N269" i="21"/>
  <c r="AA263" i="2" l="1"/>
  <c r="T263"/>
  <c r="U263" s="1"/>
  <c r="W263"/>
  <c r="X263" s="1"/>
  <c r="AC263"/>
  <c r="AD263" s="1"/>
  <c r="AA262"/>
  <c r="M269" i="21"/>
  <c r="Q264" i="2"/>
  <c r="M265"/>
  <c r="L267" i="21"/>
  <c r="Z267"/>
  <c r="T267"/>
  <c r="AC267"/>
  <c r="W267"/>
  <c r="Q267"/>
  <c r="J267"/>
  <c r="L263" i="2"/>
  <c r="J263"/>
  <c r="U263" i="21"/>
  <c r="S264"/>
  <c r="AI263"/>
  <c r="AG263"/>
  <c r="R263"/>
  <c r="P264"/>
  <c r="AD263"/>
  <c r="AB264"/>
  <c r="N270"/>
  <c r="X265"/>
  <c r="V266"/>
  <c r="P264" i="2"/>
  <c r="N265"/>
  <c r="Y264"/>
  <c r="S264"/>
  <c r="V264"/>
  <c r="AB264"/>
  <c r="AA264" i="21"/>
  <c r="Y265"/>
  <c r="R263" i="2"/>
  <c r="AI263"/>
  <c r="AG263"/>
  <c r="W264" l="1"/>
  <c r="X264" s="1"/>
  <c r="Z264"/>
  <c r="AA264" s="1"/>
  <c r="AC264"/>
  <c r="AD264" s="1"/>
  <c r="M266"/>
  <c r="M270" i="21"/>
  <c r="T264" i="2"/>
  <c r="L264"/>
  <c r="J264"/>
  <c r="L268" i="21"/>
  <c r="Z268"/>
  <c r="T268"/>
  <c r="AC268"/>
  <c r="W268"/>
  <c r="Q268"/>
  <c r="J268"/>
  <c r="U264"/>
  <c r="S265"/>
  <c r="AD264"/>
  <c r="AB265"/>
  <c r="AG264"/>
  <c r="P265"/>
  <c r="AI264"/>
  <c r="R264"/>
  <c r="AA265"/>
  <c r="Y266"/>
  <c r="AG264" i="2"/>
  <c r="AI264"/>
  <c r="R264"/>
  <c r="N271" i="21"/>
  <c r="N266" i="2"/>
  <c r="P265"/>
  <c r="AB265"/>
  <c r="V265"/>
  <c r="S265"/>
  <c r="Y265"/>
  <c r="X266" i="21"/>
  <c r="V267"/>
  <c r="Z265" i="2" l="1"/>
  <c r="Z266" s="1"/>
  <c r="AC265"/>
  <c r="AD265" s="1"/>
  <c r="AA265"/>
  <c r="W265"/>
  <c r="X265" s="1"/>
  <c r="T265"/>
  <c r="U265" s="1"/>
  <c r="U264"/>
  <c r="AC269" i="21"/>
  <c r="W269"/>
  <c r="Q269"/>
  <c r="L269"/>
  <c r="Z269"/>
  <c r="T269"/>
  <c r="J269"/>
  <c r="L265" i="2"/>
  <c r="J265"/>
  <c r="Q265"/>
  <c r="R265" s="1"/>
  <c r="M271" i="21"/>
  <c r="M267" i="2"/>
  <c r="U265" i="21"/>
  <c r="S266"/>
  <c r="R265"/>
  <c r="AI265"/>
  <c r="AG265"/>
  <c r="P266"/>
  <c r="AB266"/>
  <c r="AD265"/>
  <c r="X267"/>
  <c r="V268"/>
  <c r="AG265" i="2"/>
  <c r="AI265"/>
  <c r="N267"/>
  <c r="P266"/>
  <c r="Y266"/>
  <c r="V266"/>
  <c r="AB266"/>
  <c r="S266"/>
  <c r="N272" i="21"/>
  <c r="AA266"/>
  <c r="Y267"/>
  <c r="AA266" i="2" l="1"/>
  <c r="L266"/>
  <c r="J266"/>
  <c r="AC270" i="21"/>
  <c r="W270"/>
  <c r="Q270"/>
  <c r="L270"/>
  <c r="Z270"/>
  <c r="T270"/>
  <c r="J270"/>
  <c r="M268" i="2"/>
  <c r="Z267"/>
  <c r="M272" i="21"/>
  <c r="AC266" i="2"/>
  <c r="T266"/>
  <c r="Q266"/>
  <c r="R266" s="1"/>
  <c r="W266"/>
  <c r="U266" i="21"/>
  <c r="S267"/>
  <c r="AD266"/>
  <c r="AB267"/>
  <c r="AG266"/>
  <c r="AI266"/>
  <c r="R266"/>
  <c r="P267"/>
  <c r="AA267"/>
  <c r="Y268"/>
  <c r="N273"/>
  <c r="AI266" i="2"/>
  <c r="AG266"/>
  <c r="S267"/>
  <c r="N268"/>
  <c r="P267"/>
  <c r="AB267"/>
  <c r="V267"/>
  <c r="Y267"/>
  <c r="X268" i="21"/>
  <c r="V269"/>
  <c r="AA267" i="2" l="1"/>
  <c r="Q267"/>
  <c r="R267" s="1"/>
  <c r="AC267"/>
  <c r="AD267" s="1"/>
  <c r="W267"/>
  <c r="X267" s="1"/>
  <c r="T267"/>
  <c r="T268" s="1"/>
  <c r="X266"/>
  <c r="AD266"/>
  <c r="U266"/>
  <c r="M273" i="21"/>
  <c r="L267" i="2"/>
  <c r="J267"/>
  <c r="AC271" i="21"/>
  <c r="W271"/>
  <c r="Q271"/>
  <c r="L271"/>
  <c r="Z271"/>
  <c r="T271"/>
  <c r="J271"/>
  <c r="M269" i="2"/>
  <c r="U267" i="21"/>
  <c r="S268"/>
  <c r="AI267"/>
  <c r="AG267"/>
  <c r="R267"/>
  <c r="P268"/>
  <c r="AD267"/>
  <c r="AB268"/>
  <c r="AA268"/>
  <c r="Y269"/>
  <c r="X269"/>
  <c r="V270"/>
  <c r="N269" i="2"/>
  <c r="P268"/>
  <c r="Y268"/>
  <c r="V268"/>
  <c r="AB268"/>
  <c r="S268"/>
  <c r="N274" i="21"/>
  <c r="AI267" i="2"/>
  <c r="AG267"/>
  <c r="U267" l="1"/>
  <c r="U268"/>
  <c r="L268"/>
  <c r="J268"/>
  <c r="AC272" i="21"/>
  <c r="W272"/>
  <c r="Q272"/>
  <c r="L272"/>
  <c r="Z272"/>
  <c r="T272"/>
  <c r="J272"/>
  <c r="Q268" i="2"/>
  <c r="R268" s="1"/>
  <c r="M270"/>
  <c r="M274" i="21"/>
  <c r="Z268" i="2"/>
  <c r="Z269" s="1"/>
  <c r="W268"/>
  <c r="X268" s="1"/>
  <c r="AC268"/>
  <c r="AC269" s="1"/>
  <c r="U268" i="21"/>
  <c r="S269"/>
  <c r="AD268"/>
  <c r="AB269"/>
  <c r="AG268"/>
  <c r="AI268"/>
  <c r="R268"/>
  <c r="P269"/>
  <c r="AG268" i="2"/>
  <c r="AI268"/>
  <c r="X270" i="21"/>
  <c r="V271"/>
  <c r="AA269"/>
  <c r="Y270"/>
  <c r="N275"/>
  <c r="S269" i="2"/>
  <c r="AB269"/>
  <c r="V269"/>
  <c r="Y269"/>
  <c r="N270"/>
  <c r="P269"/>
  <c r="AA269" l="1"/>
  <c r="AD269"/>
  <c r="AA268"/>
  <c r="AD268"/>
  <c r="AC273" i="21"/>
  <c r="W273"/>
  <c r="Q273"/>
  <c r="L273"/>
  <c r="Z273"/>
  <c r="T273"/>
  <c r="J273"/>
  <c r="M275"/>
  <c r="Z270" i="2"/>
  <c r="M271"/>
  <c r="AC270"/>
  <c r="W269"/>
  <c r="Q269"/>
  <c r="Q270" s="1"/>
  <c r="L269"/>
  <c r="J269"/>
  <c r="T269"/>
  <c r="U269" i="21"/>
  <c r="S270"/>
  <c r="P270"/>
  <c r="AI269"/>
  <c r="AG269"/>
  <c r="R269"/>
  <c r="AB270"/>
  <c r="AD269"/>
  <c r="P270" i="2"/>
  <c r="N271"/>
  <c r="Y270"/>
  <c r="AA270" s="1"/>
  <c r="V270"/>
  <c r="AB270"/>
  <c r="AD270" s="1"/>
  <c r="S270"/>
  <c r="N276" i="21"/>
  <c r="AI269" i="2"/>
  <c r="AG269"/>
  <c r="AA270" i="21"/>
  <c r="Y271"/>
  <c r="X271"/>
  <c r="V272"/>
  <c r="R269" i="2" l="1"/>
  <c r="T270"/>
  <c r="U270" s="1"/>
  <c r="W270"/>
  <c r="X270" s="1"/>
  <c r="X269"/>
  <c r="U269"/>
  <c r="Z271"/>
  <c r="M272"/>
  <c r="M276" i="21"/>
  <c r="L270" i="2"/>
  <c r="J270"/>
  <c r="AC274" i="21"/>
  <c r="W274"/>
  <c r="Q274"/>
  <c r="L274"/>
  <c r="Z274"/>
  <c r="T274"/>
  <c r="J274"/>
  <c r="Q271" i="2"/>
  <c r="U270" i="21"/>
  <c r="S271"/>
  <c r="AB271"/>
  <c r="AD270"/>
  <c r="AG270"/>
  <c r="P271"/>
  <c r="AI270"/>
  <c r="R270"/>
  <c r="S271" i="2"/>
  <c r="AB271"/>
  <c r="V271"/>
  <c r="Y271"/>
  <c r="AA271" s="1"/>
  <c r="N272"/>
  <c r="P271"/>
  <c r="X272" i="21"/>
  <c r="V273"/>
  <c r="AA271"/>
  <c r="Y272"/>
  <c r="N277"/>
  <c r="R270" i="2"/>
  <c r="AI270"/>
  <c r="AG270"/>
  <c r="T271" l="1"/>
  <c r="U271" s="1"/>
  <c r="AC271"/>
  <c r="AD271" s="1"/>
  <c r="W271"/>
  <c r="X271" s="1"/>
  <c r="AC275" i="21"/>
  <c r="W275"/>
  <c r="Q275"/>
  <c r="L275"/>
  <c r="Z275"/>
  <c r="T275"/>
  <c r="J275"/>
  <c r="L271" i="2"/>
  <c r="J271"/>
  <c r="M277" i="21"/>
  <c r="M273" i="2"/>
  <c r="U271" i="21"/>
  <c r="S272"/>
  <c r="AB272"/>
  <c r="AD271"/>
  <c r="R271"/>
  <c r="P272"/>
  <c r="AI271"/>
  <c r="AG271"/>
  <c r="AA272"/>
  <c r="Y273"/>
  <c r="R271" i="2"/>
  <c r="AG271"/>
  <c r="AI271"/>
  <c r="N278" i="21"/>
  <c r="P272" i="2"/>
  <c r="Y272"/>
  <c r="V272"/>
  <c r="AB272"/>
  <c r="S272"/>
  <c r="N273"/>
  <c r="X273" i="21"/>
  <c r="V274"/>
  <c r="L272" i="2" l="1"/>
  <c r="J272"/>
  <c r="M278" i="21"/>
  <c r="M274" i="2"/>
  <c r="AC276" i="21"/>
  <c r="W276"/>
  <c r="Q276"/>
  <c r="L276"/>
  <c r="Z276"/>
  <c r="T276"/>
  <c r="J276"/>
  <c r="T272" i="2"/>
  <c r="T273" s="1"/>
  <c r="Q272"/>
  <c r="Q273" s="1"/>
  <c r="Z272"/>
  <c r="Z273" s="1"/>
  <c r="W272"/>
  <c r="W273" s="1"/>
  <c r="AC272"/>
  <c r="AC273" s="1"/>
  <c r="U272" i="21"/>
  <c r="S273"/>
  <c r="AB273"/>
  <c r="AD272"/>
  <c r="AI272"/>
  <c r="P273"/>
  <c r="R272"/>
  <c r="AG272"/>
  <c r="N274" i="2"/>
  <c r="P273"/>
  <c r="S273"/>
  <c r="V273"/>
  <c r="AB273"/>
  <c r="Y273"/>
  <c r="X274" i="21"/>
  <c r="V275"/>
  <c r="N279"/>
  <c r="AI272" i="2"/>
  <c r="R272"/>
  <c r="AG272"/>
  <c r="AA273" i="21"/>
  <c r="Y274"/>
  <c r="AA273" i="2" l="1"/>
  <c r="X273"/>
  <c r="AD273"/>
  <c r="U273"/>
  <c r="U272"/>
  <c r="AD272"/>
  <c r="X272"/>
  <c r="AA272"/>
  <c r="L273"/>
  <c r="J273"/>
  <c r="AC277" i="21"/>
  <c r="W277"/>
  <c r="Q277"/>
  <c r="L277"/>
  <c r="Z277"/>
  <c r="T277"/>
  <c r="J277"/>
  <c r="Q274" i="2"/>
  <c r="M275"/>
  <c r="M279" i="21"/>
  <c r="U273"/>
  <c r="S274"/>
  <c r="AD273"/>
  <c r="AB274"/>
  <c r="R273"/>
  <c r="AI273"/>
  <c r="AG273"/>
  <c r="P274"/>
  <c r="N280"/>
  <c r="S274" i="2"/>
  <c r="Y274"/>
  <c r="AB274"/>
  <c r="N275"/>
  <c r="P274"/>
  <c r="V274"/>
  <c r="AA274" i="21"/>
  <c r="Y275"/>
  <c r="X275"/>
  <c r="V276"/>
  <c r="AI273" i="2"/>
  <c r="R273"/>
  <c r="AG273"/>
  <c r="AC274" l="1"/>
  <c r="AC275" s="1"/>
  <c r="T274"/>
  <c r="U274" s="1"/>
  <c r="M280" i="21"/>
  <c r="Q275" i="2"/>
  <c r="M276"/>
  <c r="Z274"/>
  <c r="Z275" s="1"/>
  <c r="AC278" i="21"/>
  <c r="W278"/>
  <c r="Q278"/>
  <c r="L278"/>
  <c r="Z278"/>
  <c r="T278"/>
  <c r="J278"/>
  <c r="L274" i="2"/>
  <c r="J274"/>
  <c r="T275"/>
  <c r="W274"/>
  <c r="W275" s="1"/>
  <c r="U274" i="21"/>
  <c r="S275"/>
  <c r="AI274"/>
  <c r="R274"/>
  <c r="AG274"/>
  <c r="P275"/>
  <c r="AB275"/>
  <c r="AD274"/>
  <c r="R274" i="2"/>
  <c r="AI274"/>
  <c r="AG274"/>
  <c r="N281" i="21"/>
  <c r="X276"/>
  <c r="V277"/>
  <c r="AA275"/>
  <c r="Y276"/>
  <c r="V275" i="2"/>
  <c r="AB275"/>
  <c r="Y275"/>
  <c r="AA275" s="1"/>
  <c r="S275"/>
  <c r="N276"/>
  <c r="P275"/>
  <c r="U275" l="1"/>
  <c r="X275"/>
  <c r="AD274"/>
  <c r="X274"/>
  <c r="AA274"/>
  <c r="AD275"/>
  <c r="M277"/>
  <c r="M281" i="21"/>
  <c r="L275" i="2"/>
  <c r="J275"/>
  <c r="AC279" i="21"/>
  <c r="W279"/>
  <c r="Q279"/>
  <c r="L279"/>
  <c r="Z279"/>
  <c r="T279"/>
  <c r="J279"/>
  <c r="AC276" i="2"/>
  <c r="W276"/>
  <c r="T276"/>
  <c r="Z276"/>
  <c r="U275" i="21"/>
  <c r="S276"/>
  <c r="AB276"/>
  <c r="AD275"/>
  <c r="AG275"/>
  <c r="AI275"/>
  <c r="R275"/>
  <c r="P276"/>
  <c r="AI275" i="2"/>
  <c r="AG275"/>
  <c r="R275"/>
  <c r="AA276" i="21"/>
  <c r="Y277"/>
  <c r="X277"/>
  <c r="V278"/>
  <c r="N282"/>
  <c r="P276" i="2"/>
  <c r="N277"/>
  <c r="S276"/>
  <c r="Y276"/>
  <c r="AA276" s="1"/>
  <c r="AB276"/>
  <c r="V276"/>
  <c r="X276" s="1"/>
  <c r="AD276" l="1"/>
  <c r="U276"/>
  <c r="M282" i="21"/>
  <c r="L276" i="2"/>
  <c r="J276"/>
  <c r="Q276"/>
  <c r="AC280" i="21"/>
  <c r="W280"/>
  <c r="Q280"/>
  <c r="L280"/>
  <c r="Z280"/>
  <c r="T280"/>
  <c r="J280"/>
  <c r="M278" i="2"/>
  <c r="T277"/>
  <c r="U276" i="21"/>
  <c r="S277"/>
  <c r="AD276"/>
  <c r="AB277"/>
  <c r="AG276"/>
  <c r="R276"/>
  <c r="AI276"/>
  <c r="P277"/>
  <c r="N278" i="2"/>
  <c r="P277"/>
  <c r="V277"/>
  <c r="AB277"/>
  <c r="Y277"/>
  <c r="S277"/>
  <c r="X278" i="21"/>
  <c r="V279"/>
  <c r="AA277"/>
  <c r="Y278"/>
  <c r="AI276" i="2"/>
  <c r="AG276"/>
  <c r="R276"/>
  <c r="N283" i="21"/>
  <c r="Z277" i="2" l="1"/>
  <c r="AA277" s="1"/>
  <c r="Q277"/>
  <c r="U277"/>
  <c r="L277"/>
  <c r="J277"/>
  <c r="AC281" i="21"/>
  <c r="W281"/>
  <c r="Q281"/>
  <c r="L281"/>
  <c r="Z281"/>
  <c r="T281"/>
  <c r="J281"/>
  <c r="AC277" i="2"/>
  <c r="W277"/>
  <c r="X277" s="1"/>
  <c r="M279"/>
  <c r="M283" i="21"/>
  <c r="U277"/>
  <c r="S278"/>
  <c r="AI277"/>
  <c r="R277"/>
  <c r="AG277"/>
  <c r="P278"/>
  <c r="AD277"/>
  <c r="AB278"/>
  <c r="N279" i="2"/>
  <c r="P278"/>
  <c r="Y278"/>
  <c r="AB278"/>
  <c r="V278"/>
  <c r="S278"/>
  <c r="N284" i="21"/>
  <c r="AA278"/>
  <c r="Y279"/>
  <c r="X279"/>
  <c r="V280"/>
  <c r="AI277" i="2"/>
  <c r="AG277"/>
  <c r="R277"/>
  <c r="Z278" l="1"/>
  <c r="Z279" s="1"/>
  <c r="Q278"/>
  <c r="R278" s="1"/>
  <c r="T278"/>
  <c r="U278" s="1"/>
  <c r="AC278"/>
  <c r="AD278" s="1"/>
  <c r="AA278"/>
  <c r="AD277"/>
  <c r="M284" i="21"/>
  <c r="L278" i="2"/>
  <c r="J278"/>
  <c r="W278"/>
  <c r="X278" s="1"/>
  <c r="AC282" i="21"/>
  <c r="W282"/>
  <c r="Q282"/>
  <c r="L282"/>
  <c r="Z282"/>
  <c r="T282"/>
  <c r="J282"/>
  <c r="Q279" i="2"/>
  <c r="M280"/>
  <c r="U278" i="21"/>
  <c r="S279"/>
  <c r="AB279"/>
  <c r="AD278"/>
  <c r="R278"/>
  <c r="AI278"/>
  <c r="AG278"/>
  <c r="P279"/>
  <c r="N285"/>
  <c r="S279" i="2"/>
  <c r="N280"/>
  <c r="P279"/>
  <c r="V279"/>
  <c r="AB279"/>
  <c r="Y279"/>
  <c r="X280" i="21"/>
  <c r="V281"/>
  <c r="AA279"/>
  <c r="Y280"/>
  <c r="AG278" i="2"/>
  <c r="AI278"/>
  <c r="AA279" l="1"/>
  <c r="AC279"/>
  <c r="AD279" s="1"/>
  <c r="L279"/>
  <c r="J279"/>
  <c r="AC283" i="21"/>
  <c r="W283"/>
  <c r="Q283"/>
  <c r="L283"/>
  <c r="Z283"/>
  <c r="T283"/>
  <c r="J283"/>
  <c r="W279" i="2"/>
  <c r="X279" s="1"/>
  <c r="T279"/>
  <c r="U279" s="1"/>
  <c r="Z280"/>
  <c r="M281"/>
  <c r="M285" i="21"/>
  <c r="U279"/>
  <c r="S280"/>
  <c r="AD279"/>
  <c r="AB280"/>
  <c r="R279"/>
  <c r="AG279"/>
  <c r="AI279"/>
  <c r="P280"/>
  <c r="AI279" i="2"/>
  <c r="AG279"/>
  <c r="R279"/>
  <c r="N286" i="21"/>
  <c r="AA280"/>
  <c r="Y281"/>
  <c r="X281"/>
  <c r="V282"/>
  <c r="N281" i="2"/>
  <c r="P280"/>
  <c r="Y280"/>
  <c r="AB280"/>
  <c r="V280"/>
  <c r="S280"/>
  <c r="AC280" l="1"/>
  <c r="AD280" s="1"/>
  <c r="AA280"/>
  <c r="M286" i="21"/>
  <c r="M282" i="2"/>
  <c r="T280"/>
  <c r="AC284" i="21"/>
  <c r="W284"/>
  <c r="Q284"/>
  <c r="L284"/>
  <c r="Z284"/>
  <c r="T284"/>
  <c r="J284"/>
  <c r="L280" i="2"/>
  <c r="J280"/>
  <c r="W280"/>
  <c r="Q280"/>
  <c r="R280" s="1"/>
  <c r="U280" i="21"/>
  <c r="S281"/>
  <c r="R280"/>
  <c r="AI280"/>
  <c r="AG280"/>
  <c r="P281"/>
  <c r="AB281"/>
  <c r="AD280"/>
  <c r="AI280" i="2"/>
  <c r="AG280"/>
  <c r="X282" i="21"/>
  <c r="V283"/>
  <c r="AA281"/>
  <c r="Y282"/>
  <c r="AB281" i="2"/>
  <c r="N282"/>
  <c r="P281"/>
  <c r="S281"/>
  <c r="V281"/>
  <c r="Y281"/>
  <c r="N287" i="21"/>
  <c r="AC281" i="2" l="1"/>
  <c r="AD281" s="1"/>
  <c r="W281"/>
  <c r="X281" s="1"/>
  <c r="Q281"/>
  <c r="Q282" s="1"/>
  <c r="T281"/>
  <c r="U281" s="1"/>
  <c r="U280"/>
  <c r="X280"/>
  <c r="L281"/>
  <c r="J281"/>
  <c r="M287" i="21"/>
  <c r="Z281" i="2"/>
  <c r="AA281" s="1"/>
  <c r="M283"/>
  <c r="W282"/>
  <c r="AC285" i="21"/>
  <c r="W285"/>
  <c r="Q285"/>
  <c r="L285"/>
  <c r="Z285"/>
  <c r="T285"/>
  <c r="J285"/>
  <c r="T282" i="2"/>
  <c r="U281" i="21"/>
  <c r="S282"/>
  <c r="AD281"/>
  <c r="AB282"/>
  <c r="AI281"/>
  <c r="R281"/>
  <c r="AG281"/>
  <c r="P282"/>
  <c r="N288"/>
  <c r="AG281" i="2"/>
  <c r="R281"/>
  <c r="AI281"/>
  <c r="S282"/>
  <c r="N283"/>
  <c r="P282"/>
  <c r="Y282"/>
  <c r="V282"/>
  <c r="AB282"/>
  <c r="AA282" i="21"/>
  <c r="Y283"/>
  <c r="X283"/>
  <c r="V284"/>
  <c r="X282" i="2" l="1"/>
  <c r="U282"/>
  <c r="W283"/>
  <c r="M284"/>
  <c r="AC286" i="21"/>
  <c r="W286"/>
  <c r="Q286"/>
  <c r="L286"/>
  <c r="Z286"/>
  <c r="T286"/>
  <c r="J286"/>
  <c r="AC282" i="2"/>
  <c r="AD282" s="1"/>
  <c r="L282"/>
  <c r="J282"/>
  <c r="M288" i="21"/>
  <c r="T283" i="2"/>
  <c r="Q283"/>
  <c r="Z282"/>
  <c r="Z283" s="1"/>
  <c r="U282" i="21"/>
  <c r="S283"/>
  <c r="AI282"/>
  <c r="AG282"/>
  <c r="R282"/>
  <c r="P283"/>
  <c r="AD282"/>
  <c r="AB283"/>
  <c r="AG282" i="2"/>
  <c r="R282"/>
  <c r="AI282"/>
  <c r="X284" i="21"/>
  <c r="V285"/>
  <c r="AA283"/>
  <c r="Y284"/>
  <c r="P283" i="2"/>
  <c r="AB283"/>
  <c r="N284"/>
  <c r="S283"/>
  <c r="V283"/>
  <c r="Y283"/>
  <c r="N289" i="21"/>
  <c r="X283" i="2" l="1"/>
  <c r="AA283"/>
  <c r="U283"/>
  <c r="AA282"/>
  <c r="AC287" i="21"/>
  <c r="W287"/>
  <c r="Q287"/>
  <c r="L287"/>
  <c r="Z287"/>
  <c r="T287"/>
  <c r="J287"/>
  <c r="M289"/>
  <c r="T284" i="2"/>
  <c r="M285"/>
  <c r="Q284"/>
  <c r="AC283"/>
  <c r="L283"/>
  <c r="J283"/>
  <c r="Z284"/>
  <c r="U283" i="21"/>
  <c r="S284"/>
  <c r="AB284"/>
  <c r="AD283"/>
  <c r="AI283"/>
  <c r="AG283"/>
  <c r="P284"/>
  <c r="R283"/>
  <c r="N290"/>
  <c r="N285" i="2"/>
  <c r="P284"/>
  <c r="AB284"/>
  <c r="Y284"/>
  <c r="V284"/>
  <c r="S284"/>
  <c r="AG283"/>
  <c r="AI283"/>
  <c r="R283"/>
  <c r="AA284" i="21"/>
  <c r="Y285"/>
  <c r="X285"/>
  <c r="V286"/>
  <c r="AA284" i="2" l="1"/>
  <c r="AC284"/>
  <c r="AD284" s="1"/>
  <c r="AD283"/>
  <c r="U284"/>
  <c r="M286"/>
  <c r="Z285"/>
  <c r="M290" i="21"/>
  <c r="L284" i="2"/>
  <c r="J284"/>
  <c r="AC288" i="21"/>
  <c r="W288"/>
  <c r="Q288"/>
  <c r="L288"/>
  <c r="Z288"/>
  <c r="T288"/>
  <c r="J288"/>
  <c r="W284" i="2"/>
  <c r="U284" i="21"/>
  <c r="S285"/>
  <c r="AG284"/>
  <c r="R284"/>
  <c r="AI284"/>
  <c r="P285"/>
  <c r="AD284"/>
  <c r="AB285"/>
  <c r="AG284" i="2"/>
  <c r="R284"/>
  <c r="AI284"/>
  <c r="X286" i="21"/>
  <c r="V287"/>
  <c r="AA285"/>
  <c r="Y286"/>
  <c r="N286" i="2"/>
  <c r="P285"/>
  <c r="S285"/>
  <c r="V285"/>
  <c r="Y285"/>
  <c r="AB285"/>
  <c r="N291" i="21"/>
  <c r="AC285" i="2" l="1"/>
  <c r="AD285" s="1"/>
  <c r="T285"/>
  <c r="U285" s="1"/>
  <c r="Q285"/>
  <c r="R285" s="1"/>
  <c r="W285"/>
  <c r="X285" s="1"/>
  <c r="AA285"/>
  <c r="X284"/>
  <c r="M291" i="21"/>
  <c r="M287" i="2"/>
  <c r="AC289" i="21"/>
  <c r="W289"/>
  <c r="Q289"/>
  <c r="L289"/>
  <c r="Z289"/>
  <c r="T289"/>
  <c r="J289"/>
  <c r="L285" i="2"/>
  <c r="J285"/>
  <c r="U285" i="21"/>
  <c r="S286"/>
  <c r="AD285"/>
  <c r="AB286"/>
  <c r="R285"/>
  <c r="AG285"/>
  <c r="AI285"/>
  <c r="P286"/>
  <c r="AI285" i="2"/>
  <c r="AG285"/>
  <c r="AA286" i="21"/>
  <c r="Y287"/>
  <c r="X287"/>
  <c r="V288"/>
  <c r="N292"/>
  <c r="N287" i="2"/>
  <c r="AB286"/>
  <c r="Y286"/>
  <c r="V286"/>
  <c r="S286"/>
  <c r="P286"/>
  <c r="T286" l="1"/>
  <c r="U286" s="1"/>
  <c r="Q286"/>
  <c r="Q287" s="1"/>
  <c r="Z286"/>
  <c r="AA286" s="1"/>
  <c r="AC286"/>
  <c r="AD286" s="1"/>
  <c r="M288"/>
  <c r="AC290" i="21"/>
  <c r="W290"/>
  <c r="Q290"/>
  <c r="L290"/>
  <c r="Z290"/>
  <c r="T290"/>
  <c r="J290"/>
  <c r="W286" i="2"/>
  <c r="W287" s="1"/>
  <c r="L286"/>
  <c r="J286"/>
  <c r="M292" i="21"/>
  <c r="U286"/>
  <c r="S287"/>
  <c r="R286"/>
  <c r="AI286"/>
  <c r="AG286"/>
  <c r="P287"/>
  <c r="AD286"/>
  <c r="AB287"/>
  <c r="AI286" i="2"/>
  <c r="AG286"/>
  <c r="X288" i="21"/>
  <c r="V289"/>
  <c r="AA287"/>
  <c r="Y288"/>
  <c r="N288" i="2"/>
  <c r="P287"/>
  <c r="S287"/>
  <c r="Y287"/>
  <c r="V287"/>
  <c r="AB287"/>
  <c r="N293" i="21"/>
  <c r="R286" i="2" l="1"/>
  <c r="Z287"/>
  <c r="AA287" s="1"/>
  <c r="X287"/>
  <c r="AC287"/>
  <c r="AD287" s="1"/>
  <c r="X286"/>
  <c r="M293" i="21"/>
  <c r="L287" i="2"/>
  <c r="J287"/>
  <c r="T287"/>
  <c r="U287" s="1"/>
  <c r="AC291" i="21"/>
  <c r="W291"/>
  <c r="Q291"/>
  <c r="L291"/>
  <c r="Z291"/>
  <c r="T291"/>
  <c r="J291"/>
  <c r="W288" i="2"/>
  <c r="M289"/>
  <c r="U287" i="21"/>
  <c r="S288"/>
  <c r="AD287"/>
  <c r="AB288"/>
  <c r="R287"/>
  <c r="AG287"/>
  <c r="AI287"/>
  <c r="P288"/>
  <c r="N294"/>
  <c r="AG287" i="2"/>
  <c r="AI287"/>
  <c r="R287"/>
  <c r="AA288" i="21"/>
  <c r="Y289"/>
  <c r="X289"/>
  <c r="V290"/>
  <c r="N289" i="2"/>
  <c r="AB288"/>
  <c r="V288"/>
  <c r="P288"/>
  <c r="Y288"/>
  <c r="S288"/>
  <c r="AC288" l="1"/>
  <c r="AC289" s="1"/>
  <c r="X288"/>
  <c r="Q288"/>
  <c r="R288" s="1"/>
  <c r="L288"/>
  <c r="J288"/>
  <c r="AC292" i="21"/>
  <c r="W292"/>
  <c r="Q292"/>
  <c r="L292"/>
  <c r="Z292"/>
  <c r="T292"/>
  <c r="J292"/>
  <c r="T288" i="2"/>
  <c r="U288" s="1"/>
  <c r="Z288"/>
  <c r="AA288" s="1"/>
  <c r="M290"/>
  <c r="M294" i="21"/>
  <c r="U288"/>
  <c r="S289"/>
  <c r="AG288"/>
  <c r="P289"/>
  <c r="R288"/>
  <c r="AI288"/>
  <c r="AD288"/>
  <c r="AB289"/>
  <c r="P289" i="2"/>
  <c r="N290"/>
  <c r="V289"/>
  <c r="AB289"/>
  <c r="S289"/>
  <c r="Y289"/>
  <c r="AI288"/>
  <c r="AG288"/>
  <c r="X290" i="21"/>
  <c r="V291"/>
  <c r="AA289"/>
  <c r="Y290"/>
  <c r="N295"/>
  <c r="AD288" i="2" l="1"/>
  <c r="Q289"/>
  <c r="Q290" s="1"/>
  <c r="AD289"/>
  <c r="AC293" i="21"/>
  <c r="W293"/>
  <c r="Q293"/>
  <c r="L293"/>
  <c r="Z293"/>
  <c r="T293"/>
  <c r="J293"/>
  <c r="M295"/>
  <c r="M291" i="2"/>
  <c r="Z289"/>
  <c r="L289"/>
  <c r="J289"/>
  <c r="T289"/>
  <c r="W289"/>
  <c r="U289" i="21"/>
  <c r="S290"/>
  <c r="AD289"/>
  <c r="AB290"/>
  <c r="AG289"/>
  <c r="AI289"/>
  <c r="P290"/>
  <c r="R289"/>
  <c r="P290" i="2"/>
  <c r="Y290"/>
  <c r="AB290"/>
  <c r="N291"/>
  <c r="S290"/>
  <c r="V290"/>
  <c r="AA290" i="21"/>
  <c r="Y291"/>
  <c r="X291"/>
  <c r="V292"/>
  <c r="R289" i="2"/>
  <c r="AI289"/>
  <c r="AG289"/>
  <c r="N296" i="21"/>
  <c r="Z290" i="2" l="1"/>
  <c r="AA290" s="1"/>
  <c r="T290"/>
  <c r="U290" s="1"/>
  <c r="W290"/>
  <c r="X290" s="1"/>
  <c r="AA289"/>
  <c r="X289"/>
  <c r="U289"/>
  <c r="L290"/>
  <c r="J290"/>
  <c r="AC294" i="21"/>
  <c r="W294"/>
  <c r="Q294"/>
  <c r="L294"/>
  <c r="Z294"/>
  <c r="T294"/>
  <c r="J294"/>
  <c r="AC290" i="2"/>
  <c r="AD290" s="1"/>
  <c r="W291"/>
  <c r="M292"/>
  <c r="M296" i="21"/>
  <c r="U290"/>
  <c r="S291"/>
  <c r="AG290"/>
  <c r="P291"/>
  <c r="R290"/>
  <c r="AI290"/>
  <c r="AB291"/>
  <c r="AD290"/>
  <c r="AI290" i="2"/>
  <c r="R290"/>
  <c r="AG290"/>
  <c r="N297" i="21"/>
  <c r="X292"/>
  <c r="V293"/>
  <c r="AA291"/>
  <c r="Y292"/>
  <c r="Y291" i="2"/>
  <c r="N292"/>
  <c r="P291"/>
  <c r="AB291"/>
  <c r="V291"/>
  <c r="S291"/>
  <c r="T291" l="1"/>
  <c r="X291"/>
  <c r="U291"/>
  <c r="Q291"/>
  <c r="R291" s="1"/>
  <c r="AC295" i="21"/>
  <c r="W295"/>
  <c r="Q295"/>
  <c r="L295"/>
  <c r="Z295"/>
  <c r="T295"/>
  <c r="J295"/>
  <c r="M297"/>
  <c r="M293" i="2"/>
  <c r="W292"/>
  <c r="AC291"/>
  <c r="AD291" s="1"/>
  <c r="L291"/>
  <c r="J291"/>
  <c r="Z291"/>
  <c r="U291" i="21"/>
  <c r="S292"/>
  <c r="AD291"/>
  <c r="AB292"/>
  <c r="R291"/>
  <c r="P292"/>
  <c r="AG291"/>
  <c r="AI291"/>
  <c r="AI291" i="2"/>
  <c r="AG291"/>
  <c r="N298" i="21"/>
  <c r="N293" i="2"/>
  <c r="P292"/>
  <c r="Y292"/>
  <c r="V292"/>
  <c r="AB292"/>
  <c r="S292"/>
  <c r="AA292" i="21"/>
  <c r="Y293"/>
  <c r="X293"/>
  <c r="V294"/>
  <c r="Q292" i="2" l="1"/>
  <c r="Q293" s="1"/>
  <c r="X292"/>
  <c r="Z292"/>
  <c r="AA292" s="1"/>
  <c r="AA291"/>
  <c r="M294"/>
  <c r="AC296" i="21"/>
  <c r="W296"/>
  <c r="Q296"/>
  <c r="L296"/>
  <c r="Z296"/>
  <c r="T296"/>
  <c r="J296"/>
  <c r="T292" i="2"/>
  <c r="T293" s="1"/>
  <c r="AC292"/>
  <c r="AC293" s="1"/>
  <c r="L292"/>
  <c r="J292"/>
  <c r="M298" i="21"/>
  <c r="U292"/>
  <c r="S293"/>
  <c r="R292"/>
  <c r="AI292"/>
  <c r="AG292"/>
  <c r="P293"/>
  <c r="AD292"/>
  <c r="AB293"/>
  <c r="N294" i="2"/>
  <c r="AB293"/>
  <c r="S293"/>
  <c r="P293"/>
  <c r="V293"/>
  <c r="Y293"/>
  <c r="X294" i="21"/>
  <c r="V295"/>
  <c r="AA293"/>
  <c r="Y294"/>
  <c r="AI292" i="2"/>
  <c r="AG292"/>
  <c r="N299" i="21"/>
  <c r="R292" i="2" l="1"/>
  <c r="AD293"/>
  <c r="Z293"/>
  <c r="AA293" s="1"/>
  <c r="AD292"/>
  <c r="U293"/>
  <c r="U292"/>
  <c r="M299" i="21"/>
  <c r="L293" i="2"/>
  <c r="J293"/>
  <c r="W293"/>
  <c r="X293" s="1"/>
  <c r="AC297" i="21"/>
  <c r="W297"/>
  <c r="Q297"/>
  <c r="L297"/>
  <c r="Z297"/>
  <c r="T297"/>
  <c r="J297"/>
  <c r="M295" i="2"/>
  <c r="T294"/>
  <c r="U293" i="21"/>
  <c r="S294"/>
  <c r="AB294"/>
  <c r="AD293"/>
  <c r="R293"/>
  <c r="AG293"/>
  <c r="AI293"/>
  <c r="P294"/>
  <c r="AA294"/>
  <c r="Y295"/>
  <c r="X295"/>
  <c r="V296"/>
  <c r="R293" i="2"/>
  <c r="AG293"/>
  <c r="AI293"/>
  <c r="N300" i="21"/>
  <c r="P294" i="2"/>
  <c r="N295"/>
  <c r="Y294"/>
  <c r="V294"/>
  <c r="S294"/>
  <c r="AB294"/>
  <c r="Z294" l="1"/>
  <c r="AA294" s="1"/>
  <c r="U294"/>
  <c r="M296"/>
  <c r="AC298" i="21"/>
  <c r="W298"/>
  <c r="Q298"/>
  <c r="L298"/>
  <c r="Z298"/>
  <c r="T298"/>
  <c r="J298"/>
  <c r="Q294" i="2"/>
  <c r="Q295" s="1"/>
  <c r="L294"/>
  <c r="J294"/>
  <c r="M300" i="21"/>
  <c r="T295" i="2"/>
  <c r="W294"/>
  <c r="W295" s="1"/>
  <c r="AC294"/>
  <c r="AC295" s="1"/>
  <c r="U294" i="21"/>
  <c r="S295"/>
  <c r="AD294"/>
  <c r="AB295"/>
  <c r="AG294"/>
  <c r="R294"/>
  <c r="AI294"/>
  <c r="P295"/>
  <c r="AG294" i="2"/>
  <c r="AI294"/>
  <c r="X296" i="21"/>
  <c r="V297"/>
  <c r="AA295"/>
  <c r="Y296"/>
  <c r="AB295" i="2"/>
  <c r="N296"/>
  <c r="P295"/>
  <c r="S295"/>
  <c r="V295"/>
  <c r="Y295"/>
  <c r="N301" i="21"/>
  <c r="AD295" i="2" l="1"/>
  <c r="U295"/>
  <c r="R294"/>
  <c r="X295"/>
  <c r="AD294"/>
  <c r="X294"/>
  <c r="M301" i="21"/>
  <c r="L295" i="2"/>
  <c r="J295"/>
  <c r="Z295"/>
  <c r="AA295" s="1"/>
  <c r="AC299" i="21"/>
  <c r="W299"/>
  <c r="Q299"/>
  <c r="L299"/>
  <c r="Z299"/>
  <c r="T299"/>
  <c r="J299"/>
  <c r="Q296" i="2"/>
  <c r="M297"/>
  <c r="U295" i="21"/>
  <c r="S296"/>
  <c r="AG295"/>
  <c r="AI295"/>
  <c r="R295"/>
  <c r="P296"/>
  <c r="AB296"/>
  <c r="AD295"/>
  <c r="R295" i="2"/>
  <c r="AG295"/>
  <c r="AI295"/>
  <c r="N297"/>
  <c r="P296"/>
  <c r="AB296"/>
  <c r="Y296"/>
  <c r="V296"/>
  <c r="S296"/>
  <c r="AA296" i="21"/>
  <c r="Y297"/>
  <c r="X297"/>
  <c r="V298"/>
  <c r="N302"/>
  <c r="AC296" i="2" l="1"/>
  <c r="AD296" s="1"/>
  <c r="T296"/>
  <c r="U296" s="1"/>
  <c r="L296"/>
  <c r="J296"/>
  <c r="L300" i="21"/>
  <c r="AC300"/>
  <c r="W300"/>
  <c r="Q300"/>
  <c r="Z300"/>
  <c r="T300"/>
  <c r="J300"/>
  <c r="Z296" i="2"/>
  <c r="AA296" s="1"/>
  <c r="W296"/>
  <c r="X296" s="1"/>
  <c r="M298"/>
  <c r="M302" i="21"/>
  <c r="U296"/>
  <c r="S297"/>
  <c r="AD296"/>
  <c r="AB297"/>
  <c r="AG296"/>
  <c r="AI296"/>
  <c r="P297"/>
  <c r="R296"/>
  <c r="N303"/>
  <c r="N298" i="2"/>
  <c r="P297"/>
  <c r="AB297"/>
  <c r="S297"/>
  <c r="V297"/>
  <c r="Y297"/>
  <c r="X298" i="21"/>
  <c r="V299"/>
  <c r="AA297"/>
  <c r="Y298"/>
  <c r="AI296" i="2"/>
  <c r="R296"/>
  <c r="AG296"/>
  <c r="AC297" l="1"/>
  <c r="AC298" s="1"/>
  <c r="T297"/>
  <c r="U297" s="1"/>
  <c r="AC301" i="21"/>
  <c r="W301"/>
  <c r="Q301"/>
  <c r="L301"/>
  <c r="Z301"/>
  <c r="T301"/>
  <c r="J301"/>
  <c r="M299" i="2"/>
  <c r="W297"/>
  <c r="X297" s="1"/>
  <c r="M303" i="21"/>
  <c r="L297" i="2"/>
  <c r="J297"/>
  <c r="Z297"/>
  <c r="AA297" s="1"/>
  <c r="Q297"/>
  <c r="Q298" s="1"/>
  <c r="U297" i="21"/>
  <c r="S298"/>
  <c r="AG297"/>
  <c r="AI297"/>
  <c r="R297"/>
  <c r="P298"/>
  <c r="AD297"/>
  <c r="AB298"/>
  <c r="AA298"/>
  <c r="Y299"/>
  <c r="X299"/>
  <c r="V300"/>
  <c r="AI297" i="2"/>
  <c r="AG297"/>
  <c r="P298"/>
  <c r="Y298"/>
  <c r="S298"/>
  <c r="V298"/>
  <c r="AB298"/>
  <c r="N299"/>
  <c r="N304" i="21"/>
  <c r="AD297" i="2" l="1"/>
  <c r="T298"/>
  <c r="T299" s="1"/>
  <c r="AD298"/>
  <c r="R297"/>
  <c r="L302" i="21"/>
  <c r="Z302"/>
  <c r="T302"/>
  <c r="AC302"/>
  <c r="W302"/>
  <c r="Q302"/>
  <c r="J302"/>
  <c r="M304"/>
  <c r="M300" i="2"/>
  <c r="Z298"/>
  <c r="AA298" s="1"/>
  <c r="W298"/>
  <c r="L298"/>
  <c r="J298"/>
  <c r="U298" i="21"/>
  <c r="S299"/>
  <c r="AB299"/>
  <c r="AD298"/>
  <c r="AG298"/>
  <c r="R298"/>
  <c r="AI298"/>
  <c r="P299"/>
  <c r="N305"/>
  <c r="AI298" i="2"/>
  <c r="R298"/>
  <c r="AG298"/>
  <c r="X300" i="21"/>
  <c r="V301"/>
  <c r="AA299"/>
  <c r="Y300"/>
  <c r="N300" i="2"/>
  <c r="P299"/>
  <c r="AB299"/>
  <c r="V299"/>
  <c r="S299"/>
  <c r="Y299"/>
  <c r="U298" l="1"/>
  <c r="W299"/>
  <c r="X299" s="1"/>
  <c r="X298"/>
  <c r="U299"/>
  <c r="L299"/>
  <c r="J299"/>
  <c r="M305" i="21"/>
  <c r="M301" i="2"/>
  <c r="L303" i="21"/>
  <c r="Z303"/>
  <c r="T303"/>
  <c r="AC303"/>
  <c r="W303"/>
  <c r="Q303"/>
  <c r="J303"/>
  <c r="Q299" i="2"/>
  <c r="R299" s="1"/>
  <c r="Z299"/>
  <c r="AC299"/>
  <c r="AD299" s="1"/>
  <c r="U299" i="21"/>
  <c r="S300"/>
  <c r="AB300"/>
  <c r="AD299"/>
  <c r="R299"/>
  <c r="AG299"/>
  <c r="AI299"/>
  <c r="P300"/>
  <c r="AI299" i="2"/>
  <c r="AG299"/>
  <c r="AA300" i="21"/>
  <c r="Y301"/>
  <c r="X301"/>
  <c r="V302"/>
  <c r="N301" i="2"/>
  <c r="P300"/>
  <c r="Y300"/>
  <c r="V300"/>
  <c r="S300"/>
  <c r="AB300"/>
  <c r="N306" i="21"/>
  <c r="W300" i="2" l="1"/>
  <c r="X300" s="1"/>
  <c r="T300"/>
  <c r="U300" s="1"/>
  <c r="Z300"/>
  <c r="AA300" s="1"/>
  <c r="AA299"/>
  <c r="M302"/>
  <c r="L304" i="21"/>
  <c r="Z304"/>
  <c r="T304"/>
  <c r="AC304"/>
  <c r="W304"/>
  <c r="Q304"/>
  <c r="J304"/>
  <c r="AC300" i="2"/>
  <c r="Q300"/>
  <c r="R300" s="1"/>
  <c r="L300"/>
  <c r="J300"/>
  <c r="M306" i="21"/>
  <c r="U300"/>
  <c r="S301"/>
  <c r="AD300"/>
  <c r="AB301"/>
  <c r="R300"/>
  <c r="AG300"/>
  <c r="AI300"/>
  <c r="P301"/>
  <c r="N307"/>
  <c r="AI300" i="2"/>
  <c r="AG300"/>
  <c r="X302" i="21"/>
  <c r="V303"/>
  <c r="AA301"/>
  <c r="Y302"/>
  <c r="N302" i="2"/>
  <c r="AB301"/>
  <c r="S301"/>
  <c r="P301"/>
  <c r="V301"/>
  <c r="Y301"/>
  <c r="T301" l="1"/>
  <c r="U301" s="1"/>
  <c r="W301"/>
  <c r="X301" s="1"/>
  <c r="Z301"/>
  <c r="AA301" s="1"/>
  <c r="AC301"/>
  <c r="AD301" s="1"/>
  <c r="Q301"/>
  <c r="R301" s="1"/>
  <c r="AD300"/>
  <c r="M307" i="21"/>
  <c r="L305"/>
  <c r="Z305"/>
  <c r="T305"/>
  <c r="AC305"/>
  <c r="W305"/>
  <c r="Q305"/>
  <c r="J305"/>
  <c r="L301" i="2"/>
  <c r="J301"/>
  <c r="M303"/>
  <c r="U301" i="21"/>
  <c r="S302"/>
  <c r="AI301"/>
  <c r="P302"/>
  <c r="AG301"/>
  <c r="R301"/>
  <c r="AD301"/>
  <c r="AB302"/>
  <c r="AI301" i="2"/>
  <c r="AG301"/>
  <c r="AA302" i="21"/>
  <c r="Y303"/>
  <c r="X303"/>
  <c r="V304"/>
  <c r="N308"/>
  <c r="N303" i="2"/>
  <c r="Y302"/>
  <c r="V302"/>
  <c r="P302"/>
  <c r="S302"/>
  <c r="AB302"/>
  <c r="Z302" l="1"/>
  <c r="AA302" s="1"/>
  <c r="T302"/>
  <c r="T303" s="1"/>
  <c r="Q302"/>
  <c r="Q303" s="1"/>
  <c r="L306" i="21"/>
  <c r="Z306"/>
  <c r="T306"/>
  <c r="AC306"/>
  <c r="W306"/>
  <c r="Q306"/>
  <c r="J306"/>
  <c r="M304" i="2"/>
  <c r="L302"/>
  <c r="J302"/>
  <c r="M308" i="21"/>
  <c r="AC302" i="2"/>
  <c r="AC303" s="1"/>
  <c r="W302"/>
  <c r="W303" s="1"/>
  <c r="U302" i="21"/>
  <c r="S303"/>
  <c r="AD302"/>
  <c r="AB303"/>
  <c r="AG302"/>
  <c r="R302"/>
  <c r="AI302"/>
  <c r="P303"/>
  <c r="AI302" i="2"/>
  <c r="AG302"/>
  <c r="R302"/>
  <c r="N309" i="21"/>
  <c r="X304"/>
  <c r="V305"/>
  <c r="AA303"/>
  <c r="Y304"/>
  <c r="N304" i="2"/>
  <c r="S303"/>
  <c r="P303"/>
  <c r="V303"/>
  <c r="AB303"/>
  <c r="Y303"/>
  <c r="X303" l="1"/>
  <c r="Z303"/>
  <c r="AA303" s="1"/>
  <c r="AD303"/>
  <c r="U303"/>
  <c r="U302"/>
  <c r="X302"/>
  <c r="AD302"/>
  <c r="AC304"/>
  <c r="M305"/>
  <c r="M309" i="21"/>
  <c r="AC307"/>
  <c r="W307"/>
  <c r="Q307"/>
  <c r="L307"/>
  <c r="Z307"/>
  <c r="T307"/>
  <c r="J307"/>
  <c r="L303" i="2"/>
  <c r="J303"/>
  <c r="U303" i="21"/>
  <c r="S304"/>
  <c r="AI303"/>
  <c r="P304"/>
  <c r="R303"/>
  <c r="AG303"/>
  <c r="AD303"/>
  <c r="AB304"/>
  <c r="AA304"/>
  <c r="Y305"/>
  <c r="X305"/>
  <c r="V306"/>
  <c r="AI303" i="2"/>
  <c r="R303"/>
  <c r="AG303"/>
  <c r="N305"/>
  <c r="V304"/>
  <c r="P304"/>
  <c r="S304"/>
  <c r="Y304"/>
  <c r="AB304"/>
  <c r="N310" i="21"/>
  <c r="T304" i="2" l="1"/>
  <c r="AD304"/>
  <c r="U304"/>
  <c r="Z304"/>
  <c r="AA304" s="1"/>
  <c r="Q304"/>
  <c r="R304" s="1"/>
  <c r="W304"/>
  <c r="X304" s="1"/>
  <c r="AC308" i="21"/>
  <c r="W308"/>
  <c r="Q308"/>
  <c r="L308"/>
  <c r="Z308"/>
  <c r="T308"/>
  <c r="J308"/>
  <c r="L304" i="2"/>
  <c r="J304"/>
  <c r="M310" i="21"/>
  <c r="M306" i="2"/>
  <c r="U304" i="21"/>
  <c r="S305"/>
  <c r="AD304"/>
  <c r="AB305"/>
  <c r="AI304"/>
  <c r="R304"/>
  <c r="AG304"/>
  <c r="P305"/>
  <c r="N311"/>
  <c r="AI304" i="2"/>
  <c r="AG304"/>
  <c r="V305"/>
  <c r="N306"/>
  <c r="AB305"/>
  <c r="P305"/>
  <c r="S305"/>
  <c r="Y305"/>
  <c r="X306" i="21"/>
  <c r="V307"/>
  <c r="AA305"/>
  <c r="Y306"/>
  <c r="W305" i="2" l="1"/>
  <c r="W306" s="1"/>
  <c r="L305"/>
  <c r="J305"/>
  <c r="M311" i="21"/>
  <c r="M307" i="2"/>
  <c r="AC309" i="21"/>
  <c r="W309"/>
  <c r="Q309"/>
  <c r="L309"/>
  <c r="Z309"/>
  <c r="T309"/>
  <c r="J309"/>
  <c r="Z305" i="2"/>
  <c r="AC305"/>
  <c r="AC306" s="1"/>
  <c r="Q305"/>
  <c r="R305" s="1"/>
  <c r="T305"/>
  <c r="T306" s="1"/>
  <c r="U305" i="21"/>
  <c r="S306"/>
  <c r="R305"/>
  <c r="P306"/>
  <c r="AG305"/>
  <c r="AI305"/>
  <c r="AB306"/>
  <c r="AD305"/>
  <c r="AA306"/>
  <c r="Y307"/>
  <c r="X307"/>
  <c r="V308"/>
  <c r="AI305" i="2"/>
  <c r="AG305"/>
  <c r="N307"/>
  <c r="P306"/>
  <c r="Y306"/>
  <c r="S306"/>
  <c r="AB306"/>
  <c r="V306"/>
  <c r="N312" i="21"/>
  <c r="X305" i="2" l="1"/>
  <c r="AD306"/>
  <c r="X306"/>
  <c r="U306"/>
  <c r="Q306"/>
  <c r="Q307" s="1"/>
  <c r="Z306"/>
  <c r="AA306" s="1"/>
  <c r="U305"/>
  <c r="AD305"/>
  <c r="AA305"/>
  <c r="M308"/>
  <c r="AC310" i="21"/>
  <c r="W310"/>
  <c r="Q310"/>
  <c r="L310"/>
  <c r="Z310"/>
  <c r="T310"/>
  <c r="J310"/>
  <c r="L306" i="2"/>
  <c r="J306"/>
  <c r="M312" i="21"/>
  <c r="U306"/>
  <c r="S307"/>
  <c r="AD306"/>
  <c r="AB307"/>
  <c r="AI306"/>
  <c r="R306"/>
  <c r="AG306"/>
  <c r="P307"/>
  <c r="N313"/>
  <c r="AG306" i="2"/>
  <c r="AI306"/>
  <c r="N308"/>
  <c r="P307"/>
  <c r="V307"/>
  <c r="AB307"/>
  <c r="S307"/>
  <c r="Y307"/>
  <c r="X308" i="21"/>
  <c r="V309"/>
  <c r="AA307"/>
  <c r="Y308"/>
  <c r="R306" i="2" l="1"/>
  <c r="AC307"/>
  <c r="AD307" s="1"/>
  <c r="Z307"/>
  <c r="AA307" s="1"/>
  <c r="W307"/>
  <c r="X307" s="1"/>
  <c r="T307"/>
  <c r="U307" s="1"/>
  <c r="L307"/>
  <c r="J307"/>
  <c r="M313" i="21"/>
  <c r="AC311"/>
  <c r="W311"/>
  <c r="Q311"/>
  <c r="L311"/>
  <c r="Z311"/>
  <c r="T311"/>
  <c r="J311"/>
  <c r="M309" i="2"/>
  <c r="U307" i="21"/>
  <c r="S308"/>
  <c r="AI307"/>
  <c r="P308"/>
  <c r="AG307"/>
  <c r="R307"/>
  <c r="AB308"/>
  <c r="AD307"/>
  <c r="AA308"/>
  <c r="Y309"/>
  <c r="X309"/>
  <c r="V310"/>
  <c r="AG307" i="2"/>
  <c r="AI307"/>
  <c r="R307"/>
  <c r="N309"/>
  <c r="S308"/>
  <c r="Y308"/>
  <c r="AB308"/>
  <c r="P308"/>
  <c r="V308"/>
  <c r="N314" i="21"/>
  <c r="Z308" i="2" l="1"/>
  <c r="AA308" s="1"/>
  <c r="W308"/>
  <c r="X308" s="1"/>
  <c r="Q308"/>
  <c r="R308" s="1"/>
  <c r="L312" i="21"/>
  <c r="AC312"/>
  <c r="W312"/>
  <c r="Q312"/>
  <c r="Z312"/>
  <c r="T312"/>
  <c r="J312"/>
  <c r="M310" i="2"/>
  <c r="M314" i="21"/>
  <c r="T308" i="2"/>
  <c r="T309" s="1"/>
  <c r="AC308"/>
  <c r="L308"/>
  <c r="J308"/>
  <c r="Q309"/>
  <c r="W309"/>
  <c r="U308" i="21"/>
  <c r="S309"/>
  <c r="AD308"/>
  <c r="AB309"/>
  <c r="AI308"/>
  <c r="R308"/>
  <c r="AG308"/>
  <c r="P309"/>
  <c r="AG308" i="2"/>
  <c r="AI308"/>
  <c r="P309"/>
  <c r="AB309"/>
  <c r="S309"/>
  <c r="N310"/>
  <c r="V309"/>
  <c r="Y309"/>
  <c r="X310" i="21"/>
  <c r="V311"/>
  <c r="AA309"/>
  <c r="Y310"/>
  <c r="N315"/>
  <c r="X309" i="2" l="1"/>
  <c r="U309"/>
  <c r="AC309"/>
  <c r="AD309" s="1"/>
  <c r="U308"/>
  <c r="AD308"/>
  <c r="M315" i="21"/>
  <c r="M311" i="2"/>
  <c r="L313" i="21"/>
  <c r="Z313"/>
  <c r="T313"/>
  <c r="AC313"/>
  <c r="W313"/>
  <c r="Q313"/>
  <c r="J313"/>
  <c r="L309" i="2"/>
  <c r="J309"/>
  <c r="Q310"/>
  <c r="T310"/>
  <c r="Z309"/>
  <c r="Z310" s="1"/>
  <c r="W310"/>
  <c r="U309" i="21"/>
  <c r="S310"/>
  <c r="AG309"/>
  <c r="P310"/>
  <c r="R309"/>
  <c r="AI309"/>
  <c r="AB310"/>
  <c r="AD309"/>
  <c r="N316"/>
  <c r="AA310"/>
  <c r="Y311"/>
  <c r="X311"/>
  <c r="V312"/>
  <c r="S310" i="2"/>
  <c r="U310" s="1"/>
  <c r="Y310"/>
  <c r="AA310" s="1"/>
  <c r="AB310"/>
  <c r="N311"/>
  <c r="P310"/>
  <c r="V310"/>
  <c r="AI309"/>
  <c r="R309"/>
  <c r="AG309"/>
  <c r="X310" l="1"/>
  <c r="AC310"/>
  <c r="AD310" s="1"/>
  <c r="AA309"/>
  <c r="Z311"/>
  <c r="M312"/>
  <c r="L314" i="21"/>
  <c r="Z314"/>
  <c r="T314"/>
  <c r="AC314"/>
  <c r="W314"/>
  <c r="Q314"/>
  <c r="J314"/>
  <c r="L310" i="2"/>
  <c r="J310"/>
  <c r="M316" i="21"/>
  <c r="U310"/>
  <c r="S311"/>
  <c r="AD310"/>
  <c r="AB311"/>
  <c r="AI310"/>
  <c r="R310"/>
  <c r="AG310"/>
  <c r="P311"/>
  <c r="N312" i="2"/>
  <c r="P311"/>
  <c r="Y311"/>
  <c r="V311"/>
  <c r="AB311"/>
  <c r="S311"/>
  <c r="X312" i="21"/>
  <c r="V313"/>
  <c r="R310" i="2"/>
  <c r="AI310"/>
  <c r="AG310"/>
  <c r="N317" i="21"/>
  <c r="AA311"/>
  <c r="Y312"/>
  <c r="T311" i="2" l="1"/>
  <c r="U311" s="1"/>
  <c r="Q311"/>
  <c r="R311" s="1"/>
  <c r="AC311"/>
  <c r="AD311" s="1"/>
  <c r="W311"/>
  <c r="X311" s="1"/>
  <c r="AA311"/>
  <c r="AC315" i="21"/>
  <c r="W315"/>
  <c r="Q315"/>
  <c r="L315"/>
  <c r="Z315"/>
  <c r="T315"/>
  <c r="J315"/>
  <c r="L311" i="2"/>
  <c r="J311"/>
  <c r="M317" i="21"/>
  <c r="M313" i="2"/>
  <c r="U311" i="21"/>
  <c r="S312"/>
  <c r="R311"/>
  <c r="P312"/>
  <c r="AI311"/>
  <c r="AG311"/>
  <c r="AB312"/>
  <c r="AD311"/>
  <c r="N318"/>
  <c r="AA312"/>
  <c r="Y313"/>
  <c r="N313" i="2"/>
  <c r="V312"/>
  <c r="P312"/>
  <c r="Y312"/>
  <c r="S312"/>
  <c r="AB312"/>
  <c r="X313" i="21"/>
  <c r="V314"/>
  <c r="AG311" i="2"/>
  <c r="AI311"/>
  <c r="W312" l="1"/>
  <c r="X312" s="1"/>
  <c r="L312"/>
  <c r="J312"/>
  <c r="M318" i="21"/>
  <c r="Q312" i="2"/>
  <c r="R312" s="1"/>
  <c r="M314"/>
  <c r="AC316" i="21"/>
  <c r="W316"/>
  <c r="Q316"/>
  <c r="L316"/>
  <c r="Z316"/>
  <c r="T316"/>
  <c r="J316"/>
  <c r="Z312" i="2"/>
  <c r="Z313" s="1"/>
  <c r="AC312"/>
  <c r="AC313" s="1"/>
  <c r="T312"/>
  <c r="T313" s="1"/>
  <c r="U312" i="21"/>
  <c r="S313"/>
  <c r="AB313"/>
  <c r="AD312"/>
  <c r="R312"/>
  <c r="P313"/>
  <c r="AG312"/>
  <c r="AI312"/>
  <c r="AI312" i="2"/>
  <c r="AG312"/>
  <c r="S313"/>
  <c r="V313"/>
  <c r="P313"/>
  <c r="AB313"/>
  <c r="N314"/>
  <c r="Y313"/>
  <c r="N319" i="21"/>
  <c r="X314"/>
  <c r="V315"/>
  <c r="AA313"/>
  <c r="Y314"/>
  <c r="AA313" i="2" l="1"/>
  <c r="U313"/>
  <c r="AD313"/>
  <c r="W313"/>
  <c r="X313" s="1"/>
  <c r="U312"/>
  <c r="AA312"/>
  <c r="AD312"/>
  <c r="M315"/>
  <c r="AC317" i="21"/>
  <c r="W317"/>
  <c r="Q317"/>
  <c r="L317"/>
  <c r="Z317"/>
  <c r="T317"/>
  <c r="J317"/>
  <c r="L313" i="2"/>
  <c r="J313"/>
  <c r="M319" i="21"/>
  <c r="Q313" i="2"/>
  <c r="U313" i="21"/>
  <c r="S314"/>
  <c r="AB314"/>
  <c r="AD313"/>
  <c r="AI313"/>
  <c r="P314"/>
  <c r="R313"/>
  <c r="AG313"/>
  <c r="AA314"/>
  <c r="Y315"/>
  <c r="X315"/>
  <c r="V316"/>
  <c r="N320"/>
  <c r="P314" i="2"/>
  <c r="Y314"/>
  <c r="AB314"/>
  <c r="N315"/>
  <c r="V314"/>
  <c r="S314"/>
  <c r="R313"/>
  <c r="AI313"/>
  <c r="AG313"/>
  <c r="W314" l="1"/>
  <c r="X314" s="1"/>
  <c r="Z314"/>
  <c r="AA314" s="1"/>
  <c r="Q314"/>
  <c r="R314" s="1"/>
  <c r="T314"/>
  <c r="U314" s="1"/>
  <c r="AC318" i="21"/>
  <c r="W318"/>
  <c r="Q318"/>
  <c r="L318"/>
  <c r="Z318"/>
  <c r="T318"/>
  <c r="J318"/>
  <c r="M320"/>
  <c r="M316" i="2"/>
  <c r="AC314"/>
  <c r="L314"/>
  <c r="J314"/>
  <c r="U314" i="21"/>
  <c r="S315"/>
  <c r="AB315"/>
  <c r="AD314"/>
  <c r="AG314"/>
  <c r="R314"/>
  <c r="AI314"/>
  <c r="P315"/>
  <c r="AI314" i="2"/>
  <c r="AG314"/>
  <c r="N321" i="21"/>
  <c r="AB315" i="2"/>
  <c r="Y315"/>
  <c r="P315"/>
  <c r="S315"/>
  <c r="N316"/>
  <c r="V315"/>
  <c r="X316" i="21"/>
  <c r="V317"/>
  <c r="AA315"/>
  <c r="Y316"/>
  <c r="T315" i="2" l="1"/>
  <c r="U315" s="1"/>
  <c r="AC315"/>
  <c r="AD315" s="1"/>
  <c r="AD314"/>
  <c r="L315"/>
  <c r="J315"/>
  <c r="M321" i="21"/>
  <c r="M317" i="2"/>
  <c r="AC319" i="21"/>
  <c r="W319"/>
  <c r="Q319"/>
  <c r="L319"/>
  <c r="Z319"/>
  <c r="T319"/>
  <c r="J319"/>
  <c r="Q315" i="2"/>
  <c r="R315" s="1"/>
  <c r="Z315"/>
  <c r="Z316" s="1"/>
  <c r="W315"/>
  <c r="U315" i="21"/>
  <c r="S316"/>
  <c r="AD315"/>
  <c r="AB316"/>
  <c r="AI315"/>
  <c r="P316"/>
  <c r="AG315"/>
  <c r="R315"/>
  <c r="N317" i="2"/>
  <c r="P316"/>
  <c r="Y316"/>
  <c r="AB316"/>
  <c r="V316"/>
  <c r="S316"/>
  <c r="AI315"/>
  <c r="AG315"/>
  <c r="N322" i="21"/>
  <c r="AA316"/>
  <c r="Y317"/>
  <c r="X317"/>
  <c r="V318"/>
  <c r="T316" i="2" l="1"/>
  <c r="U316" s="1"/>
  <c r="AC316"/>
  <c r="AD316" s="1"/>
  <c r="AA315"/>
  <c r="AA316"/>
  <c r="W316"/>
  <c r="X316" s="1"/>
  <c r="Q316"/>
  <c r="X315"/>
  <c r="M318"/>
  <c r="AC320" i="21"/>
  <c r="W320"/>
  <c r="Q320"/>
  <c r="L320"/>
  <c r="Z320"/>
  <c r="T320"/>
  <c r="J320"/>
  <c r="L316" i="2"/>
  <c r="J316"/>
  <c r="M322" i="21"/>
  <c r="U316"/>
  <c r="S317"/>
  <c r="AG316"/>
  <c r="R316"/>
  <c r="AI316"/>
  <c r="P317"/>
  <c r="AB317"/>
  <c r="AD316"/>
  <c r="N323"/>
  <c r="R316" i="2"/>
  <c r="AI316"/>
  <c r="AG316"/>
  <c r="X318" i="21"/>
  <c r="V319"/>
  <c r="AA317"/>
  <c r="Y318"/>
  <c r="N318" i="2"/>
  <c r="P317"/>
  <c r="V317"/>
  <c r="Y317"/>
  <c r="S317"/>
  <c r="AB317"/>
  <c r="W317" l="1"/>
  <c r="X317" s="1"/>
  <c r="Z317"/>
  <c r="AA317" s="1"/>
  <c r="Q317"/>
  <c r="R317" s="1"/>
  <c r="AC317"/>
  <c r="AD317" s="1"/>
  <c r="T317"/>
  <c r="U317" s="1"/>
  <c r="L317"/>
  <c r="J317"/>
  <c r="M323" i="21"/>
  <c r="AC321"/>
  <c r="W321"/>
  <c r="Q321"/>
  <c r="L321"/>
  <c r="Z321"/>
  <c r="T321"/>
  <c r="J321"/>
  <c r="M319" i="2"/>
  <c r="U317" i="21"/>
  <c r="S318"/>
  <c r="AD317"/>
  <c r="AB318"/>
  <c r="AG317"/>
  <c r="AI317"/>
  <c r="P318"/>
  <c r="R317"/>
  <c r="AG317" i="2"/>
  <c r="AI317"/>
  <c r="AA318" i="21"/>
  <c r="Y319"/>
  <c r="X319"/>
  <c r="V320"/>
  <c r="Y318" i="2"/>
  <c r="AB318"/>
  <c r="V318"/>
  <c r="S318"/>
  <c r="P318"/>
  <c r="N319"/>
  <c r="N324" i="21"/>
  <c r="AC318" i="2" l="1"/>
  <c r="AD318" s="1"/>
  <c r="T318"/>
  <c r="U318" s="1"/>
  <c r="Z318"/>
  <c r="AA318" s="1"/>
  <c r="W318"/>
  <c r="X318" s="1"/>
  <c r="AC322" i="21"/>
  <c r="W322"/>
  <c r="Q322"/>
  <c r="L322"/>
  <c r="Z322"/>
  <c r="T322"/>
  <c r="J322"/>
  <c r="L318" i="2"/>
  <c r="J318"/>
  <c r="M324" i="21"/>
  <c r="Q318" i="2"/>
  <c r="R318" s="1"/>
  <c r="M320"/>
  <c r="U318" i="21"/>
  <c r="S319"/>
  <c r="AG318"/>
  <c r="AI318"/>
  <c r="R318"/>
  <c r="P319"/>
  <c r="AD318"/>
  <c r="AB319"/>
  <c r="N325"/>
  <c r="P319" i="2"/>
  <c r="N320"/>
  <c r="V319"/>
  <c r="Y319"/>
  <c r="S319"/>
  <c r="AB319"/>
  <c r="X320" i="21"/>
  <c r="V321"/>
  <c r="AA319"/>
  <c r="Y320"/>
  <c r="AG318" i="2"/>
  <c r="AI318"/>
  <c r="W319" l="1"/>
  <c r="W320" s="1"/>
  <c r="L319"/>
  <c r="J319"/>
  <c r="AC323" i="21"/>
  <c r="W323"/>
  <c r="Q323"/>
  <c r="L323"/>
  <c r="Z323"/>
  <c r="T323"/>
  <c r="J323"/>
  <c r="M321" i="2"/>
  <c r="M325" i="21"/>
  <c r="Z319" i="2"/>
  <c r="AA319" s="1"/>
  <c r="AC319"/>
  <c r="AC320" s="1"/>
  <c r="Q319"/>
  <c r="T319"/>
  <c r="T320" s="1"/>
  <c r="U319" i="21"/>
  <c r="S320"/>
  <c r="AD319"/>
  <c r="AB320"/>
  <c r="AG319"/>
  <c r="R319"/>
  <c r="AI319"/>
  <c r="P320"/>
  <c r="AA320"/>
  <c r="Y321"/>
  <c r="X321"/>
  <c r="V322"/>
  <c r="Y320" i="2"/>
  <c r="V320"/>
  <c r="S320"/>
  <c r="N321"/>
  <c r="P320"/>
  <c r="AB320"/>
  <c r="N326" i="21"/>
  <c r="AI319" i="2"/>
  <c r="R319"/>
  <c r="AG319"/>
  <c r="X320" l="1"/>
  <c r="AD320"/>
  <c r="X319"/>
  <c r="U320"/>
  <c r="Q320"/>
  <c r="U319"/>
  <c r="AD319"/>
  <c r="AC324" i="21"/>
  <c r="W324"/>
  <c r="Q324"/>
  <c r="L324"/>
  <c r="Z324"/>
  <c r="T324"/>
  <c r="J324"/>
  <c r="M322" i="2"/>
  <c r="AC321"/>
  <c r="Z320"/>
  <c r="AA320" s="1"/>
  <c r="M326" i="21"/>
  <c r="L320" i="2"/>
  <c r="J320"/>
  <c r="U320" i="21"/>
  <c r="S321"/>
  <c r="AG320"/>
  <c r="P321"/>
  <c r="AI320"/>
  <c r="R320"/>
  <c r="AB321"/>
  <c r="AD320"/>
  <c r="X322"/>
  <c r="V323"/>
  <c r="AA321"/>
  <c r="Y322"/>
  <c r="N327"/>
  <c r="AI320" i="2"/>
  <c r="R320"/>
  <c r="AG320"/>
  <c r="N322"/>
  <c r="AB321"/>
  <c r="S321"/>
  <c r="V321"/>
  <c r="Y321"/>
  <c r="P321"/>
  <c r="AD321" l="1"/>
  <c r="Z321"/>
  <c r="AA321" s="1"/>
  <c r="AC325" i="21"/>
  <c r="W325"/>
  <c r="Q325"/>
  <c r="L325"/>
  <c r="Z325"/>
  <c r="T325"/>
  <c r="J325"/>
  <c r="L321" i="2"/>
  <c r="J321"/>
  <c r="M327" i="21"/>
  <c r="M323" i="2"/>
  <c r="W321"/>
  <c r="X321" s="1"/>
  <c r="T321"/>
  <c r="U321" s="1"/>
  <c r="Q321"/>
  <c r="R321" s="1"/>
  <c r="U321" i="21"/>
  <c r="S322"/>
  <c r="AB322"/>
  <c r="AD321"/>
  <c r="R321"/>
  <c r="P322"/>
  <c r="AI321"/>
  <c r="AG321"/>
  <c r="P322" i="2"/>
  <c r="Y322"/>
  <c r="V322"/>
  <c r="S322"/>
  <c r="AB322"/>
  <c r="N323"/>
  <c r="AA322" i="21"/>
  <c r="Y323"/>
  <c r="X323"/>
  <c r="V324"/>
  <c r="AI321" i="2"/>
  <c r="AG321"/>
  <c r="N328" i="21"/>
  <c r="L322" i="2" l="1"/>
  <c r="J322"/>
  <c r="M324"/>
  <c r="M328" i="21"/>
  <c r="T322" i="2"/>
  <c r="U322" s="1"/>
  <c r="AC322"/>
  <c r="AC323" s="1"/>
  <c r="Z322"/>
  <c r="AA322" s="1"/>
  <c r="AC326" i="21"/>
  <c r="W326"/>
  <c r="Q326"/>
  <c r="L326"/>
  <c r="Z326"/>
  <c r="T326"/>
  <c r="J326"/>
  <c r="Q322" i="2"/>
  <c r="R322" s="1"/>
  <c r="W322"/>
  <c r="W323" s="1"/>
  <c r="U322" i="21"/>
  <c r="S323"/>
  <c r="AB323"/>
  <c r="AD322"/>
  <c r="AG322"/>
  <c r="P323"/>
  <c r="AI322"/>
  <c r="R322"/>
  <c r="N329"/>
  <c r="N324" i="2"/>
  <c r="P323"/>
  <c r="AB323"/>
  <c r="AD323" s="1"/>
  <c r="S323"/>
  <c r="V323"/>
  <c r="X323" s="1"/>
  <c r="Y323"/>
  <c r="AI322"/>
  <c r="AG322"/>
  <c r="X324" i="21"/>
  <c r="V325"/>
  <c r="AA323"/>
  <c r="Y324"/>
  <c r="AD322" i="2" l="1"/>
  <c r="X322"/>
  <c r="AC327" i="21"/>
  <c r="W327"/>
  <c r="Q327"/>
  <c r="L327"/>
  <c r="Z327"/>
  <c r="T327"/>
  <c r="J327"/>
  <c r="L323" i="2"/>
  <c r="J323"/>
  <c r="M329" i="21"/>
  <c r="M325" i="2"/>
  <c r="AC324"/>
  <c r="Q323"/>
  <c r="Q324" s="1"/>
  <c r="Z323"/>
  <c r="Z324" s="1"/>
  <c r="T323"/>
  <c r="T324" s="1"/>
  <c r="W324"/>
  <c r="U323" i="21"/>
  <c r="S324"/>
  <c r="AB324"/>
  <c r="AD323"/>
  <c r="R323"/>
  <c r="P324"/>
  <c r="AI323"/>
  <c r="AG323"/>
  <c r="AA324"/>
  <c r="Y325"/>
  <c r="X325"/>
  <c r="V326"/>
  <c r="P324" i="2"/>
  <c r="N325"/>
  <c r="Y324"/>
  <c r="S324"/>
  <c r="V324"/>
  <c r="AB324"/>
  <c r="AD324" s="1"/>
  <c r="N330" i="21"/>
  <c r="AG323" i="2"/>
  <c r="R323"/>
  <c r="AI323"/>
  <c r="X324" l="1"/>
  <c r="AA324"/>
  <c r="U323"/>
  <c r="U324"/>
  <c r="AA323"/>
  <c r="T325"/>
  <c r="M326"/>
  <c r="AC328" i="21"/>
  <c r="W328"/>
  <c r="Q328"/>
  <c r="L328"/>
  <c r="Z328"/>
  <c r="T328"/>
  <c r="J328"/>
  <c r="L324" i="2"/>
  <c r="J324"/>
  <c r="M330" i="21"/>
  <c r="U324"/>
  <c r="S325"/>
  <c r="AB325"/>
  <c r="AD324"/>
  <c r="AI324"/>
  <c r="P325"/>
  <c r="R324"/>
  <c r="AG324"/>
  <c r="X326"/>
  <c r="V327"/>
  <c r="AA325"/>
  <c r="Y326"/>
  <c r="N331"/>
  <c r="R324" i="2"/>
  <c r="AI324"/>
  <c r="AG324"/>
  <c r="AB325"/>
  <c r="S325"/>
  <c r="V325"/>
  <c r="Y325"/>
  <c r="N326"/>
  <c r="P325"/>
  <c r="U325" l="1"/>
  <c r="Z325"/>
  <c r="AA325" s="1"/>
  <c r="Q325"/>
  <c r="R325" s="1"/>
  <c r="AC325"/>
  <c r="AD325" s="1"/>
  <c r="W325"/>
  <c r="X325" s="1"/>
  <c r="AC329" i="21"/>
  <c r="W329"/>
  <c r="Q329"/>
  <c r="L329"/>
  <c r="Z329"/>
  <c r="T329"/>
  <c r="J329"/>
  <c r="L325" i="2"/>
  <c r="J325"/>
  <c r="M331" i="21"/>
  <c r="M327" i="2"/>
  <c r="U325" i="21"/>
  <c r="S326"/>
  <c r="AB326"/>
  <c r="AD325"/>
  <c r="R325"/>
  <c r="P326"/>
  <c r="AI325"/>
  <c r="AG325"/>
  <c r="P326" i="2"/>
  <c r="Y326"/>
  <c r="V326"/>
  <c r="S326"/>
  <c r="AB326"/>
  <c r="N327"/>
  <c r="AA326" i="21"/>
  <c r="Y327"/>
  <c r="X327"/>
  <c r="V328"/>
  <c r="AI325" i="2"/>
  <c r="AG325"/>
  <c r="N332" i="21"/>
  <c r="W326" i="2" l="1"/>
  <c r="X326" s="1"/>
  <c r="L326"/>
  <c r="J326"/>
  <c r="AC330" i="21"/>
  <c r="W330"/>
  <c r="Q330"/>
  <c r="L330"/>
  <c r="Z330"/>
  <c r="T330"/>
  <c r="J330"/>
  <c r="Q326" i="2"/>
  <c r="M328"/>
  <c r="M332" i="21"/>
  <c r="T326" i="2"/>
  <c r="AC326"/>
  <c r="AD326" s="1"/>
  <c r="Z326"/>
  <c r="U326" i="21"/>
  <c r="S327"/>
  <c r="AB327"/>
  <c r="AD326"/>
  <c r="AG326"/>
  <c r="P327"/>
  <c r="AI326"/>
  <c r="R326"/>
  <c r="R326" i="2"/>
  <c r="AI326"/>
  <c r="AG326"/>
  <c r="N333" i="21"/>
  <c r="X328"/>
  <c r="V329"/>
  <c r="AA327"/>
  <c r="Y328"/>
  <c r="P327" i="2"/>
  <c r="AB327"/>
  <c r="S327"/>
  <c r="V327"/>
  <c r="Y327"/>
  <c r="N328"/>
  <c r="Z327" l="1"/>
  <c r="AA327" s="1"/>
  <c r="T327"/>
  <c r="U327" s="1"/>
  <c r="AA326"/>
  <c r="AC327"/>
  <c r="AD327" s="1"/>
  <c r="U326"/>
  <c r="AC331" i="21"/>
  <c r="W331"/>
  <c r="Q331"/>
  <c r="L331"/>
  <c r="Z331"/>
  <c r="T331"/>
  <c r="J331"/>
  <c r="M329" i="2"/>
  <c r="Q327"/>
  <c r="R327" s="1"/>
  <c r="M333" i="21"/>
  <c r="L327" i="2"/>
  <c r="J327"/>
  <c r="W327"/>
  <c r="X327" s="1"/>
  <c r="U327" i="21"/>
  <c r="S328"/>
  <c r="AB328"/>
  <c r="AD327"/>
  <c r="R327"/>
  <c r="P328"/>
  <c r="AI327"/>
  <c r="AG327"/>
  <c r="AI327" i="2"/>
  <c r="AG327"/>
  <c r="N334" i="21"/>
  <c r="P328" i="2"/>
  <c r="Y328"/>
  <c r="V328"/>
  <c r="S328"/>
  <c r="AB328"/>
  <c r="N329"/>
  <c r="AA328" i="21"/>
  <c r="Y329"/>
  <c r="X329"/>
  <c r="V330"/>
  <c r="T328" i="2" l="1"/>
  <c r="U328" s="1"/>
  <c r="Q328"/>
  <c r="R328" s="1"/>
  <c r="AC332" i="21"/>
  <c r="W332"/>
  <c r="Q332"/>
  <c r="L332"/>
  <c r="Z332"/>
  <c r="T332"/>
  <c r="J332"/>
  <c r="L328" i="2"/>
  <c r="J328"/>
  <c r="M334" i="21"/>
  <c r="M330" i="2"/>
  <c r="W328"/>
  <c r="W329" s="1"/>
  <c r="Z328"/>
  <c r="Z329" s="1"/>
  <c r="AC328"/>
  <c r="AC329" s="1"/>
  <c r="U328" i="21"/>
  <c r="S329"/>
  <c r="AD328"/>
  <c r="AB329"/>
  <c r="AI328"/>
  <c r="AG328"/>
  <c r="R328"/>
  <c r="P329"/>
  <c r="N335"/>
  <c r="X330"/>
  <c r="V331"/>
  <c r="AA329"/>
  <c r="Y330"/>
  <c r="N330" i="2"/>
  <c r="P329"/>
  <c r="AB329"/>
  <c r="S329"/>
  <c r="V329"/>
  <c r="X329" s="1"/>
  <c r="Y329"/>
  <c r="AI328"/>
  <c r="AG328"/>
  <c r="AD329" l="1"/>
  <c r="Q329"/>
  <c r="AA329"/>
  <c r="X328"/>
  <c r="AA328"/>
  <c r="AD328"/>
  <c r="L329"/>
  <c r="J329"/>
  <c r="M335" i="21"/>
  <c r="T329" i="2"/>
  <c r="U329" s="1"/>
  <c r="W330"/>
  <c r="M331"/>
  <c r="AC333" i="21"/>
  <c r="W333"/>
  <c r="Q333"/>
  <c r="L333"/>
  <c r="Z333"/>
  <c r="T333"/>
  <c r="J333"/>
  <c r="U329"/>
  <c r="S330"/>
  <c r="AG329"/>
  <c r="AI329"/>
  <c r="R329"/>
  <c r="P330"/>
  <c r="AD329"/>
  <c r="AB330"/>
  <c r="R329" i="2"/>
  <c r="AI329"/>
  <c r="AG329"/>
  <c r="AA330" i="21"/>
  <c r="Y331"/>
  <c r="X331"/>
  <c r="V332"/>
  <c r="P330" i="2"/>
  <c r="Y330"/>
  <c r="V330"/>
  <c r="S330"/>
  <c r="AB330"/>
  <c r="N331"/>
  <c r="N336" i="21"/>
  <c r="X330" i="2" l="1"/>
  <c r="L330"/>
  <c r="J330"/>
  <c r="AC334" i="21"/>
  <c r="W334"/>
  <c r="Q334"/>
  <c r="L334"/>
  <c r="Z334"/>
  <c r="T334"/>
  <c r="J334"/>
  <c r="M332" i="2"/>
  <c r="W331"/>
  <c r="M336" i="21"/>
  <c r="Q330" i="2"/>
  <c r="R330" s="1"/>
  <c r="AC330"/>
  <c r="AC331" s="1"/>
  <c r="T330"/>
  <c r="Z330"/>
  <c r="Z331" s="1"/>
  <c r="U330" i="21"/>
  <c r="S331"/>
  <c r="AB331"/>
  <c r="AD330"/>
  <c r="AI330"/>
  <c r="P331"/>
  <c r="R330"/>
  <c r="AG330"/>
  <c r="N337"/>
  <c r="AI330" i="2"/>
  <c r="AG330"/>
  <c r="N332"/>
  <c r="P331"/>
  <c r="AB331"/>
  <c r="S331"/>
  <c r="V331"/>
  <c r="Y331"/>
  <c r="X332" i="21"/>
  <c r="V333"/>
  <c r="AA331"/>
  <c r="Y332"/>
  <c r="AA331" i="2" l="1"/>
  <c r="X331"/>
  <c r="AD331"/>
  <c r="T331"/>
  <c r="U331" s="1"/>
  <c r="Q331"/>
  <c r="R331" s="1"/>
  <c r="AD330"/>
  <c r="U330"/>
  <c r="AA330"/>
  <c r="AC335" i="21"/>
  <c r="W335"/>
  <c r="Q335"/>
  <c r="L335"/>
  <c r="Z335"/>
  <c r="T335"/>
  <c r="J335"/>
  <c r="L331" i="2"/>
  <c r="J331"/>
  <c r="M337" i="21"/>
  <c r="W332" i="2"/>
  <c r="M333"/>
  <c r="U331" i="21"/>
  <c r="S332"/>
  <c r="AD331"/>
  <c r="AB332"/>
  <c r="AI331"/>
  <c r="R331"/>
  <c r="AG331"/>
  <c r="P332"/>
  <c r="P332" i="2"/>
  <c r="Y332"/>
  <c r="V332"/>
  <c r="S332"/>
  <c r="AB332"/>
  <c r="N333"/>
  <c r="AA332" i="21"/>
  <c r="Y333"/>
  <c r="X333"/>
  <c r="V334"/>
  <c r="AG331" i="2"/>
  <c r="AI331"/>
  <c r="N338" i="21"/>
  <c r="X332" i="2" l="1"/>
  <c r="T332"/>
  <c r="T333" s="1"/>
  <c r="AC332"/>
  <c r="AD332" s="1"/>
  <c r="Q332"/>
  <c r="M334"/>
  <c r="AC336" i="21"/>
  <c r="W336"/>
  <c r="Q336"/>
  <c r="L336"/>
  <c r="Z336"/>
  <c r="T336"/>
  <c r="J336"/>
  <c r="L332" i="2"/>
  <c r="J332"/>
  <c r="M338" i="21"/>
  <c r="Z332" i="2"/>
  <c r="U332" i="21"/>
  <c r="S333"/>
  <c r="R332"/>
  <c r="AI332"/>
  <c r="AG332"/>
  <c r="P333"/>
  <c r="AD332"/>
  <c r="AB333"/>
  <c r="N339"/>
  <c r="X334"/>
  <c r="V335"/>
  <c r="AA333"/>
  <c r="Y334"/>
  <c r="AI332" i="2"/>
  <c r="AG332"/>
  <c r="R332"/>
  <c r="N334"/>
  <c r="P333"/>
  <c r="AB333"/>
  <c r="S333"/>
  <c r="V333"/>
  <c r="Y333"/>
  <c r="U332" l="1"/>
  <c r="W333"/>
  <c r="X333" s="1"/>
  <c r="AC333"/>
  <c r="AD333" s="1"/>
  <c r="U333"/>
  <c r="Z333"/>
  <c r="AA333" s="1"/>
  <c r="Q333"/>
  <c r="AA332"/>
  <c r="AC337" i="21"/>
  <c r="W337"/>
  <c r="Q337"/>
  <c r="L337"/>
  <c r="Z337"/>
  <c r="T337"/>
  <c r="J337"/>
  <c r="L333" i="2"/>
  <c r="J333"/>
  <c r="M339" i="21"/>
  <c r="M335" i="2"/>
  <c r="T334"/>
  <c r="U333" i="21"/>
  <c r="S334"/>
  <c r="AB334"/>
  <c r="AD333"/>
  <c r="AI333"/>
  <c r="AG333"/>
  <c r="P334"/>
  <c r="R333"/>
  <c r="P334" i="2"/>
  <c r="Y334"/>
  <c r="V334"/>
  <c r="S334"/>
  <c r="U334" s="1"/>
  <c r="AB334"/>
  <c r="N335"/>
  <c r="R333"/>
  <c r="AG333"/>
  <c r="AI333"/>
  <c r="N340" i="21"/>
  <c r="AA334"/>
  <c r="Y335"/>
  <c r="X335"/>
  <c r="V336"/>
  <c r="Z334" i="2" l="1"/>
  <c r="Z335" s="1"/>
  <c r="AC334"/>
  <c r="AC335" s="1"/>
  <c r="AA334"/>
  <c r="Q334"/>
  <c r="Q335" s="1"/>
  <c r="M336"/>
  <c r="AC338" i="21"/>
  <c r="W338"/>
  <c r="Q338"/>
  <c r="L338"/>
  <c r="Z338"/>
  <c r="T338"/>
  <c r="J338"/>
  <c r="L334" i="2"/>
  <c r="J334"/>
  <c r="M340" i="21"/>
  <c r="T335" i="2"/>
  <c r="W334"/>
  <c r="W335" s="1"/>
  <c r="U334" i="21"/>
  <c r="S335"/>
  <c r="R334"/>
  <c r="P335"/>
  <c r="AI334"/>
  <c r="AG334"/>
  <c r="AB335"/>
  <c r="AD334"/>
  <c r="X336"/>
  <c r="V337"/>
  <c r="AA335"/>
  <c r="Y336"/>
  <c r="N341"/>
  <c r="AI334" i="2"/>
  <c r="AG334"/>
  <c r="N336"/>
  <c r="P335"/>
  <c r="AB335"/>
  <c r="S335"/>
  <c r="V335"/>
  <c r="Y335"/>
  <c r="AD334" l="1"/>
  <c r="R334"/>
  <c r="U335"/>
  <c r="X335"/>
  <c r="AD335"/>
  <c r="X334"/>
  <c r="AA335"/>
  <c r="AC339" i="21"/>
  <c r="W339"/>
  <c r="Q339"/>
  <c r="L339"/>
  <c r="Z339"/>
  <c r="T339"/>
  <c r="J339"/>
  <c r="AC336" i="2"/>
  <c r="M337"/>
  <c r="Z336"/>
  <c r="M341" i="21"/>
  <c r="L335" i="2"/>
  <c r="J335"/>
  <c r="W336"/>
  <c r="Q336"/>
  <c r="U335" i="21"/>
  <c r="S336"/>
  <c r="AD335"/>
  <c r="AB336"/>
  <c r="AG335"/>
  <c r="AI335"/>
  <c r="P336"/>
  <c r="R335"/>
  <c r="N342"/>
  <c r="R335" i="2"/>
  <c r="AI335"/>
  <c r="AG335"/>
  <c r="P336"/>
  <c r="Y336"/>
  <c r="V336"/>
  <c r="S336"/>
  <c r="AB336"/>
  <c r="AD336" s="1"/>
  <c r="N337"/>
  <c r="AA336" i="21"/>
  <c r="Y337"/>
  <c r="X337"/>
  <c r="V338"/>
  <c r="AA336" i="2" l="1"/>
  <c r="T336"/>
  <c r="T337" s="1"/>
  <c r="X336"/>
  <c r="M342" i="21"/>
  <c r="M338" i="2"/>
  <c r="AC340" i="21"/>
  <c r="W340"/>
  <c r="Q340"/>
  <c r="L340"/>
  <c r="Z340"/>
  <c r="T340"/>
  <c r="J340"/>
  <c r="L336" i="2"/>
  <c r="J336"/>
  <c r="W337"/>
  <c r="U336" i="21"/>
  <c r="S337"/>
  <c r="R336"/>
  <c r="P337"/>
  <c r="AI336"/>
  <c r="AG336"/>
  <c r="AB337"/>
  <c r="AD336"/>
  <c r="AG336" i="2"/>
  <c r="AI336"/>
  <c r="R336"/>
  <c r="N343" i="21"/>
  <c r="X338"/>
  <c r="V339"/>
  <c r="AA337"/>
  <c r="Y338"/>
  <c r="P337" i="2"/>
  <c r="AB337"/>
  <c r="S337"/>
  <c r="V337"/>
  <c r="Y337"/>
  <c r="N338"/>
  <c r="U336" l="1"/>
  <c r="U337"/>
  <c r="Z337"/>
  <c r="AA337" s="1"/>
  <c r="Q337"/>
  <c r="R337" s="1"/>
  <c r="AC337"/>
  <c r="AD337" s="1"/>
  <c r="X337"/>
  <c r="T338"/>
  <c r="M339"/>
  <c r="M343" i="21"/>
  <c r="W338" i="2"/>
  <c r="L337"/>
  <c r="J337"/>
  <c r="AC341" i="21"/>
  <c r="W341"/>
  <c r="Q341"/>
  <c r="L341"/>
  <c r="Z341"/>
  <c r="T341"/>
  <c r="J341"/>
  <c r="Q338" i="2"/>
  <c r="U337" i="21"/>
  <c r="S338"/>
  <c r="AD337"/>
  <c r="AB338"/>
  <c r="AG337"/>
  <c r="AI337"/>
  <c r="R337"/>
  <c r="P338"/>
  <c r="AI337" i="2"/>
  <c r="AG337"/>
  <c r="N344" i="21"/>
  <c r="P338" i="2"/>
  <c r="Y338"/>
  <c r="S338"/>
  <c r="N339"/>
  <c r="V338"/>
  <c r="AB338"/>
  <c r="AA338" i="21"/>
  <c r="Y339"/>
  <c r="X339"/>
  <c r="V340"/>
  <c r="U338" i="2" l="1"/>
  <c r="X338"/>
  <c r="AC338"/>
  <c r="AD338" s="1"/>
  <c r="Z338"/>
  <c r="AA338" s="1"/>
  <c r="AC342" i="21"/>
  <c r="W342"/>
  <c r="Q342"/>
  <c r="L342"/>
  <c r="Z342"/>
  <c r="T342"/>
  <c r="J342"/>
  <c r="M340" i="2"/>
  <c r="T339"/>
  <c r="M344" i="21"/>
  <c r="L338" i="2"/>
  <c r="J338"/>
  <c r="U338" i="21"/>
  <c r="S339"/>
  <c r="AI338"/>
  <c r="AG338"/>
  <c r="R338"/>
  <c r="P339"/>
  <c r="AD338"/>
  <c r="AB339"/>
  <c r="AI338" i="2"/>
  <c r="R338"/>
  <c r="AG338"/>
  <c r="X340" i="21"/>
  <c r="V341"/>
  <c r="AA339"/>
  <c r="Y340"/>
  <c r="AB339" i="2"/>
  <c r="S339"/>
  <c r="V339"/>
  <c r="Y339"/>
  <c r="N340"/>
  <c r="P339"/>
  <c r="N345" i="21"/>
  <c r="W339" i="2" l="1"/>
  <c r="X339" s="1"/>
  <c r="U339"/>
  <c r="AC339"/>
  <c r="AD339" s="1"/>
  <c r="AC343" i="21"/>
  <c r="W343"/>
  <c r="Q343"/>
  <c r="L343"/>
  <c r="Z343"/>
  <c r="T343"/>
  <c r="J343"/>
  <c r="M341" i="2"/>
  <c r="Z339"/>
  <c r="Z340" s="1"/>
  <c r="Q339"/>
  <c r="Q340" s="1"/>
  <c r="M345" i="21"/>
  <c r="L339" i="2"/>
  <c r="J339"/>
  <c r="AC340"/>
  <c r="U339" i="21"/>
  <c r="S340"/>
  <c r="AD339"/>
  <c r="AB340"/>
  <c r="AG339"/>
  <c r="AI339"/>
  <c r="P340"/>
  <c r="R339"/>
  <c r="N346"/>
  <c r="N341" i="2"/>
  <c r="P340"/>
  <c r="Y340"/>
  <c r="V340"/>
  <c r="S340"/>
  <c r="AB340"/>
  <c r="R339"/>
  <c r="AI339"/>
  <c r="AG339"/>
  <c r="AA340" i="21"/>
  <c r="Y341"/>
  <c r="X341"/>
  <c r="V342"/>
  <c r="AA340" i="2" l="1"/>
  <c r="W340"/>
  <c r="W341" s="1"/>
  <c r="AD340"/>
  <c r="AA339"/>
  <c r="AC344" i="21"/>
  <c r="W344"/>
  <c r="Q344"/>
  <c r="L344"/>
  <c r="Z344"/>
  <c r="T344"/>
  <c r="J344"/>
  <c r="L340" i="2"/>
  <c r="J340"/>
  <c r="T340"/>
  <c r="U340" s="1"/>
  <c r="M346" i="21"/>
  <c r="M342" i="2"/>
  <c r="U340" i="21"/>
  <c r="S341"/>
  <c r="AB341"/>
  <c r="AD340"/>
  <c r="AI340"/>
  <c r="P341"/>
  <c r="AG340"/>
  <c r="R340"/>
  <c r="AG340" i="2"/>
  <c r="AI340"/>
  <c r="R340"/>
  <c r="N347" i="21"/>
  <c r="X342"/>
  <c r="V343"/>
  <c r="AA341"/>
  <c r="Y342"/>
  <c r="P341" i="2"/>
  <c r="N342"/>
  <c r="V341"/>
  <c r="AB341"/>
  <c r="S341"/>
  <c r="Y341"/>
  <c r="X340" l="1"/>
  <c r="Z341"/>
  <c r="AA341" s="1"/>
  <c r="X341"/>
  <c r="AC341"/>
  <c r="AD341" s="1"/>
  <c r="M343"/>
  <c r="M347" i="21"/>
  <c r="L341" i="2"/>
  <c r="J341"/>
  <c r="AC345" i="21"/>
  <c r="W345"/>
  <c r="Q345"/>
  <c r="L345"/>
  <c r="Z345"/>
  <c r="T345"/>
  <c r="J345"/>
  <c r="T341" i="2"/>
  <c r="Q341"/>
  <c r="Q342" s="1"/>
  <c r="U341" i="21"/>
  <c r="S342"/>
  <c r="AB342"/>
  <c r="AD341"/>
  <c r="R341"/>
  <c r="P342"/>
  <c r="AG341"/>
  <c r="AI341"/>
  <c r="AG341" i="2"/>
  <c r="AI341"/>
  <c r="N348" i="21"/>
  <c r="N343" i="2"/>
  <c r="Y342"/>
  <c r="S342"/>
  <c r="P342"/>
  <c r="AB342"/>
  <c r="V342"/>
  <c r="AA342" i="21"/>
  <c r="Y343"/>
  <c r="X343"/>
  <c r="V344"/>
  <c r="AC342" i="2" l="1"/>
  <c r="Z342"/>
  <c r="AA342" s="1"/>
  <c r="AD342"/>
  <c r="R341"/>
  <c r="T342"/>
  <c r="U342" s="1"/>
  <c r="W342"/>
  <c r="X342" s="1"/>
  <c r="U341"/>
  <c r="M348" i="21"/>
  <c r="AC343" i="2"/>
  <c r="M344"/>
  <c r="T343"/>
  <c r="AC346" i="21"/>
  <c r="W346"/>
  <c r="Q346"/>
  <c r="L346"/>
  <c r="Z346"/>
  <c r="T346"/>
  <c r="J346"/>
  <c r="L342" i="2"/>
  <c r="J342"/>
  <c r="Q343"/>
  <c r="U342" i="21"/>
  <c r="S343"/>
  <c r="AD342"/>
  <c r="AB343"/>
  <c r="AG342"/>
  <c r="R342"/>
  <c r="AI342"/>
  <c r="P343"/>
  <c r="N344" i="2"/>
  <c r="V343"/>
  <c r="AB343"/>
  <c r="P343"/>
  <c r="S343"/>
  <c r="Y343"/>
  <c r="N349" i="21"/>
  <c r="X344"/>
  <c r="V345"/>
  <c r="AA343"/>
  <c r="Y344"/>
  <c r="AG342" i="2"/>
  <c r="R342"/>
  <c r="AI342"/>
  <c r="W343" l="1"/>
  <c r="W344" s="1"/>
  <c r="U343"/>
  <c r="AD343"/>
  <c r="Z343"/>
  <c r="AA343" s="1"/>
  <c r="M345"/>
  <c r="AC347" i="21"/>
  <c r="W347"/>
  <c r="Q347"/>
  <c r="L347"/>
  <c r="Z347"/>
  <c r="T347"/>
  <c r="J347"/>
  <c r="L343" i="2"/>
  <c r="J343"/>
  <c r="M349" i="21"/>
  <c r="Q344" i="2"/>
  <c r="T344"/>
  <c r="U343" i="21"/>
  <c r="S344"/>
  <c r="AG343"/>
  <c r="AI343"/>
  <c r="R343"/>
  <c r="P344"/>
  <c r="AD343"/>
  <c r="AB344"/>
  <c r="AA344"/>
  <c r="Y345"/>
  <c r="X345"/>
  <c r="V346"/>
  <c r="N350"/>
  <c r="AG343" i="2"/>
  <c r="AI343"/>
  <c r="R343"/>
  <c r="V344"/>
  <c r="S344"/>
  <c r="U344" s="1"/>
  <c r="Y344"/>
  <c r="AB344"/>
  <c r="N345"/>
  <c r="P344"/>
  <c r="X343" l="1"/>
  <c r="Z344"/>
  <c r="Z345" s="1"/>
  <c r="X344"/>
  <c r="AC348" i="21"/>
  <c r="W348"/>
  <c r="Q348"/>
  <c r="L348"/>
  <c r="Z348"/>
  <c r="T348"/>
  <c r="J348"/>
  <c r="L344" i="2"/>
  <c r="J344"/>
  <c r="AC344"/>
  <c r="AD344" s="1"/>
  <c r="M350" i="21"/>
  <c r="M346" i="2"/>
  <c r="U344" i="21"/>
  <c r="S345"/>
  <c r="AD344"/>
  <c r="AB345"/>
  <c r="R344"/>
  <c r="AG344"/>
  <c r="AI344"/>
  <c r="P345"/>
  <c r="AI344" i="2"/>
  <c r="R344"/>
  <c r="AG344"/>
  <c r="N346"/>
  <c r="P345"/>
  <c r="S345"/>
  <c r="Y345"/>
  <c r="AB345"/>
  <c r="V345"/>
  <c r="N351" i="21"/>
  <c r="X346"/>
  <c r="V347"/>
  <c r="AA345"/>
  <c r="Y346"/>
  <c r="AA344" i="2" l="1"/>
  <c r="W345"/>
  <c r="X345" s="1"/>
  <c r="AA345"/>
  <c r="T345"/>
  <c r="U345" s="1"/>
  <c r="Z346"/>
  <c r="M347"/>
  <c r="M351" i="21"/>
  <c r="L345" i="2"/>
  <c r="J345"/>
  <c r="AC349" i="21"/>
  <c r="W349"/>
  <c r="Q349"/>
  <c r="L349"/>
  <c r="Z349"/>
  <c r="T349"/>
  <c r="J349"/>
  <c r="AC345" i="2"/>
  <c r="AC346" s="1"/>
  <c r="Q345"/>
  <c r="Q346" s="1"/>
  <c r="U345" i="21"/>
  <c r="S346"/>
  <c r="AG345"/>
  <c r="P346"/>
  <c r="AI345"/>
  <c r="R345"/>
  <c r="AD345"/>
  <c r="AB346"/>
  <c r="N352"/>
  <c r="N347" i="2"/>
  <c r="V346"/>
  <c r="AB346"/>
  <c r="Y346"/>
  <c r="AA346" s="1"/>
  <c r="P346"/>
  <c r="S346"/>
  <c r="AA346" i="21"/>
  <c r="Y347"/>
  <c r="X347"/>
  <c r="V348"/>
  <c r="AG345" i="2"/>
  <c r="AI345"/>
  <c r="W346" l="1"/>
  <c r="T346"/>
  <c r="U346" s="1"/>
  <c r="R345"/>
  <c r="AD346"/>
  <c r="X346"/>
  <c r="AD345"/>
  <c r="M352" i="21"/>
  <c r="L346" i="2"/>
  <c r="J346"/>
  <c r="AC350" i="21"/>
  <c r="W350"/>
  <c r="Q350"/>
  <c r="L350"/>
  <c r="Z350"/>
  <c r="T350"/>
  <c r="J350"/>
  <c r="Q347" i="2"/>
  <c r="M348"/>
  <c r="U346" i="21"/>
  <c r="S347"/>
  <c r="AD346"/>
  <c r="AB347"/>
  <c r="AI346"/>
  <c r="AG346"/>
  <c r="P347"/>
  <c r="R346"/>
  <c r="X348"/>
  <c r="V349"/>
  <c r="AA347"/>
  <c r="Y348"/>
  <c r="N353"/>
  <c r="R346" i="2"/>
  <c r="AG346"/>
  <c r="AI346"/>
  <c r="Y347"/>
  <c r="N348"/>
  <c r="S347"/>
  <c r="P347"/>
  <c r="AB347"/>
  <c r="V347"/>
  <c r="Z347" l="1"/>
  <c r="AA347" s="1"/>
  <c r="L347"/>
  <c r="J347"/>
  <c r="M349"/>
  <c r="Q348"/>
  <c r="M353" i="21"/>
  <c r="T347" i="2"/>
  <c r="U347" s="1"/>
  <c r="W347"/>
  <c r="X347" s="1"/>
  <c r="AC347"/>
  <c r="AD347" s="1"/>
  <c r="AC351" i="21"/>
  <c r="W351"/>
  <c r="Q351"/>
  <c r="L351"/>
  <c r="Z351"/>
  <c r="T351"/>
  <c r="J351"/>
  <c r="U347"/>
  <c r="S348"/>
  <c r="AG347"/>
  <c r="AI347"/>
  <c r="R347"/>
  <c r="P348"/>
  <c r="AB348"/>
  <c r="AD347"/>
  <c r="AA348"/>
  <c r="Y349"/>
  <c r="X349"/>
  <c r="V350"/>
  <c r="R347" i="2"/>
  <c r="AG347"/>
  <c r="AI347"/>
  <c r="P348"/>
  <c r="N349"/>
  <c r="S348"/>
  <c r="Y348"/>
  <c r="V348"/>
  <c r="AB348"/>
  <c r="N354" i="21"/>
  <c r="Z348" i="2" l="1"/>
  <c r="AA348" s="1"/>
  <c r="AC348"/>
  <c r="AD348" s="1"/>
  <c r="T348"/>
  <c r="U348" s="1"/>
  <c r="M354" i="21"/>
  <c r="Q349" i="2"/>
  <c r="M350"/>
  <c r="W348"/>
  <c r="W349" s="1"/>
  <c r="AC352" i="21"/>
  <c r="W352"/>
  <c r="Q352"/>
  <c r="L352"/>
  <c r="Z352"/>
  <c r="T352"/>
  <c r="J352"/>
  <c r="L348" i="2"/>
  <c r="J348"/>
  <c r="Z349"/>
  <c r="AC349"/>
  <c r="T349"/>
  <c r="U348" i="21"/>
  <c r="S349"/>
  <c r="R348"/>
  <c r="P349"/>
  <c r="AG348"/>
  <c r="AI348"/>
  <c r="AB349"/>
  <c r="AD348"/>
  <c r="N355"/>
  <c r="AB349" i="2"/>
  <c r="V349"/>
  <c r="Y349"/>
  <c r="AA349" s="1"/>
  <c r="S349"/>
  <c r="N350"/>
  <c r="P349"/>
  <c r="R348"/>
  <c r="AG348"/>
  <c r="AI348"/>
  <c r="X350" i="21"/>
  <c r="V351"/>
  <c r="AA349"/>
  <c r="Y350"/>
  <c r="U349" i="2" l="1"/>
  <c r="X349"/>
  <c r="X348"/>
  <c r="AD349"/>
  <c r="Q350"/>
  <c r="M351"/>
  <c r="AC353" i="21"/>
  <c r="W353"/>
  <c r="Q353"/>
  <c r="L353"/>
  <c r="Z353"/>
  <c r="T353"/>
  <c r="J353"/>
  <c r="L349" i="2"/>
  <c r="J349"/>
  <c r="M355" i="21"/>
  <c r="W350" i="2"/>
  <c r="U349" i="21"/>
  <c r="S350"/>
  <c r="AD349"/>
  <c r="AB350"/>
  <c r="AI349"/>
  <c r="AG349"/>
  <c r="R349"/>
  <c r="P350"/>
  <c r="R349" i="2"/>
  <c r="AI349"/>
  <c r="AG349"/>
  <c r="AA350" i="21"/>
  <c r="Y351"/>
  <c r="X351"/>
  <c r="V352"/>
  <c r="P350" i="2"/>
  <c r="N351"/>
  <c r="Y350"/>
  <c r="V350"/>
  <c r="AB350"/>
  <c r="S350"/>
  <c r="N356" i="21"/>
  <c r="T350" i="2" l="1"/>
  <c r="U350" s="1"/>
  <c r="X350"/>
  <c r="M356" i="21"/>
  <c r="Q351" i="2"/>
  <c r="M352"/>
  <c r="Z350"/>
  <c r="AC350"/>
  <c r="AD350" s="1"/>
  <c r="AC354" i="21"/>
  <c r="W354"/>
  <c r="Q354"/>
  <c r="L354"/>
  <c r="Z354"/>
  <c r="T354"/>
  <c r="J354"/>
  <c r="L350" i="2"/>
  <c r="J350"/>
  <c r="U350" i="21"/>
  <c r="S351"/>
  <c r="AI350"/>
  <c r="R350"/>
  <c r="P351"/>
  <c r="AG350"/>
  <c r="AB351"/>
  <c r="AD350"/>
  <c r="R350" i="2"/>
  <c r="AG350"/>
  <c r="AI350"/>
  <c r="N357" i="21"/>
  <c r="N352" i="2"/>
  <c r="Y351"/>
  <c r="S351"/>
  <c r="P351"/>
  <c r="AB351"/>
  <c r="V351"/>
  <c r="X352" i="21"/>
  <c r="V353"/>
  <c r="AA351"/>
  <c r="Y352"/>
  <c r="Z351" i="2" l="1"/>
  <c r="AA351" s="1"/>
  <c r="T351"/>
  <c r="U351" s="1"/>
  <c r="AA350"/>
  <c r="M353"/>
  <c r="AC355" i="21"/>
  <c r="W355"/>
  <c r="Q355"/>
  <c r="L355"/>
  <c r="Z355"/>
  <c r="T355"/>
  <c r="J355"/>
  <c r="W351" i="2"/>
  <c r="W352" s="1"/>
  <c r="AC351"/>
  <c r="AC352" s="1"/>
  <c r="L351"/>
  <c r="J351"/>
  <c r="M357" i="21"/>
  <c r="U351"/>
  <c r="S352"/>
  <c r="AD351"/>
  <c r="AB352"/>
  <c r="AI351"/>
  <c r="AG351"/>
  <c r="R351"/>
  <c r="P352"/>
  <c r="AA352"/>
  <c r="Y353"/>
  <c r="X353"/>
  <c r="V354"/>
  <c r="AI351" i="2"/>
  <c r="AG351"/>
  <c r="R351"/>
  <c r="N353"/>
  <c r="V352"/>
  <c r="AB352"/>
  <c r="P352"/>
  <c r="S352"/>
  <c r="Y352"/>
  <c r="N358" i="21"/>
  <c r="X352" i="2" l="1"/>
  <c r="Z352"/>
  <c r="AA352" s="1"/>
  <c r="T352"/>
  <c r="U352" s="1"/>
  <c r="AD352"/>
  <c r="AD351"/>
  <c r="X351"/>
  <c r="M358" i="21"/>
  <c r="L352" i="2"/>
  <c r="J352"/>
  <c r="Q352"/>
  <c r="R352" s="1"/>
  <c r="AC356" i="21"/>
  <c r="W356"/>
  <c r="Q356"/>
  <c r="L356"/>
  <c r="Z356"/>
  <c r="T356"/>
  <c r="J356"/>
  <c r="M354" i="2"/>
  <c r="U352" i="21"/>
  <c r="S353"/>
  <c r="AG352"/>
  <c r="R352"/>
  <c r="P353"/>
  <c r="AI352"/>
  <c r="AB353"/>
  <c r="AD352"/>
  <c r="N354" i="2"/>
  <c r="Y353"/>
  <c r="S353"/>
  <c r="P353"/>
  <c r="AB353"/>
  <c r="V353"/>
  <c r="X354" i="21"/>
  <c r="V355"/>
  <c r="AA353"/>
  <c r="Y354"/>
  <c r="N359"/>
  <c r="AG352" i="2"/>
  <c r="AI352"/>
  <c r="T353" l="1"/>
  <c r="U353" s="1"/>
  <c r="Z353"/>
  <c r="AA353" s="1"/>
  <c r="Q353"/>
  <c r="R353" s="1"/>
  <c r="L353"/>
  <c r="J353"/>
  <c r="M359" i="21"/>
  <c r="W353" i="2"/>
  <c r="X353" s="1"/>
  <c r="AC353"/>
  <c r="M355"/>
  <c r="AC357" i="21"/>
  <c r="W357"/>
  <c r="Q357"/>
  <c r="L357"/>
  <c r="Z357"/>
  <c r="T357"/>
  <c r="J357"/>
  <c r="U353"/>
  <c r="S354"/>
  <c r="AD353"/>
  <c r="AB354"/>
  <c r="AI353"/>
  <c r="P354"/>
  <c r="AG353"/>
  <c r="R353"/>
  <c r="N360"/>
  <c r="V354" i="2"/>
  <c r="AB354"/>
  <c r="N355"/>
  <c r="P354"/>
  <c r="S354"/>
  <c r="Y354"/>
  <c r="AA354" i="21"/>
  <c r="Y355"/>
  <c r="X355"/>
  <c r="V356"/>
  <c r="AI353" i="2"/>
  <c r="AG353"/>
  <c r="Z354" l="1"/>
  <c r="Q354"/>
  <c r="R354" s="1"/>
  <c r="T354"/>
  <c r="U354" s="1"/>
  <c r="AC354"/>
  <c r="AC355" s="1"/>
  <c r="AA354"/>
  <c r="AD353"/>
  <c r="L354"/>
  <c r="J354"/>
  <c r="M360" i="21"/>
  <c r="W354" i="2"/>
  <c r="X354" s="1"/>
  <c r="M356"/>
  <c r="AC358" i="21"/>
  <c r="W358"/>
  <c r="Q358"/>
  <c r="L358"/>
  <c r="Z358"/>
  <c r="T358"/>
  <c r="J358"/>
  <c r="U354"/>
  <c r="S355"/>
  <c r="P355"/>
  <c r="AG354"/>
  <c r="AI354"/>
  <c r="R354"/>
  <c r="AB355"/>
  <c r="AD354"/>
  <c r="AA355"/>
  <c r="Y356"/>
  <c r="N361"/>
  <c r="Y355" i="2"/>
  <c r="S355"/>
  <c r="N356"/>
  <c r="P355"/>
  <c r="AB355"/>
  <c r="V355"/>
  <c r="X356" i="21"/>
  <c r="V357"/>
  <c r="AG354" i="2"/>
  <c r="AI354"/>
  <c r="AD354" l="1"/>
  <c r="T355"/>
  <c r="T356" s="1"/>
  <c r="AD355"/>
  <c r="L355"/>
  <c r="J355"/>
  <c r="AC356"/>
  <c r="M357"/>
  <c r="M361" i="21"/>
  <c r="W355" i="2"/>
  <c r="Z355"/>
  <c r="Z356" s="1"/>
  <c r="Q355"/>
  <c r="AC359" i="21"/>
  <c r="W359"/>
  <c r="Q359"/>
  <c r="L359"/>
  <c r="Z359"/>
  <c r="T359"/>
  <c r="J359"/>
  <c r="U355"/>
  <c r="S356"/>
  <c r="AB356"/>
  <c r="AD355"/>
  <c r="AI355"/>
  <c r="P356"/>
  <c r="AG355"/>
  <c r="R355"/>
  <c r="X357"/>
  <c r="V358"/>
  <c r="AG355" i="2"/>
  <c r="AI355"/>
  <c r="N362" i="21"/>
  <c r="AA356"/>
  <c r="Y357"/>
  <c r="N357" i="2"/>
  <c r="V356"/>
  <c r="AB356"/>
  <c r="P356"/>
  <c r="S356"/>
  <c r="Y356"/>
  <c r="U355" l="1"/>
  <c r="AA356"/>
  <c r="U356"/>
  <c r="Q356"/>
  <c r="R356" s="1"/>
  <c r="W356"/>
  <c r="X356" s="1"/>
  <c r="AA355"/>
  <c r="AD356"/>
  <c r="R355"/>
  <c r="X355"/>
  <c r="M362" i="21"/>
  <c r="L356" i="2"/>
  <c r="J356"/>
  <c r="AC360" i="21"/>
  <c r="W360"/>
  <c r="Q360"/>
  <c r="L360"/>
  <c r="Z360"/>
  <c r="T360"/>
  <c r="J360"/>
  <c r="Z357" i="2"/>
  <c r="M358"/>
  <c r="AC357"/>
  <c r="U356" i="21"/>
  <c r="S357"/>
  <c r="AB357"/>
  <c r="AD356"/>
  <c r="R356"/>
  <c r="P357"/>
  <c r="AG356"/>
  <c r="AI356"/>
  <c r="Y357" i="2"/>
  <c r="S357"/>
  <c r="N358"/>
  <c r="P357"/>
  <c r="AB357"/>
  <c r="V357"/>
  <c r="X358" i="21"/>
  <c r="V359"/>
  <c r="AG356" i="2"/>
  <c r="AI356"/>
  <c r="AA357" i="21"/>
  <c r="Y358"/>
  <c r="N363"/>
  <c r="AD357" i="2" l="1"/>
  <c r="AA357"/>
  <c r="W357"/>
  <c r="X357" s="1"/>
  <c r="Z358"/>
  <c r="M359"/>
  <c r="AC361" i="21"/>
  <c r="W361"/>
  <c r="Q361"/>
  <c r="L361"/>
  <c r="Z361"/>
  <c r="T361"/>
  <c r="J361"/>
  <c r="Q357" i="2"/>
  <c r="R357" s="1"/>
  <c r="L357"/>
  <c r="J357"/>
  <c r="M363" i="21"/>
  <c r="W358" i="2"/>
  <c r="AC358"/>
  <c r="T357"/>
  <c r="T358" s="1"/>
  <c r="U357" i="21"/>
  <c r="S358"/>
  <c r="AD357"/>
  <c r="AB358"/>
  <c r="AG357"/>
  <c r="R357"/>
  <c r="AI357"/>
  <c r="P358"/>
  <c r="X359"/>
  <c r="V360"/>
  <c r="AG357" i="2"/>
  <c r="AI357"/>
  <c r="N364" i="21"/>
  <c r="AA358"/>
  <c r="Y359"/>
  <c r="N359" i="2"/>
  <c r="V358"/>
  <c r="AB358"/>
  <c r="P358"/>
  <c r="S358"/>
  <c r="Y358"/>
  <c r="X358" l="1"/>
  <c r="AD358"/>
  <c r="AA358"/>
  <c r="U358"/>
  <c r="U357"/>
  <c r="AC362" i="21"/>
  <c r="W362"/>
  <c r="Q362"/>
  <c r="L362"/>
  <c r="Z362"/>
  <c r="T362"/>
  <c r="J362"/>
  <c r="M364"/>
  <c r="W359" i="2"/>
  <c r="M360"/>
  <c r="AC359"/>
  <c r="Q358"/>
  <c r="L358"/>
  <c r="J358"/>
  <c r="T359"/>
  <c r="U358" i="21"/>
  <c r="S359"/>
  <c r="AG358"/>
  <c r="AI358"/>
  <c r="R358"/>
  <c r="P359"/>
  <c r="AD358"/>
  <c r="AB359"/>
  <c r="Y359" i="2"/>
  <c r="S359"/>
  <c r="N360"/>
  <c r="P359"/>
  <c r="AB359"/>
  <c r="V359"/>
  <c r="X360" i="21"/>
  <c r="V361"/>
  <c r="R358" i="2"/>
  <c r="AI358"/>
  <c r="AG358"/>
  <c r="AA359" i="21"/>
  <c r="Y360"/>
  <c r="N365"/>
  <c r="AD359" i="2" l="1"/>
  <c r="X359"/>
  <c r="U359"/>
  <c r="Q359"/>
  <c r="R359" s="1"/>
  <c r="M361"/>
  <c r="T360"/>
  <c r="M365" i="21"/>
  <c r="L359" i="2"/>
  <c r="J359"/>
  <c r="AC363" i="21"/>
  <c r="W363"/>
  <c r="Q363"/>
  <c r="L363"/>
  <c r="Z363"/>
  <c r="T363"/>
  <c r="J363"/>
  <c r="Z359" i="2"/>
  <c r="U359" i="21"/>
  <c r="S360"/>
  <c r="AD359"/>
  <c r="AB360"/>
  <c r="R359"/>
  <c r="AI359"/>
  <c r="AG359"/>
  <c r="P360"/>
  <c r="N366"/>
  <c r="X361"/>
  <c r="V362"/>
  <c r="AG359" i="2"/>
  <c r="AI359"/>
  <c r="AA360" i="21"/>
  <c r="Y361"/>
  <c r="N361" i="2"/>
  <c r="V360"/>
  <c r="AB360"/>
  <c r="P360"/>
  <c r="S360"/>
  <c r="Y360"/>
  <c r="Q360" l="1"/>
  <c r="W360"/>
  <c r="X360" s="1"/>
  <c r="AC360"/>
  <c r="AC361" s="1"/>
  <c r="U360"/>
  <c r="AD360"/>
  <c r="Z360"/>
  <c r="AA360" s="1"/>
  <c r="AA359"/>
  <c r="AC364" i="21"/>
  <c r="W364"/>
  <c r="Q364"/>
  <c r="L364"/>
  <c r="Z364"/>
  <c r="T364"/>
  <c r="J364"/>
  <c r="M362" i="2"/>
  <c r="M366" i="21"/>
  <c r="L360" i="2"/>
  <c r="J360"/>
  <c r="U360" i="21"/>
  <c r="S361"/>
  <c r="AB361"/>
  <c r="AD360"/>
  <c r="R360"/>
  <c r="AG360"/>
  <c r="P361"/>
  <c r="AI360"/>
  <c r="N362" i="2"/>
  <c r="P361"/>
  <c r="Y361"/>
  <c r="S361"/>
  <c r="AB361"/>
  <c r="V361"/>
  <c r="N367" i="21"/>
  <c r="AI360" i="2"/>
  <c r="R360"/>
  <c r="AG360"/>
  <c r="AA361" i="21"/>
  <c r="Y362"/>
  <c r="X362"/>
  <c r="V363"/>
  <c r="Z361" i="2" l="1"/>
  <c r="Z362" s="1"/>
  <c r="Q361"/>
  <c r="Q362" s="1"/>
  <c r="T361"/>
  <c r="U361" s="1"/>
  <c r="AD361"/>
  <c r="AA361"/>
  <c r="W361"/>
  <c r="X361" s="1"/>
  <c r="AC365" i="21"/>
  <c r="W365"/>
  <c r="Q365"/>
  <c r="L365"/>
  <c r="Z365"/>
  <c r="T365"/>
  <c r="J365"/>
  <c r="M363" i="2"/>
  <c r="M367" i="21"/>
  <c r="L361" i="2"/>
  <c r="J361"/>
  <c r="AC362"/>
  <c r="U361" i="21"/>
  <c r="S362"/>
  <c r="R361"/>
  <c r="P362"/>
  <c r="AI361"/>
  <c r="AG361"/>
  <c r="AD361"/>
  <c r="AB362"/>
  <c r="X363"/>
  <c r="V364"/>
  <c r="AA362"/>
  <c r="Y363"/>
  <c r="N368"/>
  <c r="S362" i="2"/>
  <c r="V362"/>
  <c r="AB362"/>
  <c r="P362"/>
  <c r="Y362"/>
  <c r="N363"/>
  <c r="AG361"/>
  <c r="AI361"/>
  <c r="AD362" l="1"/>
  <c r="R361"/>
  <c r="W362"/>
  <c r="X362" s="1"/>
  <c r="T362"/>
  <c r="AA362"/>
  <c r="U362"/>
  <c r="M368" i="21"/>
  <c r="M364" i="2"/>
  <c r="AC366" i="21"/>
  <c r="W366"/>
  <c r="Q366"/>
  <c r="L366"/>
  <c r="Z366"/>
  <c r="T366"/>
  <c r="J366"/>
  <c r="L362" i="2"/>
  <c r="J362"/>
  <c r="Z363"/>
  <c r="AC363"/>
  <c r="Q363"/>
  <c r="W363"/>
  <c r="U362" i="21"/>
  <c r="S363"/>
  <c r="AB363"/>
  <c r="AD362"/>
  <c r="AG362"/>
  <c r="R362"/>
  <c r="P363"/>
  <c r="AI362"/>
  <c r="N364" i="2"/>
  <c r="AB363"/>
  <c r="S363"/>
  <c r="Y363"/>
  <c r="V363"/>
  <c r="P363"/>
  <c r="AG362"/>
  <c r="R362"/>
  <c r="AI362"/>
  <c r="N369" i="21"/>
  <c r="AA363"/>
  <c r="Y364"/>
  <c r="X364"/>
  <c r="V365"/>
  <c r="AD363" i="2" l="1"/>
  <c r="AA363"/>
  <c r="X363"/>
  <c r="L363"/>
  <c r="J363"/>
  <c r="M369" i="21"/>
  <c r="T363" i="2"/>
  <c r="U363" s="1"/>
  <c r="M365"/>
  <c r="Z364"/>
  <c r="AC367" i="21"/>
  <c r="W367"/>
  <c r="Q367"/>
  <c r="L367"/>
  <c r="Z367"/>
  <c r="T367"/>
  <c r="J367"/>
  <c r="W364" i="2"/>
  <c r="U363" i="21"/>
  <c r="S364"/>
  <c r="AG363"/>
  <c r="AI363"/>
  <c r="R363"/>
  <c r="P364"/>
  <c r="AB364"/>
  <c r="AD363"/>
  <c r="X365"/>
  <c r="V366"/>
  <c r="AA364"/>
  <c r="Y365"/>
  <c r="N370"/>
  <c r="P364" i="2"/>
  <c r="V364"/>
  <c r="Y364"/>
  <c r="S364"/>
  <c r="AB364"/>
  <c r="N365"/>
  <c r="AI363"/>
  <c r="R363"/>
  <c r="AG363"/>
  <c r="X364" l="1"/>
  <c r="AA364"/>
  <c r="AC364"/>
  <c r="AD364" s="1"/>
  <c r="M366"/>
  <c r="M370" i="21"/>
  <c r="L364" i="2"/>
  <c r="J364"/>
  <c r="AC368" i="21"/>
  <c r="W368"/>
  <c r="Q368"/>
  <c r="L368"/>
  <c r="Z368"/>
  <c r="T368"/>
  <c r="J368"/>
  <c r="Z365" i="2"/>
  <c r="W365"/>
  <c r="T364"/>
  <c r="T365" s="1"/>
  <c r="Q364"/>
  <c r="Q365" s="1"/>
  <c r="U364" i="21"/>
  <c r="S365"/>
  <c r="AI364"/>
  <c r="P365"/>
  <c r="R364"/>
  <c r="AG364"/>
  <c r="AB365"/>
  <c r="AD364"/>
  <c r="N366" i="2"/>
  <c r="P365"/>
  <c r="AB365"/>
  <c r="Y365"/>
  <c r="S365"/>
  <c r="V365"/>
  <c r="AI364"/>
  <c r="AG364"/>
  <c r="N371" i="21"/>
  <c r="AA365"/>
  <c r="Y366"/>
  <c r="X366"/>
  <c r="V367"/>
  <c r="AA365" i="2" l="1"/>
  <c r="AC365"/>
  <c r="AD365" s="1"/>
  <c r="R364"/>
  <c r="X365"/>
  <c r="U365"/>
  <c r="U364"/>
  <c r="AC369" i="21"/>
  <c r="W369"/>
  <c r="Q369"/>
  <c r="L369"/>
  <c r="Z369"/>
  <c r="T369"/>
  <c r="J369"/>
  <c r="L365" i="2"/>
  <c r="J365"/>
  <c r="M371" i="21"/>
  <c r="M367" i="2"/>
  <c r="T366"/>
  <c r="U365" i="21"/>
  <c r="S366"/>
  <c r="AD365"/>
  <c r="AB366"/>
  <c r="AI365"/>
  <c r="R365"/>
  <c r="AG365"/>
  <c r="P366"/>
  <c r="N372"/>
  <c r="AG365" i="2"/>
  <c r="R365"/>
  <c r="AI365"/>
  <c r="X367" i="21"/>
  <c r="V368"/>
  <c r="AA366"/>
  <c r="Y367"/>
  <c r="V366" i="2"/>
  <c r="Y366"/>
  <c r="S366"/>
  <c r="N367"/>
  <c r="AB366"/>
  <c r="P366"/>
  <c r="U366" l="1"/>
  <c r="L366"/>
  <c r="J366"/>
  <c r="M372" i="21"/>
  <c r="W366" i="2"/>
  <c r="M368"/>
  <c r="AC370" i="21"/>
  <c r="W370"/>
  <c r="Q370"/>
  <c r="L370"/>
  <c r="Z370"/>
  <c r="T370"/>
  <c r="J370"/>
  <c r="Z366" i="2"/>
  <c r="AA366" s="1"/>
  <c r="AC366"/>
  <c r="AC367" s="1"/>
  <c r="Q366"/>
  <c r="R366" s="1"/>
  <c r="U366" i="21"/>
  <c r="S367"/>
  <c r="AG366"/>
  <c r="R366"/>
  <c r="AI366"/>
  <c r="P367"/>
  <c r="AD366"/>
  <c r="AB367"/>
  <c r="AG366" i="2"/>
  <c r="AI366"/>
  <c r="V367"/>
  <c r="N368"/>
  <c r="P367"/>
  <c r="S367"/>
  <c r="AB367"/>
  <c r="Y367"/>
  <c r="AA367" i="21"/>
  <c r="Y368"/>
  <c r="X368"/>
  <c r="V369"/>
  <c r="N373"/>
  <c r="AD367" i="2" l="1"/>
  <c r="Q367"/>
  <c r="Z367"/>
  <c r="W367"/>
  <c r="X367" s="1"/>
  <c r="X366"/>
  <c r="AD366"/>
  <c r="AA367"/>
  <c r="L367"/>
  <c r="J367"/>
  <c r="AC371" i="21"/>
  <c r="W371"/>
  <c r="Q371"/>
  <c r="L371"/>
  <c r="Z371"/>
  <c r="T371"/>
  <c r="J371"/>
  <c r="T367" i="2"/>
  <c r="U367" s="1"/>
  <c r="M369"/>
  <c r="AC368"/>
  <c r="M373" i="21"/>
  <c r="U367"/>
  <c r="S368"/>
  <c r="AD367"/>
  <c r="AB368"/>
  <c r="R367"/>
  <c r="P368"/>
  <c r="AG367"/>
  <c r="AI367"/>
  <c r="N374"/>
  <c r="X369"/>
  <c r="V370"/>
  <c r="AA368"/>
  <c r="Y369"/>
  <c r="N369" i="2"/>
  <c r="Y368"/>
  <c r="AB368"/>
  <c r="S368"/>
  <c r="P368"/>
  <c r="V368"/>
  <c r="AG367"/>
  <c r="AI367"/>
  <c r="R367"/>
  <c r="Z368" l="1"/>
  <c r="AA368" s="1"/>
  <c r="AD368"/>
  <c r="W368"/>
  <c r="X368" s="1"/>
  <c r="Q368"/>
  <c r="R368" s="1"/>
  <c r="M374" i="21"/>
  <c r="L368" i="2"/>
  <c r="J368"/>
  <c r="T368"/>
  <c r="U368" s="1"/>
  <c r="L372" i="21"/>
  <c r="AC372"/>
  <c r="W372"/>
  <c r="Q372"/>
  <c r="Z372"/>
  <c r="T372"/>
  <c r="J372"/>
  <c r="M370" i="2"/>
  <c r="W369"/>
  <c r="U368" i="21"/>
  <c r="S369"/>
  <c r="AI368"/>
  <c r="P369"/>
  <c r="AG368"/>
  <c r="R368"/>
  <c r="AD368"/>
  <c r="AB369"/>
  <c r="AA369"/>
  <c r="Y370"/>
  <c r="X370"/>
  <c r="V371"/>
  <c r="AI368" i="2"/>
  <c r="AG368"/>
  <c r="N370"/>
  <c r="Y369"/>
  <c r="S369"/>
  <c r="AB369"/>
  <c r="P369"/>
  <c r="V369"/>
  <c r="N375" i="21"/>
  <c r="Q369" i="2" l="1"/>
  <c r="R369" s="1"/>
  <c r="X369"/>
  <c r="AC369"/>
  <c r="AD369" s="1"/>
  <c r="T369"/>
  <c r="U369" s="1"/>
  <c r="L369"/>
  <c r="J369"/>
  <c r="M375" i="21"/>
  <c r="Z369" i="2"/>
  <c r="AA369" s="1"/>
  <c r="M371"/>
  <c r="AC373" i="21"/>
  <c r="W373"/>
  <c r="Q373"/>
  <c r="L373"/>
  <c r="Z373"/>
  <c r="T373"/>
  <c r="J373"/>
  <c r="U369"/>
  <c r="S370"/>
  <c r="AD369"/>
  <c r="AB370"/>
  <c r="R369"/>
  <c r="AG369"/>
  <c r="AI369"/>
  <c r="P370"/>
  <c r="N376"/>
  <c r="P370" i="2"/>
  <c r="AB370"/>
  <c r="Y370"/>
  <c r="N371"/>
  <c r="S370"/>
  <c r="V370"/>
  <c r="X371" i="21"/>
  <c r="V372"/>
  <c r="AA370"/>
  <c r="Y371"/>
  <c r="AG369" i="2"/>
  <c r="AI369"/>
  <c r="T370" l="1"/>
  <c r="T371" s="1"/>
  <c r="L370"/>
  <c r="J370"/>
  <c r="M376" i="21"/>
  <c r="M372" i="2"/>
  <c r="L374" i="21"/>
  <c r="Z374"/>
  <c r="T374"/>
  <c r="AC374"/>
  <c r="W374"/>
  <c r="Q374"/>
  <c r="J374"/>
  <c r="Q370" i="2"/>
  <c r="Q371" s="1"/>
  <c r="AC370"/>
  <c r="AD370" s="1"/>
  <c r="Z370"/>
  <c r="Z371" s="1"/>
  <c r="W370"/>
  <c r="X370" s="1"/>
  <c r="U370" i="21"/>
  <c r="S371"/>
  <c r="R370"/>
  <c r="AG370"/>
  <c r="P371"/>
  <c r="AI370"/>
  <c r="AB371"/>
  <c r="AD370"/>
  <c r="AA371"/>
  <c r="Y372"/>
  <c r="N372" i="2"/>
  <c r="P371"/>
  <c r="V371"/>
  <c r="Y371"/>
  <c r="S371"/>
  <c r="AB371"/>
  <c r="N377" i="21"/>
  <c r="AI370" i="2"/>
  <c r="AG370"/>
  <c r="X372" i="21"/>
  <c r="V373"/>
  <c r="U370" i="2" l="1"/>
  <c r="AA371"/>
  <c r="R370"/>
  <c r="U371"/>
  <c r="AA370"/>
  <c r="M373"/>
  <c r="L375" i="21"/>
  <c r="Z375"/>
  <c r="T375"/>
  <c r="AC375"/>
  <c r="W375"/>
  <c r="Q375"/>
  <c r="J375"/>
  <c r="W371" i="2"/>
  <c r="W372" s="1"/>
  <c r="AC371"/>
  <c r="AC372" s="1"/>
  <c r="L371"/>
  <c r="J371"/>
  <c r="M377" i="21"/>
  <c r="T372" i="2"/>
  <c r="Z372"/>
  <c r="Q372"/>
  <c r="U371" i="21"/>
  <c r="S372"/>
  <c r="AD371"/>
  <c r="AB372"/>
  <c r="P372"/>
  <c r="R371"/>
  <c r="AI371"/>
  <c r="AG371"/>
  <c r="N378"/>
  <c r="X373"/>
  <c r="V374"/>
  <c r="N373" i="2"/>
  <c r="P372"/>
  <c r="S372"/>
  <c r="U372" s="1"/>
  <c r="Y372"/>
  <c r="AA372" s="1"/>
  <c r="V372"/>
  <c r="AB372"/>
  <c r="AI371"/>
  <c r="R371"/>
  <c r="AG371"/>
  <c r="AA372" i="21"/>
  <c r="Y373"/>
  <c r="X372" i="2" l="1"/>
  <c r="AD372"/>
  <c r="X371"/>
  <c r="AD371"/>
  <c r="M374"/>
  <c r="AC373"/>
  <c r="M378" i="21"/>
  <c r="L376"/>
  <c r="Z376"/>
  <c r="T376"/>
  <c r="AC376"/>
  <c r="W376"/>
  <c r="Q376"/>
  <c r="J376"/>
  <c r="L372" i="2"/>
  <c r="J372"/>
  <c r="Q373"/>
  <c r="W373"/>
  <c r="U372" i="21"/>
  <c r="S373"/>
  <c r="AD372"/>
  <c r="AB373"/>
  <c r="AI372"/>
  <c r="R372"/>
  <c r="AG372"/>
  <c r="P373"/>
  <c r="AA373"/>
  <c r="Y374"/>
  <c r="N374" i="2"/>
  <c r="S373"/>
  <c r="V373"/>
  <c r="P373"/>
  <c r="AB373"/>
  <c r="Y373"/>
  <c r="N379" i="21"/>
  <c r="R372" i="2"/>
  <c r="AG372"/>
  <c r="AI372"/>
  <c r="X374" i="21"/>
  <c r="V375"/>
  <c r="AD373" i="2" l="1"/>
  <c r="X373"/>
  <c r="M379" i="21"/>
  <c r="M375" i="2"/>
  <c r="T373"/>
  <c r="Z373"/>
  <c r="Z374" s="1"/>
  <c r="L377" i="21"/>
  <c r="Z377"/>
  <c r="T377"/>
  <c r="AC377"/>
  <c r="W377"/>
  <c r="Q377"/>
  <c r="J377"/>
  <c r="L373" i="2"/>
  <c r="J373"/>
  <c r="W374"/>
  <c r="Q374"/>
  <c r="U373" i="21"/>
  <c r="S374"/>
  <c r="AB374"/>
  <c r="AD373"/>
  <c r="AG373"/>
  <c r="P374"/>
  <c r="R373"/>
  <c r="AI373"/>
  <c r="N380"/>
  <c r="AA374"/>
  <c r="Y375"/>
  <c r="X375"/>
  <c r="V376"/>
  <c r="P374" i="2"/>
  <c r="V374"/>
  <c r="S374"/>
  <c r="AB374"/>
  <c r="Y374"/>
  <c r="N375"/>
  <c r="AI373"/>
  <c r="R373"/>
  <c r="AG373"/>
  <c r="X374" l="1"/>
  <c r="AA374"/>
  <c r="T374"/>
  <c r="U374" s="1"/>
  <c r="AA373"/>
  <c r="U373"/>
  <c r="L374"/>
  <c r="J374"/>
  <c r="M380" i="21"/>
  <c r="AC374" i="2"/>
  <c r="W375"/>
  <c r="M376"/>
  <c r="L378" i="21"/>
  <c r="Z378"/>
  <c r="T378"/>
  <c r="AC378"/>
  <c r="W378"/>
  <c r="Q378"/>
  <c r="J378"/>
  <c r="U374"/>
  <c r="S375"/>
  <c r="AB375"/>
  <c r="AD374"/>
  <c r="AG374"/>
  <c r="AI374"/>
  <c r="R374"/>
  <c r="P375"/>
  <c r="P375" i="2"/>
  <c r="AB375"/>
  <c r="Y375"/>
  <c r="S375"/>
  <c r="V375"/>
  <c r="N376"/>
  <c r="X376" i="21"/>
  <c r="V377"/>
  <c r="AA375"/>
  <c r="Y376"/>
  <c r="N381"/>
  <c r="AG374" i="2"/>
  <c r="AI374"/>
  <c r="R374"/>
  <c r="T375" l="1"/>
  <c r="U375" s="1"/>
  <c r="AC375"/>
  <c r="AD375" s="1"/>
  <c r="X375"/>
  <c r="AD374"/>
  <c r="L375"/>
  <c r="J375"/>
  <c r="Z379" i="21"/>
  <c r="T379"/>
  <c r="AC379"/>
  <c r="W379"/>
  <c r="Q379"/>
  <c r="L379"/>
  <c r="J379"/>
  <c r="Z375" i="2"/>
  <c r="Q375"/>
  <c r="R375" s="1"/>
  <c r="M377"/>
  <c r="T376"/>
  <c r="M381" i="21"/>
  <c r="U375"/>
  <c r="S376"/>
  <c r="AB376"/>
  <c r="AD375"/>
  <c r="AI375"/>
  <c r="P376"/>
  <c r="AG375"/>
  <c r="R375"/>
  <c r="N377" i="2"/>
  <c r="P376"/>
  <c r="S376"/>
  <c r="AB376"/>
  <c r="V376"/>
  <c r="Y376"/>
  <c r="N382" i="21"/>
  <c r="AG375" i="2"/>
  <c r="AI375"/>
  <c r="AA376" i="21"/>
  <c r="Y377"/>
  <c r="X377"/>
  <c r="V378"/>
  <c r="AC376" i="2" l="1"/>
  <c r="AC377" s="1"/>
  <c r="U376"/>
  <c r="W376"/>
  <c r="X376" s="1"/>
  <c r="Z376"/>
  <c r="AA376" s="1"/>
  <c r="AA375"/>
  <c r="M382" i="21"/>
  <c r="L376" i="2"/>
  <c r="J376"/>
  <c r="Q376"/>
  <c r="R376" s="1"/>
  <c r="AC380" i="21"/>
  <c r="W380"/>
  <c r="Q380"/>
  <c r="L380"/>
  <c r="Z380"/>
  <c r="T380"/>
  <c r="J380"/>
  <c r="M378" i="2"/>
  <c r="T377"/>
  <c r="U376" i="21"/>
  <c r="S377"/>
  <c r="AD376"/>
  <c r="AB377"/>
  <c r="R376"/>
  <c r="AI376"/>
  <c r="AG376"/>
  <c r="P377"/>
  <c r="AG376" i="2"/>
  <c r="AI376"/>
  <c r="X378" i="21"/>
  <c r="V379"/>
  <c r="AA377"/>
  <c r="Y378"/>
  <c r="N383"/>
  <c r="N378" i="2"/>
  <c r="Y377"/>
  <c r="V377"/>
  <c r="P377"/>
  <c r="AB377"/>
  <c r="S377"/>
  <c r="AD376" l="1"/>
  <c r="U377"/>
  <c r="Z377"/>
  <c r="AA377" s="1"/>
  <c r="AD377"/>
  <c r="L377"/>
  <c r="J377"/>
  <c r="AC381" i="21"/>
  <c r="W381"/>
  <c r="Q381"/>
  <c r="L381"/>
  <c r="Z381"/>
  <c r="T381"/>
  <c r="J381"/>
  <c r="Q377" i="2"/>
  <c r="R377" s="1"/>
  <c r="W377"/>
  <c r="T378"/>
  <c r="M379"/>
  <c r="M383" i="21"/>
  <c r="Z378" i="2"/>
  <c r="U377" i="21"/>
  <c r="S378"/>
  <c r="AI377"/>
  <c r="P378"/>
  <c r="R377"/>
  <c r="AG377"/>
  <c r="AB378"/>
  <c r="AD377"/>
  <c r="N384"/>
  <c r="AG377" i="2"/>
  <c r="AI377"/>
  <c r="AA378" i="21"/>
  <c r="Y379"/>
  <c r="X379"/>
  <c r="V380"/>
  <c r="N379" i="2"/>
  <c r="P378"/>
  <c r="V378"/>
  <c r="Y378"/>
  <c r="S378"/>
  <c r="AB378"/>
  <c r="AA378" l="1"/>
  <c r="U378"/>
  <c r="W378"/>
  <c r="X378" s="1"/>
  <c r="X377"/>
  <c r="M384" i="21"/>
  <c r="M380" i="2"/>
  <c r="W379"/>
  <c r="AC382" i="21"/>
  <c r="W382"/>
  <c r="Q382"/>
  <c r="L382"/>
  <c r="Z382"/>
  <c r="T382"/>
  <c r="J382"/>
  <c r="L378" i="2"/>
  <c r="J378"/>
  <c r="Q378"/>
  <c r="Q379" s="1"/>
  <c r="AC378"/>
  <c r="U378" i="21"/>
  <c r="S379"/>
  <c r="AG378"/>
  <c r="AI378"/>
  <c r="P379"/>
  <c r="R378"/>
  <c r="AB379"/>
  <c r="AD378"/>
  <c r="R378" i="2"/>
  <c r="AI378"/>
  <c r="AG378"/>
  <c r="X380" i="21"/>
  <c r="V381"/>
  <c r="AA379"/>
  <c r="Y380"/>
  <c r="P379" i="2"/>
  <c r="AB379"/>
  <c r="S379"/>
  <c r="N380"/>
  <c r="Y379"/>
  <c r="V379"/>
  <c r="X379" s="1"/>
  <c r="N385" i="21"/>
  <c r="AC379" i="2" l="1"/>
  <c r="Z379"/>
  <c r="AA379" s="1"/>
  <c r="T379"/>
  <c r="U379" s="1"/>
  <c r="AD378"/>
  <c r="AD379"/>
  <c r="W380"/>
  <c r="M381"/>
  <c r="AC383" i="21"/>
  <c r="W383"/>
  <c r="Q383"/>
  <c r="L383"/>
  <c r="Z383"/>
  <c r="T383"/>
  <c r="J383"/>
  <c r="L379" i="2"/>
  <c r="J379"/>
  <c r="M385" i="21"/>
  <c r="U379"/>
  <c r="S380"/>
  <c r="AB380"/>
  <c r="AD379"/>
  <c r="AG379"/>
  <c r="AI379"/>
  <c r="P380"/>
  <c r="R379"/>
  <c r="N386"/>
  <c r="N381" i="2"/>
  <c r="S380"/>
  <c r="AB380"/>
  <c r="P380"/>
  <c r="V380"/>
  <c r="Y380"/>
  <c r="AA380" i="21"/>
  <c r="Y381"/>
  <c r="X381"/>
  <c r="V382"/>
  <c r="AI379" i="2"/>
  <c r="AG379"/>
  <c r="R379"/>
  <c r="Z380" l="1"/>
  <c r="AA380" s="1"/>
  <c r="X380"/>
  <c r="T380"/>
  <c r="U380" s="1"/>
  <c r="AC380"/>
  <c r="AD380" s="1"/>
  <c r="M386" i="21"/>
  <c r="W381" i="2"/>
  <c r="M382"/>
  <c r="Q380"/>
  <c r="AC384" i="21"/>
  <c r="W384"/>
  <c r="Q384"/>
  <c r="L384"/>
  <c r="Z384"/>
  <c r="T384"/>
  <c r="J384"/>
  <c r="L380" i="2"/>
  <c r="J380"/>
  <c r="AC381"/>
  <c r="U380" i="21"/>
  <c r="S381"/>
  <c r="AG380"/>
  <c r="P381"/>
  <c r="R380"/>
  <c r="AI380"/>
  <c r="AB381"/>
  <c r="AD380"/>
  <c r="N382" i="2"/>
  <c r="P381"/>
  <c r="S381"/>
  <c r="AB381"/>
  <c r="Y381"/>
  <c r="V381"/>
  <c r="X381" s="1"/>
  <c r="X382" i="21"/>
  <c r="V383"/>
  <c r="AA381"/>
  <c r="Y382"/>
  <c r="AG380" i="2"/>
  <c r="R380"/>
  <c r="AI380"/>
  <c r="N387" i="21"/>
  <c r="AD381" i="2" l="1"/>
  <c r="M383"/>
  <c r="AC382"/>
  <c r="M387" i="21"/>
  <c r="Z381" i="2"/>
  <c r="T381"/>
  <c r="U381" s="1"/>
  <c r="Q381"/>
  <c r="R381" s="1"/>
  <c r="L381"/>
  <c r="J381"/>
  <c r="AC385" i="21"/>
  <c r="W385"/>
  <c r="Q385"/>
  <c r="L385"/>
  <c r="Z385"/>
  <c r="T385"/>
  <c r="J385"/>
  <c r="U381"/>
  <c r="S382"/>
  <c r="R381"/>
  <c r="AI381"/>
  <c r="AG381"/>
  <c r="P382"/>
  <c r="AD381"/>
  <c r="AB382"/>
  <c r="N388"/>
  <c r="AA382"/>
  <c r="Y383"/>
  <c r="X383"/>
  <c r="V384"/>
  <c r="AI381" i="2"/>
  <c r="AG381"/>
  <c r="N383"/>
  <c r="P382"/>
  <c r="AB382"/>
  <c r="V382"/>
  <c r="S382"/>
  <c r="Y382"/>
  <c r="Q382" l="1"/>
  <c r="Q383" s="1"/>
  <c r="Z382"/>
  <c r="AA382" s="1"/>
  <c r="T382"/>
  <c r="U382" s="1"/>
  <c r="AA381"/>
  <c r="AD382"/>
  <c r="M388" i="21"/>
  <c r="L382" i="2"/>
  <c r="J382"/>
  <c r="W382"/>
  <c r="X382" s="1"/>
  <c r="AC386" i="21"/>
  <c r="W386"/>
  <c r="Q386"/>
  <c r="L386"/>
  <c r="Z386"/>
  <c r="T386"/>
  <c r="J386"/>
  <c r="M384" i="2"/>
  <c r="U382" i="21"/>
  <c r="S383"/>
  <c r="AD382"/>
  <c r="AB383"/>
  <c r="AG382"/>
  <c r="R382"/>
  <c r="AI382"/>
  <c r="P383"/>
  <c r="AG382" i="2"/>
  <c r="AI382"/>
  <c r="N384"/>
  <c r="P383"/>
  <c r="AB383"/>
  <c r="Y383"/>
  <c r="S383"/>
  <c r="V383"/>
  <c r="X384" i="21"/>
  <c r="V385"/>
  <c r="AA383"/>
  <c r="Y384"/>
  <c r="N389"/>
  <c r="R382" i="2" l="1"/>
  <c r="AC383"/>
  <c r="AD383" s="1"/>
  <c r="Q384"/>
  <c r="M385"/>
  <c r="AC387" i="21"/>
  <c r="W387"/>
  <c r="Q387"/>
  <c r="L387"/>
  <c r="Z387"/>
  <c r="T387"/>
  <c r="J387"/>
  <c r="Z383" i="2"/>
  <c r="AA383" s="1"/>
  <c r="T383"/>
  <c r="T384" s="1"/>
  <c r="W383"/>
  <c r="X383" s="1"/>
  <c r="L383"/>
  <c r="J383"/>
  <c r="M389" i="21"/>
  <c r="AC384" i="2"/>
  <c r="U383" i="21"/>
  <c r="S384"/>
  <c r="AG383"/>
  <c r="R383"/>
  <c r="AI383"/>
  <c r="P384"/>
  <c r="AB384"/>
  <c r="AD383"/>
  <c r="N390"/>
  <c r="AA384"/>
  <c r="Y385"/>
  <c r="X385"/>
  <c r="V386"/>
  <c r="AG383" i="2"/>
  <c r="AI383"/>
  <c r="R383"/>
  <c r="N385"/>
  <c r="P384"/>
  <c r="AB384"/>
  <c r="V384"/>
  <c r="S384"/>
  <c r="Y384"/>
  <c r="U384" l="1"/>
  <c r="AD384"/>
  <c r="U383"/>
  <c r="M390" i="21"/>
  <c r="M386" i="2"/>
  <c r="W384"/>
  <c r="W385" s="1"/>
  <c r="Z384"/>
  <c r="Z385" s="1"/>
  <c r="AC388" i="21"/>
  <c r="W388"/>
  <c r="Q388"/>
  <c r="L388"/>
  <c r="Z388"/>
  <c r="T388"/>
  <c r="J388"/>
  <c r="L384" i="2"/>
  <c r="J384"/>
  <c r="AC385"/>
  <c r="T385"/>
  <c r="U384" i="21"/>
  <c r="S385"/>
  <c r="AI384"/>
  <c r="AG384"/>
  <c r="R384"/>
  <c r="P385"/>
  <c r="AB385"/>
  <c r="AD384"/>
  <c r="AI384" i="2"/>
  <c r="R384"/>
  <c r="AG384"/>
  <c r="P385"/>
  <c r="AB385"/>
  <c r="AD385" s="1"/>
  <c r="N386"/>
  <c r="Y385"/>
  <c r="AA385" s="1"/>
  <c r="S385"/>
  <c r="U385" s="1"/>
  <c r="V385"/>
  <c r="X386" i="21"/>
  <c r="V387"/>
  <c r="AA385"/>
  <c r="Y386"/>
  <c r="N391"/>
  <c r="X385" i="2" l="1"/>
  <c r="X384"/>
  <c r="AA384"/>
  <c r="L385"/>
  <c r="J385"/>
  <c r="M391" i="21"/>
  <c r="Q385" i="2"/>
  <c r="M387"/>
  <c r="Z386"/>
  <c r="AC389" i="21"/>
  <c r="W389"/>
  <c r="Q389"/>
  <c r="L389"/>
  <c r="Z389"/>
  <c r="T389"/>
  <c r="J389"/>
  <c r="T386" i="2"/>
  <c r="W386"/>
  <c r="U385" i="21"/>
  <c r="S386"/>
  <c r="AB386"/>
  <c r="AD385"/>
  <c r="AI385"/>
  <c r="AG385"/>
  <c r="R385"/>
  <c r="P386"/>
  <c r="AA386"/>
  <c r="Y387"/>
  <c r="X387"/>
  <c r="V388"/>
  <c r="N387" i="2"/>
  <c r="P386"/>
  <c r="AB386"/>
  <c r="V386"/>
  <c r="X386" s="1"/>
  <c r="S386"/>
  <c r="U386" s="1"/>
  <c r="Y386"/>
  <c r="AG385"/>
  <c r="AI385"/>
  <c r="R385"/>
  <c r="AA386" l="1"/>
  <c r="M388"/>
  <c r="AC390" i="21"/>
  <c r="AC391" s="1"/>
  <c r="W390"/>
  <c r="W391" s="1"/>
  <c r="Q390"/>
  <c r="Q391" s="1"/>
  <c r="L390"/>
  <c r="Z390"/>
  <c r="Z391" s="1"/>
  <c r="T390"/>
  <c r="T391" s="1"/>
  <c r="J390"/>
  <c r="L386" i="2"/>
  <c r="J386"/>
  <c r="L391" i="21"/>
  <c r="J391"/>
  <c r="Z387" i="2"/>
  <c r="T387"/>
  <c r="Q386"/>
  <c r="Q387" s="1"/>
  <c r="AC386"/>
  <c r="AC387" s="1"/>
  <c r="W387"/>
  <c r="U386" i="21"/>
  <c r="S387"/>
  <c r="AG386"/>
  <c r="R386"/>
  <c r="P387"/>
  <c r="AI386"/>
  <c r="AD386"/>
  <c r="AB387"/>
  <c r="X388"/>
  <c r="V389"/>
  <c r="AA387"/>
  <c r="Y388"/>
  <c r="AG386" i="2"/>
  <c r="AI386"/>
  <c r="N388"/>
  <c r="P387"/>
  <c r="AB387"/>
  <c r="Y387"/>
  <c r="S387"/>
  <c r="V387"/>
  <c r="R386" l="1"/>
  <c r="U387"/>
  <c r="AD387"/>
  <c r="AD386"/>
  <c r="X387"/>
  <c r="AA387"/>
  <c r="L387"/>
  <c r="J387"/>
  <c r="M389"/>
  <c r="Q388"/>
  <c r="U387" i="21"/>
  <c r="S388"/>
  <c r="AD387"/>
  <c r="AB388"/>
  <c r="AG387"/>
  <c r="R387"/>
  <c r="AI387"/>
  <c r="P388"/>
  <c r="N389" i="2"/>
  <c r="P388"/>
  <c r="AB388"/>
  <c r="V388"/>
  <c r="S388"/>
  <c r="Y388"/>
  <c r="AA388" i="21"/>
  <c r="Y389"/>
  <c r="X389"/>
  <c r="V390"/>
  <c r="R387" i="2"/>
  <c r="AI387"/>
  <c r="AG387"/>
  <c r="AC388" l="1"/>
  <c r="AD388" s="1"/>
  <c r="L388"/>
  <c r="J388"/>
  <c r="M390"/>
  <c r="Q389"/>
  <c r="T388"/>
  <c r="T389" s="1"/>
  <c r="Z388"/>
  <c r="Z389" s="1"/>
  <c r="W388"/>
  <c r="W389" s="1"/>
  <c r="U388" i="21"/>
  <c r="S389"/>
  <c r="AI388"/>
  <c r="R388"/>
  <c r="AG388"/>
  <c r="P389"/>
  <c r="AB389"/>
  <c r="AD388"/>
  <c r="X390"/>
  <c r="V391"/>
  <c r="X391" s="1"/>
  <c r="AA389"/>
  <c r="Y390"/>
  <c r="AG388" i="2"/>
  <c r="R388"/>
  <c r="AI388"/>
  <c r="P389"/>
  <c r="AB389"/>
  <c r="N390"/>
  <c r="Y389"/>
  <c r="S389"/>
  <c r="U389" s="1"/>
  <c r="V389"/>
  <c r="X389" l="1"/>
  <c r="B29" i="21"/>
  <c r="B142" s="1"/>
  <c r="U46" i="19" s="1"/>
  <c r="AA389" i="2"/>
  <c r="AC389"/>
  <c r="AC390" s="1"/>
  <c r="AC391" s="1"/>
  <c r="AA388"/>
  <c r="U388"/>
  <c r="X388"/>
  <c r="M391"/>
  <c r="L389"/>
  <c r="J389"/>
  <c r="Z390"/>
  <c r="Q390"/>
  <c r="Q391" s="1"/>
  <c r="W390"/>
  <c r="W391" s="1"/>
  <c r="T390"/>
  <c r="T391" s="1"/>
  <c r="U389" i="21"/>
  <c r="S390"/>
  <c r="AG389"/>
  <c r="AI389"/>
  <c r="R389"/>
  <c r="P390"/>
  <c r="AB390"/>
  <c r="AD389"/>
  <c r="AI389" i="2"/>
  <c r="AG389"/>
  <c r="R389"/>
  <c r="AA390" i="21"/>
  <c r="Y391"/>
  <c r="AA391" s="1"/>
  <c r="N391" i="2"/>
  <c r="P390"/>
  <c r="AB390"/>
  <c r="AD390" s="1"/>
  <c r="V390"/>
  <c r="X390" s="1"/>
  <c r="S390"/>
  <c r="Y390"/>
  <c r="AA390" s="1"/>
  <c r="AD389" l="1"/>
  <c r="T23" i="19"/>
  <c r="C81" i="21"/>
  <c r="U30" i="19" s="1"/>
  <c r="C117" i="21"/>
  <c r="U38" i="19" s="1"/>
  <c r="U62" s="1"/>
  <c r="C55" i="21"/>
  <c r="C71" s="1"/>
  <c r="V16" i="19" s="1"/>
  <c r="T46"/>
  <c r="D55" i="21"/>
  <c r="U17" i="19" s="1"/>
  <c r="D117" i="21"/>
  <c r="F130" s="1"/>
  <c r="V39" i="19" s="1"/>
  <c r="T54"/>
  <c r="T30"/>
  <c r="B81" i="21"/>
  <c r="U23" i="19" s="1"/>
  <c r="B55" i="21"/>
  <c r="U15" i="19" s="1"/>
  <c r="B117" i="21"/>
  <c r="C130" s="1"/>
  <c r="V61" i="19" s="1"/>
  <c r="C142" i="21"/>
  <c r="U54" i="19" s="1"/>
  <c r="U390" i="2"/>
  <c r="L390"/>
  <c r="J390"/>
  <c r="Z391"/>
  <c r="L391"/>
  <c r="J391"/>
  <c r="B30" i="21"/>
  <c r="B65" s="1"/>
  <c r="U390"/>
  <c r="S391"/>
  <c r="U391" s="1"/>
  <c r="AB391"/>
  <c r="AD391" s="1"/>
  <c r="AD390"/>
  <c r="AI390"/>
  <c r="AG390"/>
  <c r="R390"/>
  <c r="P391"/>
  <c r="R390" i="2"/>
  <c r="AI390"/>
  <c r="AG390"/>
  <c r="P391"/>
  <c r="S391"/>
  <c r="U391" s="1"/>
  <c r="V391"/>
  <c r="X391" s="1"/>
  <c r="B29" s="1"/>
  <c r="Y391"/>
  <c r="AB391"/>
  <c r="AD391" s="1"/>
  <c r="B31" s="1"/>
  <c r="B28" l="1"/>
  <c r="D54" i="19" s="1"/>
  <c r="E130" i="21"/>
  <c r="V62" i="19" s="1"/>
  <c r="AA391" i="2"/>
  <c r="B30" s="1"/>
  <c r="C65" s="1"/>
  <c r="U39" i="19"/>
  <c r="U63" s="1"/>
  <c r="D130" i="21"/>
  <c r="V38" i="19" s="1"/>
  <c r="G130" i="21"/>
  <c r="V63" i="19" s="1"/>
  <c r="D71" i="21"/>
  <c r="V17" i="19" s="1"/>
  <c r="U16"/>
  <c r="B130" i="21"/>
  <c r="V37" i="19" s="1"/>
  <c r="B71" i="21"/>
  <c r="V15" i="19" s="1"/>
  <c r="B28" i="21"/>
  <c r="R23" i="19" s="1"/>
  <c r="U37"/>
  <c r="U61" s="1"/>
  <c r="C118" i="21"/>
  <c r="D131" s="1"/>
  <c r="X38" i="19" s="1"/>
  <c r="B56" i="21"/>
  <c r="B72" s="1"/>
  <c r="X15" i="19" s="1"/>
  <c r="D118" i="21"/>
  <c r="W39" i="19" s="1"/>
  <c r="W63" s="1"/>
  <c r="V30"/>
  <c r="C143" i="21"/>
  <c r="W54" i="19" s="1"/>
  <c r="D120" i="21"/>
  <c r="AA63" i="19" s="1"/>
  <c r="B120" i="21"/>
  <c r="AA61" i="19" s="1"/>
  <c r="C65" i="21"/>
  <c r="AA16" i="19" s="1"/>
  <c r="C82" i="21"/>
  <c r="W30" i="19" s="1"/>
  <c r="C120" i="21"/>
  <c r="E133" s="1"/>
  <c r="AB62" i="19" s="1"/>
  <c r="B143" i="21"/>
  <c r="W46" i="19" s="1"/>
  <c r="D56" i="21"/>
  <c r="D72" s="1"/>
  <c r="X17" i="19" s="1"/>
  <c r="D65" i="21"/>
  <c r="D74" s="1"/>
  <c r="AB17" i="19" s="1"/>
  <c r="C56" i="21"/>
  <c r="C72" s="1"/>
  <c r="X16" i="19" s="1"/>
  <c r="B118" i="21"/>
  <c r="W37" i="19" s="1"/>
  <c r="W61" s="1"/>
  <c r="V46"/>
  <c r="V54"/>
  <c r="B82" i="21"/>
  <c r="W23" i="19" s="1"/>
  <c r="V23"/>
  <c r="B31" i="21"/>
  <c r="C64" s="1"/>
  <c r="J54" i="19"/>
  <c r="B64" i="2"/>
  <c r="B83"/>
  <c r="K23" i="19" s="1"/>
  <c r="J23"/>
  <c r="B144" i="2"/>
  <c r="K46" i="19" s="1"/>
  <c r="J46"/>
  <c r="C119" i="2"/>
  <c r="D119"/>
  <c r="B119"/>
  <c r="J30" i="19"/>
  <c r="D64" i="2"/>
  <c r="C83"/>
  <c r="K30" i="19" s="1"/>
  <c r="C144" i="2"/>
  <c r="K54" i="19" s="1"/>
  <c r="C64" i="2"/>
  <c r="F46" i="19"/>
  <c r="B142" i="2"/>
  <c r="G46" i="19" s="1"/>
  <c r="B81" i="2"/>
  <c r="G23" i="19" s="1"/>
  <c r="D117" i="2"/>
  <c r="F54" i="19"/>
  <c r="B117" i="2"/>
  <c r="D55"/>
  <c r="F30" i="19"/>
  <c r="C142" i="2"/>
  <c r="G54" i="19" s="1"/>
  <c r="C55" i="2"/>
  <c r="B55"/>
  <c r="F23" i="19"/>
  <c r="C81" i="2"/>
  <c r="G30" i="19" s="1"/>
  <c r="C117" i="2"/>
  <c r="AA15" i="19"/>
  <c r="B74" i="21"/>
  <c r="AB15" i="19" s="1"/>
  <c r="H54"/>
  <c r="R391" i="21"/>
  <c r="B27" s="1"/>
  <c r="AI391"/>
  <c r="AG391"/>
  <c r="AG391" i="2"/>
  <c r="R391"/>
  <c r="B27" s="1"/>
  <c r="AI391"/>
  <c r="B116" l="1"/>
  <c r="E37" i="19" s="1"/>
  <c r="E61" s="1"/>
  <c r="B141" i="2"/>
  <c r="E46" i="19" s="1"/>
  <c r="B80" i="2"/>
  <c r="E23" i="19" s="1"/>
  <c r="D116" i="2"/>
  <c r="E39" i="19" s="1"/>
  <c r="E63" s="1"/>
  <c r="C116" i="2"/>
  <c r="D129" s="1"/>
  <c r="F38" i="19" s="1"/>
  <c r="D30"/>
  <c r="C80" i="2"/>
  <c r="E30" i="19" s="1"/>
  <c r="C141" i="2"/>
  <c r="E54" i="19" s="1"/>
  <c r="B54" i="2"/>
  <c r="B70" s="1"/>
  <c r="F15" i="19" s="1"/>
  <c r="D46"/>
  <c r="D54" i="2"/>
  <c r="D70" s="1"/>
  <c r="F17" i="19" s="1"/>
  <c r="D23"/>
  <c r="C54" i="2"/>
  <c r="E16" i="19" s="1"/>
  <c r="B82" i="2"/>
  <c r="I23" i="19" s="1"/>
  <c r="B118" i="2"/>
  <c r="C131" s="1"/>
  <c r="J61" i="19" s="1"/>
  <c r="D120" i="2"/>
  <c r="M39" i="19" s="1"/>
  <c r="C143" i="2"/>
  <c r="I54" i="19" s="1"/>
  <c r="C56" i="2"/>
  <c r="I16" i="19" s="1"/>
  <c r="H23"/>
  <c r="H46"/>
  <c r="C118" i="2"/>
  <c r="I38" i="19" s="1"/>
  <c r="I62" s="1"/>
  <c r="D65" i="2"/>
  <c r="M17" i="19" s="1"/>
  <c r="B56" i="2"/>
  <c r="I15" i="19" s="1"/>
  <c r="B143" i="2"/>
  <c r="I46" i="19" s="1"/>
  <c r="D118" i="2"/>
  <c r="G131" s="1"/>
  <c r="J63" i="19" s="1"/>
  <c r="B65" i="2"/>
  <c r="B74" s="1"/>
  <c r="N15" i="19" s="1"/>
  <c r="D56" i="2"/>
  <c r="I17" i="19" s="1"/>
  <c r="B120" i="2"/>
  <c r="C133" s="1"/>
  <c r="N61" i="19" s="1"/>
  <c r="C82" i="2"/>
  <c r="I30" i="19" s="1"/>
  <c r="H30"/>
  <c r="C120" i="2"/>
  <c r="E133" s="1"/>
  <c r="N62" i="19" s="1"/>
  <c r="C141" i="21"/>
  <c r="S54" i="19" s="1"/>
  <c r="B141" i="21"/>
  <c r="S46" i="19" s="1"/>
  <c r="C80" i="21"/>
  <c r="S30" i="19" s="1"/>
  <c r="B116" i="21"/>
  <c r="C129" s="1"/>
  <c r="T61" i="19" s="1"/>
  <c r="C116" i="21"/>
  <c r="E129" s="1"/>
  <c r="T62" i="19" s="1"/>
  <c r="D116" i="21"/>
  <c r="G129" s="1"/>
  <c r="T63" i="19" s="1"/>
  <c r="C54" i="21"/>
  <c r="C70" s="1"/>
  <c r="T16" i="19" s="1"/>
  <c r="B54" i="21"/>
  <c r="S15" i="19" s="1"/>
  <c r="R46"/>
  <c r="R54"/>
  <c r="D54" i="21"/>
  <c r="S17" i="19" s="1"/>
  <c r="R30"/>
  <c r="B80" i="21"/>
  <c r="S23" i="19" s="1"/>
  <c r="W17"/>
  <c r="G133" i="21"/>
  <c r="AB63" i="19" s="1"/>
  <c r="W15"/>
  <c r="W38"/>
  <c r="W62" s="1"/>
  <c r="W16"/>
  <c r="AA39"/>
  <c r="D133" i="21"/>
  <c r="AB38" i="19" s="1"/>
  <c r="F133" i="21"/>
  <c r="AB39" i="19" s="1"/>
  <c r="AA38"/>
  <c r="G131" i="21"/>
  <c r="X63" i="19" s="1"/>
  <c r="C74" i="21"/>
  <c r="AB16" i="19" s="1"/>
  <c r="AA37"/>
  <c r="E131" i="21"/>
  <c r="X62" i="19" s="1"/>
  <c r="B131" i="21"/>
  <c r="X37" i="19" s="1"/>
  <c r="X54"/>
  <c r="X23"/>
  <c r="X46"/>
  <c r="D119" i="21"/>
  <c r="G132" s="1"/>
  <c r="Z63" i="19" s="1"/>
  <c r="B64" i="21"/>
  <c r="Y15" i="19" s="1"/>
  <c r="C144" i="21"/>
  <c r="Y54" i="19" s="1"/>
  <c r="C119" i="21"/>
  <c r="E132" s="1"/>
  <c r="Z62" i="19" s="1"/>
  <c r="B133" i="21"/>
  <c r="AB37" i="19" s="1"/>
  <c r="AA17"/>
  <c r="C131" i="21"/>
  <c r="X61" i="19" s="1"/>
  <c r="AA62"/>
  <c r="C133" i="21"/>
  <c r="AB61" i="19" s="1"/>
  <c r="F131" i="21"/>
  <c r="X39" i="19" s="1"/>
  <c r="B83" i="21"/>
  <c r="Y23" i="19" s="1"/>
  <c r="B144" i="21"/>
  <c r="Y46" i="19" s="1"/>
  <c r="D64" i="21"/>
  <c r="Y17" i="19" s="1"/>
  <c r="B119" i="21"/>
  <c r="C132" s="1"/>
  <c r="Z61" i="19" s="1"/>
  <c r="X30"/>
  <c r="C83" i="21"/>
  <c r="Y30" i="19" s="1"/>
  <c r="C53" i="21"/>
  <c r="P23" i="19"/>
  <c r="C79" i="21"/>
  <c r="Q30" i="19" s="1"/>
  <c r="P54"/>
  <c r="D115" i="21"/>
  <c r="C140"/>
  <c r="Q54" i="19" s="1"/>
  <c r="D53" i="21"/>
  <c r="B79"/>
  <c r="Q23" i="19" s="1"/>
  <c r="P30"/>
  <c r="P46"/>
  <c r="C115" i="21"/>
  <c r="B140"/>
  <c r="Q46" i="19" s="1"/>
  <c r="B115" i="21"/>
  <c r="B53"/>
  <c r="Y39" i="19"/>
  <c r="Y63" s="1"/>
  <c r="Y16"/>
  <c r="C73" i="21"/>
  <c r="Z16" i="19" s="1"/>
  <c r="C129" i="2"/>
  <c r="F61" i="19" s="1"/>
  <c r="M16"/>
  <c r="C74" i="2"/>
  <c r="N16" i="19" s="1"/>
  <c r="B71" i="2"/>
  <c r="H15" i="19" s="1"/>
  <c r="G15"/>
  <c r="D71" i="2"/>
  <c r="H17" i="19" s="1"/>
  <c r="G17"/>
  <c r="D73" i="2"/>
  <c r="L17" i="19" s="1"/>
  <c r="K17"/>
  <c r="K37"/>
  <c r="K61" s="1"/>
  <c r="B132" i="2"/>
  <c r="L37" i="19" s="1"/>
  <c r="C132" i="2"/>
  <c r="L61" i="19" s="1"/>
  <c r="E132" i="2"/>
  <c r="L62" i="19" s="1"/>
  <c r="K38"/>
  <c r="K62" s="1"/>
  <c r="D132" i="2"/>
  <c r="L38" i="19" s="1"/>
  <c r="C115" i="2"/>
  <c r="B54" i="19"/>
  <c r="B53" i="2"/>
  <c r="D115"/>
  <c r="C53"/>
  <c r="B46" i="19"/>
  <c r="C140" i="2"/>
  <c r="C54" i="19" s="1"/>
  <c r="B140" i="2"/>
  <c r="C46" i="19" s="1"/>
  <c r="D53" i="2"/>
  <c r="B30" i="19"/>
  <c r="B115" i="2"/>
  <c r="B79"/>
  <c r="C23" i="19" s="1"/>
  <c r="C79" i="2"/>
  <c r="C30" i="19" s="1"/>
  <c r="B23"/>
  <c r="G38"/>
  <c r="G62" s="1"/>
  <c r="D130" i="2"/>
  <c r="H38" i="19" s="1"/>
  <c r="E130" i="2"/>
  <c r="H62" i="19" s="1"/>
  <c r="G16"/>
  <c r="C71" i="2"/>
  <c r="H16" i="19" s="1"/>
  <c r="G37"/>
  <c r="G61" s="1"/>
  <c r="B130" i="2"/>
  <c r="H37" i="19" s="1"/>
  <c r="C130" i="2"/>
  <c r="H61" i="19" s="1"/>
  <c r="F130" i="2"/>
  <c r="H39" i="19" s="1"/>
  <c r="G39"/>
  <c r="G63" s="1"/>
  <c r="G130" i="2"/>
  <c r="H63" i="19" s="1"/>
  <c r="C73" i="2"/>
  <c r="L16" i="19" s="1"/>
  <c r="K16"/>
  <c r="K39"/>
  <c r="K63" s="1"/>
  <c r="F132" i="2"/>
  <c r="L39" i="19" s="1"/>
  <c r="G132" i="2"/>
  <c r="L63" i="19" s="1"/>
  <c r="B73" i="2"/>
  <c r="L15" i="19" s="1"/>
  <c r="K15"/>
  <c r="B129" i="2" l="1"/>
  <c r="F37" i="19" s="1"/>
  <c r="M15"/>
  <c r="G129" i="2"/>
  <c r="F63" i="19" s="1"/>
  <c r="C70" i="2"/>
  <c r="F16" i="19" s="1"/>
  <c r="M63"/>
  <c r="F129" i="2"/>
  <c r="F39" i="19" s="1"/>
  <c r="E129" i="2"/>
  <c r="F62" i="19" s="1"/>
  <c r="E38"/>
  <c r="E62" s="1"/>
  <c r="B72" i="2"/>
  <c r="J15" i="19" s="1"/>
  <c r="F129" i="21"/>
  <c r="T39" i="19" s="1"/>
  <c r="Y37"/>
  <c r="Y61" s="1"/>
  <c r="E17"/>
  <c r="E15"/>
  <c r="D74" i="2"/>
  <c r="N17" i="19" s="1"/>
  <c r="G133" i="2"/>
  <c r="N63" i="19" s="1"/>
  <c r="E131" i="2"/>
  <c r="J62" i="19" s="1"/>
  <c r="I37"/>
  <c r="I61" s="1"/>
  <c r="B131" i="2"/>
  <c r="J37" i="19" s="1"/>
  <c r="F133" i="2"/>
  <c r="N39" i="19" s="1"/>
  <c r="C72" i="2"/>
  <c r="J16" i="19" s="1"/>
  <c r="M61"/>
  <c r="D131" i="2"/>
  <c r="J38" i="19" s="1"/>
  <c r="M62"/>
  <c r="D72" i="2"/>
  <c r="J17" i="19" s="1"/>
  <c r="F131" i="2"/>
  <c r="J39" i="19" s="1"/>
  <c r="D133" i="2"/>
  <c r="N38" i="19" s="1"/>
  <c r="I39"/>
  <c r="I63" s="1"/>
  <c r="B133" i="2"/>
  <c r="N37" i="19" s="1"/>
  <c r="S38"/>
  <c r="S62" s="1"/>
  <c r="D70" i="21"/>
  <c r="T17" i="19" s="1"/>
  <c r="M37"/>
  <c r="M38"/>
  <c r="S37"/>
  <c r="S61" s="1"/>
  <c r="B129" i="21"/>
  <c r="T37" i="19" s="1"/>
  <c r="B70" i="21"/>
  <c r="T15" i="19" s="1"/>
  <c r="S39"/>
  <c r="S63" s="1"/>
  <c r="D129" i="21"/>
  <c r="T38" i="19" s="1"/>
  <c r="S16"/>
  <c r="B73" i="21"/>
  <c r="Z15" i="19" s="1"/>
  <c r="D132" i="21"/>
  <c r="Z38" i="19" s="1"/>
  <c r="Y38"/>
  <c r="Y62" s="1"/>
  <c r="F132" i="21"/>
  <c r="Z39" i="19" s="1"/>
  <c r="D73" i="21"/>
  <c r="Z17" i="19" s="1"/>
  <c r="B132" i="21"/>
  <c r="Z37" i="19" s="1"/>
  <c r="C37"/>
  <c r="C61" s="1"/>
  <c r="C128" i="2"/>
  <c r="D61" i="19" s="1"/>
  <c r="B128" i="2"/>
  <c r="D37" i="19" s="1"/>
  <c r="G128" i="2"/>
  <c r="D63" i="19" s="1"/>
  <c r="F128" i="2"/>
  <c r="D39" i="19" s="1"/>
  <c r="C39"/>
  <c r="C63" s="1"/>
  <c r="C128" i="21"/>
  <c r="R61" i="19" s="1"/>
  <c r="Q37"/>
  <c r="Q61" s="1"/>
  <c r="B128" i="21"/>
  <c r="R37" i="19" s="1"/>
  <c r="E128" i="21"/>
  <c r="R62" i="19" s="1"/>
  <c r="D128" i="21"/>
  <c r="R38" i="19" s="1"/>
  <c r="Q38"/>
  <c r="Q62" s="1"/>
  <c r="Q17"/>
  <c r="D69" i="21"/>
  <c r="R17" i="19" s="1"/>
  <c r="G128" i="21"/>
  <c r="R63" i="19" s="1"/>
  <c r="F128" i="21"/>
  <c r="R39" i="19" s="1"/>
  <c r="Q39"/>
  <c r="Q63" s="1"/>
  <c r="C69" i="21"/>
  <c r="R16" i="19" s="1"/>
  <c r="Q16"/>
  <c r="D69" i="2"/>
  <c r="D17" i="19" s="1"/>
  <c r="C17"/>
  <c r="C16"/>
  <c r="C69" i="2"/>
  <c r="D16" i="19" s="1"/>
  <c r="B69" i="2"/>
  <c r="D15" i="19" s="1"/>
  <c r="C15"/>
  <c r="D128" i="2"/>
  <c r="D38" i="19" s="1"/>
  <c r="C38"/>
  <c r="C62" s="1"/>
  <c r="E128" i="2"/>
  <c r="D62" i="19" s="1"/>
  <c r="Q15"/>
  <c r="B69" i="21"/>
  <c r="R15" i="19" s="1"/>
</calcChain>
</file>

<file path=xl/comments1.xml><?xml version="1.0" encoding="utf-8"?>
<comments xmlns="http://schemas.openxmlformats.org/spreadsheetml/2006/main">
  <authors>
    <author>OPP</author>
    <author>Justin Housenger</author>
    <author>Jravensc</author>
    <author>A satisfied Microsoft Office user</author>
    <author>EPA</author>
    <author>BANDER03</author>
    <author>John Ravenscroft</author>
  </authors>
  <commentList>
    <comment ref="B6" authorId="0">
      <text>
        <r>
          <rPr>
            <b/>
            <sz val="8"/>
            <color indexed="81"/>
            <rFont val="Tahoma"/>
            <family val="2"/>
          </rPr>
          <t xml:space="preserve">Enter the name of the active ingredient that is the subject of the registration.  </t>
        </r>
        <r>
          <rPr>
            <sz val="8"/>
            <color indexed="81"/>
            <rFont val="Tahoma"/>
            <family val="2"/>
          </rPr>
          <t xml:space="preserve">
</t>
        </r>
      </text>
    </comment>
    <comment ref="C7" authorId="1">
      <text>
        <r>
          <rPr>
            <b/>
            <sz val="8"/>
            <color indexed="81"/>
            <rFont val="Tahoma"/>
            <family val="2"/>
          </rPr>
          <t>Click check box if the use is a seed treatment</t>
        </r>
      </text>
    </comment>
    <comment ref="B8" authorId="0">
      <text>
        <r>
          <rPr>
            <b/>
            <sz val="8"/>
            <color indexed="81"/>
            <rFont val="Tahoma"/>
            <family val="2"/>
          </rPr>
          <t>Enter the use site (eg. turf, residential, crop, rights-of-way, etc.),</t>
        </r>
        <r>
          <rPr>
            <sz val="8"/>
            <color indexed="81"/>
            <rFont val="Tahoma"/>
            <family val="2"/>
          </rPr>
          <t xml:space="preserve">
</t>
        </r>
      </text>
    </comment>
    <comment ref="B9" authorId="0">
      <text>
        <r>
          <rPr>
            <b/>
            <sz val="10"/>
            <color indexed="81"/>
            <rFont val="Tahoma"/>
            <family val="2"/>
          </rPr>
          <t>Enter the name of the formulated product as it appears on the subject label, including any indication of the form of the product (eg., 10g -10% granular, wp-wettable powder, etc.)</t>
        </r>
        <r>
          <rPr>
            <sz val="8"/>
            <color indexed="81"/>
            <rFont val="Tahoma"/>
            <family val="2"/>
          </rPr>
          <t xml:space="preserve">
</t>
        </r>
      </text>
    </comment>
    <comment ref="B10" authorId="2">
      <text>
        <r>
          <rPr>
            <b/>
            <sz val="10"/>
            <color indexed="81"/>
            <rFont val="Tahoma"/>
            <family val="2"/>
          </rPr>
          <t>If an application rate for a formulated product is used, enter the % A.I. for the formulation.  However, if the application rate to be entered has already been adjusted for % A.I., use 100 % in this cell. 
If the percent a.i. is &lt;1%, then a leading zero to the left of the decimal must be entered to ensure that 0.5% is not changed to 50% by EXCEL.  For example, a 0.5% formulation must be entered as "0.5" or ".5%" not ".5", and a 0.006% formulation must be entered as "0.006" or ".006%" not ".006".</t>
        </r>
      </text>
    </comment>
    <comment ref="B11" authorId="2">
      <text>
        <r>
          <rPr>
            <b/>
            <sz val="10"/>
            <color indexed="81"/>
            <rFont val="Arial"/>
            <family val="2"/>
          </rPr>
          <t>If the application rate has already been adjusted for active ingredient, make sure  a value of 100 is entered in the % A.I. cell above; otherwise, enter your application rate in lbs formulation/A here and then the % A.I. in the product in the above cell.</t>
        </r>
        <r>
          <rPr>
            <sz val="8"/>
            <color indexed="81"/>
            <rFont val="Tahoma"/>
            <family val="2"/>
          </rPr>
          <t xml:space="preserve">
</t>
        </r>
      </text>
    </comment>
    <comment ref="B12" authorId="3">
      <text>
        <r>
          <rPr>
            <b/>
            <sz val="10"/>
            <color indexed="81"/>
            <rFont val="Arial"/>
            <family val="2"/>
          </rPr>
          <t>See Appendix A of T-REX user guide for guidance on selecting the appropriate half-life. The default value for this parameter is 35 d.</t>
        </r>
      </text>
    </comment>
    <comment ref="B13" authorId="0">
      <text>
        <r>
          <rPr>
            <b/>
            <sz val="10"/>
            <color indexed="81"/>
            <rFont val="Arial"/>
            <family val="2"/>
          </rPr>
          <t>Enter the interval (days) between multiple applications (if any) if the application intervals are uniform.  For intervals of varying length, go to cell B15 below.</t>
        </r>
        <r>
          <rPr>
            <sz val="10"/>
            <color indexed="81"/>
            <rFont val="Arial"/>
            <family val="2"/>
          </rPr>
          <t xml:space="preserve">
</t>
        </r>
      </text>
    </comment>
    <comment ref="B14" authorId="0">
      <text>
        <r>
          <rPr>
            <b/>
            <sz val="10"/>
            <color indexed="81"/>
            <rFont val="Arial"/>
            <family val="2"/>
          </rPr>
          <t xml:space="preserve">Enter the number of applications.  EFED Policy states that screening risk assessments should consider the maximum number of applications specified on the product label.  However, the risk assessor may elect other numbers of applications to explore possible mitigation effort effects on risk outcomes. </t>
        </r>
        <r>
          <rPr>
            <sz val="8"/>
            <color indexed="81"/>
            <rFont val="Tahoma"/>
            <family val="2"/>
          </rPr>
          <t xml:space="preserve">
</t>
        </r>
      </text>
    </comment>
    <comment ref="B15" authorId="4">
      <text>
        <r>
          <rPr>
            <b/>
            <sz val="10"/>
            <color indexed="81"/>
            <rFont val="Arial"/>
            <family val="2"/>
          </rPr>
          <t>Value must be "yes" or "no"</t>
        </r>
      </text>
    </comment>
    <comment ref="A17" authorId="5">
      <text>
        <r>
          <rPr>
            <sz val="10"/>
            <color indexed="81"/>
            <rFont val="Tahoma"/>
            <family val="2"/>
          </rPr>
          <t>Note, for national level assessments use default body weights of 15, 35, and 1000 grams for mammals and 20, 100, and 1000 grams for birds.  For species specific analyses, use appropriate range of body size for the species and document the reference for the choice of size.</t>
        </r>
      </text>
    </comment>
    <comment ref="C41" authorId="2">
      <text>
        <r>
          <rPr>
            <b/>
            <sz val="8"/>
            <color indexed="81"/>
            <rFont val="Tahoma"/>
            <family val="2"/>
          </rPr>
          <t>Enter LD50 for dose-based acute effects endpoint.  EFED policy states that for screening risk assessments, the lowest LD50 from acceptable or supplemental studies be used.  However the risk assessor may elect other LD50 values as necessary for non-screening risk assessments, but must document in  risk assessment why the lowest tested endpoint was not used. 
The risk assessor should note that this version of the model assumes a set bodyweight for tested bobwhite quail (178 g) and mallard duck (1580 g) unless another bodyweight is entered to the right of this cell or "other " is selected for a test species.  The user may alter the default bodyweight for bobwhite or mallard test organisms by entering a bodyweight in the cells to the right.  Use of "other" species, or studies involving subject animals markedly different from the assumed bodyweights requires the risk assessor to provide the alternate bodyweight and the species name.</t>
        </r>
        <r>
          <rPr>
            <sz val="8"/>
            <color indexed="81"/>
            <rFont val="Tahoma"/>
            <family val="2"/>
          </rPr>
          <t xml:space="preserve">
</t>
        </r>
      </text>
    </comment>
    <comment ref="F41" authorId="0">
      <text>
        <r>
          <rPr>
            <b/>
            <sz val="8"/>
            <color indexed="81"/>
            <rFont val="Tahoma"/>
            <family val="2"/>
          </rPr>
          <t>This cell is only required when "other" is selected for test species to the left.  If bobwhite or mallard are selected, default bodyweights are used for toxicity scaling calcultions.  The risk assessor has the option to override the default bodyweights and use other body weights (g) for bobwhite or mallard  by selecting the species in the drop down to the left and then entering</t>
        </r>
        <r>
          <rPr>
            <b/>
            <sz val="8"/>
            <color indexed="81"/>
            <rFont val="Tahoma"/>
            <family val="2"/>
          </rPr>
          <t xml:space="preserve">
the desired tested animal bodyweight(g) here.  
</t>
        </r>
      </text>
    </comment>
    <comment ref="G41" authorId="0">
      <text>
        <r>
          <rPr>
            <b/>
            <sz val="8"/>
            <color indexed="81"/>
            <rFont val="Tahoma"/>
            <family val="2"/>
          </rPr>
          <t>This cell is only required when "other" is selected for test species to the left.  If bobwhite or mallard are selected, default test organism names  are used for model output.  The risk assessor has the option to override the default test organism names and refer to other species by selecting other in the species in the drop down to the left and then entering the desired tested animal name here.</t>
        </r>
      </text>
    </comment>
    <comment ref="C42" authorId="2">
      <text>
        <r>
          <rPr>
            <b/>
            <sz val="8"/>
            <color indexed="81"/>
            <rFont val="Tahoma"/>
            <family val="2"/>
          </rPr>
          <t>Enter LC50 for dietary-based acute effects endpoint.  EFED policy states that for screening risk assessments, the lowest LC50 from acceptable or supplemental studies be used.  However the risk assessor may elect other LC50 values as necessary for non-screening risk assessments, but must document in  risk assessment why the lowest tested endpoint was not used. 
The risk assessor should note that this version of the model assumes a set bodyweight for tested bobwhite quail (178 g) and mallard duck (1580 g) unless another bodyweight is entered to the right of this cell or "other " is selected for a test species.  The user may alter the default bodyweight for bobwhite or mallard test organisms by entering a bodyweight in the cells to the right.  Use of "other" species, or studies involving subject animals markedly different from the assumed bodyweights requires the risk assessor to provide the alternate bodyweight and the species name.</t>
        </r>
      </text>
    </comment>
    <comment ref="F42" authorId="0">
      <text>
        <r>
          <rPr>
            <b/>
            <sz val="8"/>
            <color indexed="81"/>
            <rFont val="Tahoma"/>
            <family val="2"/>
          </rPr>
          <t>This cell is only required when "other" is selected for test species to the left.  If bobwhite or mallard are selected, default bodyweights are used for toxicity scaling calcultions.  The risk assessor has the option to override the default bodyweights and use other body weights (g) for bobwhite or mallard  by selecting the species in the drop down to the left and then entering</t>
        </r>
        <r>
          <rPr>
            <b/>
            <sz val="8"/>
            <color indexed="81"/>
            <rFont val="Tahoma"/>
            <family val="2"/>
          </rPr>
          <t xml:space="preserve">
the desired tested animal bodyweight(g) here.  
</t>
        </r>
      </text>
    </comment>
    <comment ref="G42" authorId="0">
      <text>
        <r>
          <rPr>
            <b/>
            <sz val="8"/>
            <color indexed="81"/>
            <rFont val="Tahoma"/>
            <family val="2"/>
          </rPr>
          <t>This cell is only required when "other" is selected for test species to the left.  If bobwhite or mallard are selected, default test organism names  are used for model output.  The risk assessor has the option to override the default test organism names and refer to other species by selecting other in the species in the drop down to the left and then entering the desired tested animal name here.</t>
        </r>
        <r>
          <rPr>
            <sz val="8"/>
            <color indexed="81"/>
            <rFont val="Tahoma"/>
            <family val="2"/>
          </rPr>
          <t xml:space="preserve">
</t>
        </r>
      </text>
    </comment>
    <comment ref="C43" authorId="2">
      <text>
        <r>
          <rPr>
            <b/>
            <sz val="8"/>
            <color indexed="81"/>
            <rFont val="Tahoma"/>
            <family val="2"/>
          </rPr>
          <t xml:space="preserve">Enter NOAEL here if reported in mg/kg bw/d.  EFED policy states that for screening risk assessments, the lowest NOAEL for reproduction effects from acceptable or supplemental studies be used.  However the risk assessor may elect other NOAELvalues as necessary for non-screening risk assessments, but must document in  risk assessment why the lowest tested endpoint was not used. 
The risk assessor should note that this version of the model assumes a set bodyweight for tested bobwhite quail (178 g) and mallard duck (1580 g) unless another bodyweight is entered to the right of this cell or "other " is selected for a test species.  The user may alter the default bodyweight for bobwhite or mallard test organisms by entering a bodyweight in the cells to the right.  Use of "other" species, or studies involving subject animals markedly different from the assumed bodyweights requires the risk assessor to provide the alternate bodyweight and the species name.
</t>
        </r>
      </text>
    </comment>
    <comment ref="F43" authorId="0">
      <text>
        <r>
          <rPr>
            <b/>
            <sz val="8"/>
            <color indexed="81"/>
            <rFont val="Tahoma"/>
            <family val="2"/>
          </rPr>
          <t>This cell is only required when "other" is selected for test species to the left.  If bobwhite or mallard are selected, default bodyweights are used for toxicity scaling calcultions.  The risk assessor has the option to override the default bodyweights and use other body weights (g) for bobwhite or mallard  by selecting the species in the drop down to the left and then entering</t>
        </r>
        <r>
          <rPr>
            <b/>
            <sz val="8"/>
            <color indexed="81"/>
            <rFont val="Tahoma"/>
            <family val="2"/>
          </rPr>
          <t xml:space="preserve">
the desired tested animal bodyweight(g) here.  
</t>
        </r>
      </text>
    </comment>
    <comment ref="G43" authorId="0">
      <text>
        <r>
          <rPr>
            <b/>
            <sz val="8"/>
            <color indexed="81"/>
            <rFont val="Tahoma"/>
            <family val="2"/>
          </rPr>
          <t>This cell is only required when "other" is selected for test species to the left.  If bobwhite or mallard are selected, default test organism names  are used for model output.  The risk assessor has the option to override the default test organism names and refer to other species by selecting other in the species in the drop down to the left and then entering the desired tested animal name here.</t>
        </r>
        <r>
          <rPr>
            <sz val="8"/>
            <color indexed="81"/>
            <rFont val="Tahoma"/>
            <family val="2"/>
          </rPr>
          <t xml:space="preserve">
</t>
        </r>
      </text>
    </comment>
    <comment ref="C44" authorId="2">
      <text>
        <r>
          <rPr>
            <b/>
            <sz val="8"/>
            <color indexed="81"/>
            <rFont val="Tahoma"/>
            <family val="2"/>
          </rPr>
          <t>Enter NOAEC here if reported in ppm.  EFED policy states that for screening risk assessments, the lowest NOAEC for reproduction effects from acceptable or supplemental studies be used.  However the risk assessor may elect other NOAECvalues as necessary for non-screening risk assessments, but must document in  risk assessment why the lowest tested endpoint was not used.   
The risk assessor should note that this version of the model assumes a set bodyweight for tested bobwhite quail (178 g) and mallard duck (1580 g) unless another bodyweight is entered to the right of this cell or "other " is selected for a test species.  The user may alter the default bodyweight for bobwhite or mallard test organisms by entering a bodyweight in the cells to the right.  Use of "other" species, or studies involving subject animals markedly different from the assumed bodyweights requires the risk assessor to provide the alternate bodyweight and the species name.</t>
        </r>
      </text>
    </comment>
    <comment ref="F44" authorId="0">
      <text>
        <r>
          <rPr>
            <b/>
            <sz val="8"/>
            <color indexed="81"/>
            <rFont val="Tahoma"/>
            <family val="2"/>
          </rPr>
          <t>This cell is only required when "other" is selected for test species to the left.  If bobwhite or mallard are selected, default bodyweights are used for toxicity scaling calcultions.  The risk assessor has the option to override the default bodyweights and use other body weights (g) for bobwhite or mallard  by selecting the species in the drop down to the left and then entering</t>
        </r>
        <r>
          <rPr>
            <b/>
            <sz val="8"/>
            <color indexed="81"/>
            <rFont val="Tahoma"/>
            <family val="2"/>
          </rPr>
          <t xml:space="preserve">
the desired tested animal bodyweight(g) here.  
</t>
        </r>
      </text>
    </comment>
    <comment ref="G44" authorId="0">
      <text>
        <r>
          <rPr>
            <b/>
            <sz val="8"/>
            <color indexed="81"/>
            <rFont val="Tahoma"/>
            <family val="2"/>
          </rPr>
          <t>This cell is only required when "other" is selected for test species to the left.  If bobwhite or mallard are selected, default test organism names  are used for model output.  The risk assessor has the option to override the default test organism names and refer to other species by selecting other in the species in the drop down to the left and then entering the desired tested animal name here.</t>
        </r>
        <r>
          <rPr>
            <sz val="8"/>
            <color indexed="81"/>
            <rFont val="Tahoma"/>
            <family val="2"/>
          </rPr>
          <t xml:space="preserve">
</t>
        </r>
      </text>
    </comment>
    <comment ref="D45" authorId="0">
      <text>
        <r>
          <rPr>
            <b/>
            <sz val="10"/>
            <color indexed="81"/>
            <rFont val="Tahoma"/>
            <family val="2"/>
          </rPr>
          <t>Scaling factor requested is chemical specific or is set to a default of 1.15 as discussed in :
Mineau, P., B.T. Collins, A. Baril.  1996.  On the use of scaling factors to improve interspecies extrapolation to acute toxicity in birds.  Reg. Toxicol. Pharmacol.  24:24-29</t>
        </r>
        <r>
          <rPr>
            <b/>
            <sz val="8"/>
            <color indexed="81"/>
            <rFont val="Tahoma"/>
            <family val="2"/>
          </rPr>
          <t xml:space="preserve">
</t>
        </r>
      </text>
    </comment>
    <comment ref="C50" authorId="2">
      <text>
        <r>
          <rPr>
            <b/>
            <sz val="8"/>
            <color indexed="81"/>
            <rFont val="Tahoma"/>
            <family val="2"/>
          </rPr>
          <t>Enter LD50 for dose-based acute effects endpoint.  EFED policy states that for screening risk assessments, the lowest rat LD50 from acceptable or supplemental studies be used.  However the risk assessor may elect other LD50 values as necessary for non-screening risk assessments, but must document in  risk assessment why the lowest tested endpoint was not used.  
The risk assessor should note that this version of the model assumes a set bodyweight (350 g) for the tested organisms, assuming they are laboratory rats.  Use of other species, or studies involving subject animals markedly different from the assumed bodyweightof 350 g will result in inaccuraties in extrapolating test endpoints to modelled animals.</t>
        </r>
        <r>
          <rPr>
            <sz val="8"/>
            <color indexed="81"/>
            <rFont val="Tahoma"/>
            <family val="2"/>
          </rPr>
          <t xml:space="preserve">
</t>
        </r>
      </text>
    </comment>
    <comment ref="C51" authorId="2">
      <text>
        <r>
          <rPr>
            <b/>
            <sz val="8"/>
            <color indexed="81"/>
            <rFont val="Tahoma"/>
            <family val="2"/>
          </rPr>
          <t>Enter LC50 for dietary-based acute effects endpoint.  EFED policy states that for screening risk assessments, the lowest rat LC50 from acceptable or supplemental studies be used.  However the risk assessor may elect other LC50 values as necessary for non-screening risk assessments, but must document in  risk assessment why the lowest tested endpoint was not used. 
The risk assessor should note that this version of the model assumes a set bodyweight (350 g) for the tested organisms, assuming they are laboratory rats.  Use of other species, or studies involving subject animals markedly different from the assumed bodyweightof 350 g will result in inaccuraties in extrapolating test endpoints to modelled animals.</t>
        </r>
      </text>
    </comment>
    <comment ref="C52" authorId="6">
      <text>
        <r>
          <rPr>
            <b/>
            <sz val="8"/>
            <color indexed="81"/>
            <rFont val="Tahoma"/>
            <family val="2"/>
          </rPr>
          <t>Enter EITHER the  NOAEL or the NOAEC.  To the right of this cell is a drop down menu for the units in which the endpoint is expressed.  The model will automatically make default adjustments for units to express the endpoint BOTH as NOAEC and NOAEL.
EFED policy states that for screening risk assessments, the lowest NOAEL or NOAEC for rat reproduction effects from acceptable or supplemental studies be used.  If a rat reproduction study is unavailable the risk assessor may use the rat teratogenicity study NOAEL or NOAEC, but must identify this alternative endpoint use and must discuss in the risk description its limitations.  The risk assessor may elect other NOAEL or NOAEC values as necessary for non-screening risk assessments, but must document in  risk assessment why the lowest tested reproduction endpoint was not used.
The risk assessor should note that this version of the model assumes a set bodyweight (350 g) for the tested organisms, assuming they are laboratory rats.  Use of other species, or studies involving subject animals markedly different from the assumed bodyweightof 350 g will result in inaccuraties in extrapolating test endpoints to modelled animals.</t>
        </r>
        <r>
          <rPr>
            <sz val="10"/>
            <color indexed="81"/>
            <rFont val="Tahoma"/>
            <family val="2"/>
          </rPr>
          <t xml:space="preserve">
</t>
        </r>
      </text>
    </comment>
    <comment ref="C58" authorId="0">
      <text>
        <r>
          <rPr>
            <b/>
            <sz val="8"/>
            <color indexed="81"/>
            <rFont val="Tahoma"/>
            <family val="2"/>
          </rPr>
          <t xml:space="preserve">From the drop-down menu enter the type of application method to be considered in this model run.  The type of application is important in LD50ft-2 calculations as it is linked to assumptions regarding availability of the pesticide to wildlife.
</t>
        </r>
        <r>
          <rPr>
            <sz val="8"/>
            <color indexed="81"/>
            <rFont val="Tahoma"/>
            <family val="2"/>
          </rPr>
          <t xml:space="preserve">
</t>
        </r>
      </text>
    </comment>
    <comment ref="C59" authorId="0">
      <text>
        <r>
          <rPr>
            <b/>
            <sz val="8"/>
            <color indexed="81"/>
            <rFont val="Tahoma"/>
            <family val="2"/>
          </rPr>
          <t>From the drop-down menu enter the application media  (liquid or granular).  The application media is important for bioavialability assumptions for LD50ft-2 calculations</t>
        </r>
        <r>
          <rPr>
            <sz val="8"/>
            <color indexed="81"/>
            <rFont val="Tahoma"/>
            <family val="2"/>
          </rPr>
          <t xml:space="preserve">
</t>
        </r>
      </text>
    </comment>
    <comment ref="D62" authorId="2">
      <text>
        <r>
          <rPr>
            <b/>
            <sz val="10"/>
            <color indexed="81"/>
            <rFont val="Tahoma"/>
            <family val="2"/>
          </rPr>
          <t>Input value only if product applied as a liquid, otherwise leave blank.</t>
        </r>
        <r>
          <rPr>
            <sz val="8"/>
            <color indexed="81"/>
            <rFont val="Tahoma"/>
            <family val="2"/>
          </rPr>
          <t xml:space="preserve">
</t>
        </r>
      </text>
    </comment>
    <comment ref="D63" authorId="2">
      <text>
        <r>
          <rPr>
            <b/>
            <sz val="10"/>
            <color indexed="81"/>
            <rFont val="Tahoma"/>
            <family val="2"/>
          </rPr>
          <t>Input value only if "Rows/Band/In-furrow" is selected, otherwise leave blank.</t>
        </r>
        <r>
          <rPr>
            <sz val="8"/>
            <color indexed="81"/>
            <rFont val="Tahoma"/>
            <family val="2"/>
          </rPr>
          <t xml:space="preserve">
</t>
        </r>
      </text>
    </comment>
    <comment ref="D64" authorId="2">
      <text>
        <r>
          <rPr>
            <b/>
            <sz val="10"/>
            <color indexed="81"/>
            <rFont val="Tahoma"/>
            <family val="2"/>
          </rPr>
          <t>Input value only if "Rows/Band/In-furrow" is selected, otherwise leave blank.</t>
        </r>
        <r>
          <rPr>
            <sz val="8"/>
            <color indexed="81"/>
            <rFont val="Tahoma"/>
            <family val="2"/>
          </rPr>
          <t xml:space="preserve">
</t>
        </r>
      </text>
    </comment>
    <comment ref="D65" authorId="2">
      <text>
        <r>
          <rPr>
            <b/>
            <sz val="10"/>
            <color indexed="81"/>
            <rFont val="Tahoma"/>
            <family val="2"/>
          </rPr>
          <t>See T-REX User's guide for information on this input.  Percent incorporation depends on the application method.  Assume 0% incorporated unless soil incorporation is required on the label.</t>
        </r>
        <r>
          <rPr>
            <sz val="8"/>
            <color indexed="81"/>
            <rFont val="Tahoma"/>
            <family val="2"/>
          </rPr>
          <t xml:space="preserve">
</t>
        </r>
      </text>
    </comment>
  </commentList>
</comments>
</file>

<file path=xl/comments2.xml><?xml version="1.0" encoding="utf-8"?>
<comments xmlns="http://schemas.openxmlformats.org/spreadsheetml/2006/main">
  <authors>
    <author>A satisfied Microsoft Office user</author>
    <author>US EPA</author>
    <author>Jravensc</author>
  </authors>
  <commentList>
    <comment ref="B7" authorId="0">
      <text>
        <r>
          <rPr>
            <sz val="8"/>
            <color indexed="81"/>
            <rFont val="Tahoma"/>
            <family val="2"/>
          </rPr>
          <t>Default Value - 35 days</t>
        </r>
      </text>
    </comment>
    <comment ref="A25" authorId="1">
      <text>
        <r>
          <rPr>
            <b/>
            <sz val="8"/>
            <color indexed="81"/>
            <rFont val="Tahoma"/>
            <family val="2"/>
          </rPr>
          <t>These EECs are used in the mammalian and avian dietary-based RQ calculations and are not adjusted for food intake or body weight of the assessed organism.</t>
        </r>
      </text>
    </comment>
    <comment ref="A67" authorId="2">
      <text>
        <r>
          <rPr>
            <b/>
            <sz val="12"/>
            <color indexed="81"/>
            <rFont val="Tahoma"/>
            <family val="2"/>
          </rPr>
          <t>Use this table when LD50 is reported in mg/kg bw/d.</t>
        </r>
      </text>
    </comment>
    <comment ref="A76" authorId="2">
      <text>
        <r>
          <rPr>
            <b/>
            <sz val="12"/>
            <color indexed="81"/>
            <rFont val="Tahoma"/>
            <family val="2"/>
          </rPr>
          <t>Use this table when a dietary LC50 is reported.  The consumption-weighted and non-modified RQs are given.</t>
        </r>
        <r>
          <rPr>
            <sz val="12"/>
            <color indexed="81"/>
            <rFont val="Tahoma"/>
            <family val="2"/>
          </rPr>
          <t xml:space="preserve">
</t>
        </r>
      </text>
    </comment>
    <comment ref="A125" authorId="2">
      <text>
        <r>
          <rPr>
            <b/>
            <sz val="12"/>
            <color indexed="81"/>
            <rFont val="Tahoma"/>
            <family val="2"/>
          </rPr>
          <t>Use this table if LD50 and/or NOAEL is reported in mg/kg bw/d.</t>
        </r>
      </text>
    </comment>
    <comment ref="A137" authorId="2">
      <text>
        <r>
          <rPr>
            <b/>
            <sz val="12"/>
            <color indexed="81"/>
            <rFont val="Tahoma"/>
            <family val="2"/>
          </rPr>
          <t>Use this table if LC50 and/or NOAEC is reported in ppm.</t>
        </r>
        <r>
          <rPr>
            <sz val="8"/>
            <color indexed="81"/>
            <rFont val="Tahoma"/>
            <family val="2"/>
          </rPr>
          <t xml:space="preserve">
</t>
        </r>
      </text>
    </comment>
  </commentList>
</comments>
</file>

<file path=xl/comments3.xml><?xml version="1.0" encoding="utf-8"?>
<comments xmlns="http://schemas.openxmlformats.org/spreadsheetml/2006/main">
  <authors>
    <author>A satisfied Microsoft Office user</author>
    <author>US EPA</author>
    <author>Jravensc</author>
  </authors>
  <commentList>
    <comment ref="B7" authorId="0">
      <text>
        <r>
          <rPr>
            <sz val="8"/>
            <color indexed="81"/>
            <rFont val="Tahoma"/>
            <family val="2"/>
          </rPr>
          <t>Default Value - 35 days</t>
        </r>
      </text>
    </comment>
    <comment ref="A25" authorId="1">
      <text>
        <r>
          <rPr>
            <b/>
            <sz val="8"/>
            <color indexed="81"/>
            <rFont val="Tahoma"/>
            <family val="2"/>
          </rPr>
          <t>These EECs are used in the mammalian and avian dietary-based RQ calculations and are not adjusted for food intake or body weight of the assessed organism.</t>
        </r>
      </text>
    </comment>
    <comment ref="A67" authorId="2">
      <text>
        <r>
          <rPr>
            <b/>
            <sz val="12"/>
            <color indexed="81"/>
            <rFont val="Tahoma"/>
            <family val="2"/>
          </rPr>
          <t>Use this table when LD50 is reported in mg/kg bw/d.</t>
        </r>
      </text>
    </comment>
    <comment ref="A76" authorId="2">
      <text>
        <r>
          <rPr>
            <b/>
            <sz val="12"/>
            <color indexed="81"/>
            <rFont val="Tahoma"/>
            <family val="2"/>
          </rPr>
          <t>Use this table when a dietary LC50 is reported.  The consumption-weighted and non-modified RQs are given.</t>
        </r>
        <r>
          <rPr>
            <sz val="12"/>
            <color indexed="81"/>
            <rFont val="Tahoma"/>
            <family val="2"/>
          </rPr>
          <t xml:space="preserve">
</t>
        </r>
      </text>
    </comment>
    <comment ref="A125" authorId="2">
      <text>
        <r>
          <rPr>
            <b/>
            <sz val="12"/>
            <color indexed="81"/>
            <rFont val="Tahoma"/>
            <family val="2"/>
          </rPr>
          <t>Use this table if LD50 and/or NOAEL is reported in mg/kg bw/d.</t>
        </r>
      </text>
    </comment>
    <comment ref="A137" authorId="2">
      <text>
        <r>
          <rPr>
            <b/>
            <sz val="12"/>
            <color indexed="81"/>
            <rFont val="Tahoma"/>
            <family val="2"/>
          </rPr>
          <t>Use this table if LC50 and/or NOAEC is reported in ppm.</t>
        </r>
        <r>
          <rPr>
            <sz val="8"/>
            <color indexed="81"/>
            <rFont val="Tahoma"/>
            <family val="2"/>
          </rPr>
          <t xml:space="preserve">
</t>
        </r>
      </text>
    </comment>
  </commentList>
</comments>
</file>

<file path=xl/comments4.xml><?xml version="1.0" encoding="utf-8"?>
<comments xmlns="http://schemas.openxmlformats.org/spreadsheetml/2006/main">
  <authors>
    <author>Jravensc</author>
  </authors>
  <commentList>
    <comment ref="D7" authorId="0">
      <text>
        <r>
          <rPr>
            <b/>
            <sz val="12"/>
            <color indexed="81"/>
            <rFont val="Tahoma"/>
            <family val="2"/>
          </rPr>
          <t>This percentage has been converted to a decimal number for use in the calculations.</t>
        </r>
        <r>
          <rPr>
            <b/>
            <sz val="8"/>
            <color indexed="81"/>
            <rFont val="Tahoma"/>
            <family val="2"/>
          </rPr>
          <t xml:space="preserve">
</t>
        </r>
        <r>
          <rPr>
            <sz val="8"/>
            <color indexed="81"/>
            <rFont val="Tahoma"/>
            <family val="2"/>
          </rPr>
          <t xml:space="preserve">
</t>
        </r>
      </text>
    </comment>
  </commentList>
</comments>
</file>

<file path=xl/comments5.xml><?xml version="1.0" encoding="utf-8"?>
<comments xmlns="http://schemas.openxmlformats.org/spreadsheetml/2006/main">
  <authors>
    <author>Jravensc</author>
  </authors>
  <commentList>
    <comment ref="C3" authorId="0">
      <text>
        <r>
          <rPr>
            <b/>
            <sz val="14"/>
            <color indexed="81"/>
            <rFont val="Tahoma"/>
            <family val="2"/>
          </rPr>
          <t>Input formulation name from label.</t>
        </r>
        <r>
          <rPr>
            <sz val="8"/>
            <color indexed="81"/>
            <rFont val="Tahoma"/>
            <family val="2"/>
          </rPr>
          <t xml:space="preserve">
</t>
        </r>
      </text>
    </comment>
    <comment ref="C4" authorId="0">
      <text>
        <r>
          <rPr>
            <b/>
            <sz val="14"/>
            <color indexed="81"/>
            <rFont val="Tahoma"/>
            <family val="2"/>
          </rPr>
          <t>Insert percent active ingredient in the formulation as a whole number (e.g., 24% ai = 24).</t>
        </r>
        <r>
          <rPr>
            <sz val="8"/>
            <color indexed="81"/>
            <rFont val="Tahoma"/>
            <family val="2"/>
          </rPr>
          <t xml:space="preserve">
</t>
        </r>
      </text>
    </comment>
    <comment ref="J4" authorId="0">
      <text>
        <r>
          <rPr>
            <b/>
            <sz val="10"/>
            <color indexed="81"/>
            <rFont val="Tahoma"/>
            <family val="2"/>
          </rPr>
          <t>If density of product is known, enter it here.  Default value is 8.33.</t>
        </r>
        <r>
          <rPr>
            <sz val="8"/>
            <color indexed="81"/>
            <rFont val="Tahoma"/>
            <family val="2"/>
          </rPr>
          <t xml:space="preserve">
</t>
        </r>
      </text>
    </comment>
    <comment ref="D7" authorId="0">
      <text>
        <r>
          <rPr>
            <b/>
            <sz val="10"/>
            <color indexed="81"/>
            <rFont val="Tahoma"/>
            <family val="2"/>
          </rPr>
          <t>Data in this cell are from the 'Inputs' worksheet.  Enter the test animal body weight in grams from the study.  If these data are not available use the following defaults: for bobwhite quail (178 g); for the mallard duck (1580 g) 1580 (Dunning, 1984).  For other  species consult Dunning of other available information for establishing an appropriate body weight.  The risk assessment should document such efforts.</t>
        </r>
        <r>
          <rPr>
            <sz val="8"/>
            <color indexed="81"/>
            <rFont val="Tahoma"/>
            <family val="2"/>
          </rPr>
          <t xml:space="preserve">
</t>
        </r>
      </text>
    </comment>
    <comment ref="D10" authorId="0">
      <text>
        <r>
          <rPr>
            <b/>
            <sz val="10"/>
            <color indexed="81"/>
            <rFont val="Tahoma"/>
            <family val="2"/>
          </rPr>
          <t>Enter the test animal body weight in grams from the toxicity study based on the average weight of the animals used in the study.  If such data are not available, use a test body weight of 350 g for a lab rat study.  If another mammal species is used (e.g., rabbit, dog, etc.) the risk assessment should document the origin of the body weights used.</t>
        </r>
      </text>
    </comment>
  </commentList>
</comments>
</file>

<file path=xl/sharedStrings.xml><?xml version="1.0" encoding="utf-8"?>
<sst xmlns="http://schemas.openxmlformats.org/spreadsheetml/2006/main" count="1323" uniqueCount="625">
  <si>
    <t>Chemical Name:</t>
  </si>
  <si>
    <t xml:space="preserve">      Use</t>
  </si>
  <si>
    <t xml:space="preserve">      Formulation</t>
  </si>
  <si>
    <t>Calculations</t>
  </si>
  <si>
    <t xml:space="preserve">Application Rate </t>
  </si>
  <si>
    <t>lbs a.i./acre</t>
  </si>
  <si>
    <t>Initial Concentration</t>
  </si>
  <si>
    <t xml:space="preserve">Half-life </t>
  </si>
  <si>
    <t xml:space="preserve">days </t>
  </si>
  <si>
    <t>days</t>
  </si>
  <si>
    <t>Maximum # Apps./Year</t>
  </si>
  <si>
    <t xml:space="preserve"> </t>
  </si>
  <si>
    <t>1st order decay constant</t>
  </si>
  <si>
    <t xml:space="preserve">Short Grass </t>
  </si>
  <si>
    <t>Avian</t>
  </si>
  <si>
    <t>Mammalian</t>
  </si>
  <si>
    <t xml:space="preserve">Tall Grass </t>
  </si>
  <si>
    <t xml:space="preserve">Graph </t>
  </si>
  <si>
    <t>Chronic Exceedance</t>
  </si>
  <si>
    <t>Acute Exceedance</t>
  </si>
  <si>
    <t>Day</t>
  </si>
  <si>
    <t># Apps</t>
  </si>
  <si>
    <t xml:space="preserve">App </t>
  </si>
  <si>
    <t>Tall Grass</t>
  </si>
  <si>
    <t>Line</t>
  </si>
  <si>
    <t>(days in first 56)</t>
  </si>
  <si>
    <t>Period</t>
  </si>
  <si>
    <t>Short Grass</t>
  </si>
  <si>
    <t>Length of Simulation</t>
  </si>
  <si>
    <t>Herbivores/</t>
  </si>
  <si>
    <t>insectivores</t>
  </si>
  <si>
    <t>Acute</t>
  </si>
  <si>
    <t>Chronic</t>
  </si>
  <si>
    <t xml:space="preserve">Acute   </t>
  </si>
  <si>
    <t>Class</t>
  </si>
  <si>
    <t xml:space="preserve">Body   </t>
  </si>
  <si>
    <t>Weight</t>
  </si>
  <si>
    <t>% body wgt</t>
  </si>
  <si>
    <t>consumed</t>
  </si>
  <si>
    <t>Mammalian Classes and Body weight</t>
  </si>
  <si>
    <t>Granivores</t>
  </si>
  <si>
    <t>Application Interval</t>
  </si>
  <si>
    <t>Kenaga</t>
  </si>
  <si>
    <t>Values</t>
  </si>
  <si>
    <t>Mammals</t>
  </si>
  <si>
    <t>Endpoints</t>
  </si>
  <si>
    <t>year</t>
  </si>
  <si>
    <t>Avian Results</t>
  </si>
  <si>
    <t>Mammalian Results</t>
  </si>
  <si>
    <t>New Version Notes</t>
  </si>
  <si>
    <t>Terrestrial Residues Graph</t>
  </si>
  <si>
    <t>Small</t>
  </si>
  <si>
    <t>Mid</t>
  </si>
  <si>
    <t>Large</t>
  </si>
  <si>
    <t>small</t>
  </si>
  <si>
    <t>mid</t>
  </si>
  <si>
    <t>large</t>
  </si>
  <si>
    <t>Grainvores</t>
  </si>
  <si>
    <t xml:space="preserve">Acute and Chronic RQs are based on the Upper Bound </t>
  </si>
  <si>
    <t>Kenaga Residues.</t>
  </si>
  <si>
    <t xml:space="preserve">The maximum single day residue estimation is used for </t>
  </si>
  <si>
    <t>both the acute and reproduction RQs.</t>
  </si>
  <si>
    <t>Acute and Reproduction Dietary Discussions</t>
  </si>
  <si>
    <t xml:space="preserve">dietary exposure.  In addition, age of individuals may also play an important role in the types and relative amounts of food items selected.  This should </t>
  </si>
  <si>
    <t>also be taken into account when describing dietary risks.</t>
  </si>
  <si>
    <t>Acute Toxicity RQ Approaches</t>
  </si>
  <si>
    <t xml:space="preserve">as does the energy requirements of wild and captive animals.  The Wildlife Exposure Factors Handbook can provide insights into energy requirements of </t>
  </si>
  <si>
    <t>animals in the wild as well as energy content of their diets</t>
  </si>
  <si>
    <t>Reproduction RQ Approach</t>
  </si>
  <si>
    <t>References</t>
  </si>
  <si>
    <t>and Development, Washington, D. C. 20460.</t>
  </si>
  <si>
    <t>Fletcher, J.S., J.E. Nellesson and T. G. Pfleeger. 1994.  Literature review and evaluation of the EPA food-chain</t>
  </si>
  <si>
    <t>(Kenaga) nomogram, an instrument for estimating pesticide residues on plants.  Environ. Tox. And</t>
  </si>
  <si>
    <t>Chem. 13(9):1383-1391</t>
  </si>
  <si>
    <t xml:space="preserve">basis for estimation of their magnitude in the environment.  IN: F. Coulston and F. Corte, eds., </t>
  </si>
  <si>
    <t xml:space="preserve">Environmental Quality and Safety: Chemistry, Toxicology and Technology. Vol 1.  Georg Theime </t>
  </si>
  <si>
    <t>Publishers, Stuttgart, Germany.  pp. 9-28</t>
  </si>
  <si>
    <t>LOC</t>
  </si>
  <si>
    <t>acute</t>
  </si>
  <si>
    <t>endangered</t>
  </si>
  <si>
    <t>chronic</t>
  </si>
  <si>
    <t>Concentration</t>
  </si>
  <si>
    <t>NOAEL</t>
  </si>
  <si>
    <t>Mammal</t>
  </si>
  <si>
    <t>Application Rate:</t>
  </si>
  <si>
    <t>Row Spacing:</t>
  </si>
  <si>
    <t>Bandwidth:</t>
  </si>
  <si>
    <t>Unincorporation:</t>
  </si>
  <si>
    <t>Avian LD50:</t>
  </si>
  <si>
    <t>Mammalian LD50:</t>
  </si>
  <si>
    <t>inches</t>
  </si>
  <si>
    <t>lb ai/1000 ft row:</t>
  </si>
  <si>
    <t>mg ai/ft2:</t>
  </si>
  <si>
    <t>exposed mg ai/ft2:</t>
  </si>
  <si>
    <t>LD50 ft-2</t>
  </si>
  <si>
    <t>Intermediate Calculations</t>
  </si>
  <si>
    <t>bandwidth (ft):</t>
  </si>
  <si>
    <t>Chemical:</t>
  </si>
  <si>
    <t>Willis and McDowell. 1987. Pesticide persistence on foliage. Environ. Contam. Toxicol.  100:23-73</t>
  </si>
  <si>
    <t>Upper bound Kenaga Residues</t>
  </si>
  <si>
    <t>Points to Consider in Development of Risk Description for Birds and Mammals</t>
  </si>
  <si>
    <t xml:space="preserve">The risk assessment includes numerous calculations of dietary exposure for multiple weight classes of animals.   However, there are energetic </t>
  </si>
  <si>
    <t>considerations that suggest that some weight class/food item combinations are not likely to naturally occur.  For example, there are not likely to be many</t>
  </si>
  <si>
    <t>The greater number of days EECs exceed the NOAEC, the greater the confidence in predictions of reproductive risk concerns.</t>
  </si>
  <si>
    <t>Crop</t>
  </si>
  <si>
    <t>(mg ai/kg seed)</t>
  </si>
  <si>
    <t>Name of seed treatment formulation:</t>
  </si>
  <si>
    <t>Percent AI in formulation:</t>
  </si>
  <si>
    <t>Maximum Application Rate</t>
  </si>
  <si>
    <t>(lbs ai/A)</t>
  </si>
  <si>
    <t>Maximum Seed Application Rate</t>
  </si>
  <si>
    <t>Available AI</t>
  </si>
  <si>
    <t>(mg ai ft-2)</t>
  </si>
  <si>
    <t>Acute RQ #2 =</t>
  </si>
  <si>
    <t>Acute RQ #1 =</t>
  </si>
  <si>
    <t>mg ai ft-2 /(LD50*bw)</t>
  </si>
  <si>
    <t>Reported</t>
  </si>
  <si>
    <t>Tested Body</t>
  </si>
  <si>
    <t>Weight (g)</t>
  </si>
  <si>
    <t>Acute (# 1)</t>
  </si>
  <si>
    <t>Acute (# 2)</t>
  </si>
  <si>
    <t>Avian repro. NOAEC:</t>
  </si>
  <si>
    <r>
      <t>Risk Quotients</t>
    </r>
    <r>
      <rPr>
        <b/>
        <sz val="12"/>
        <rFont val="Arial"/>
        <family val="2"/>
      </rPr>
      <t>†</t>
    </r>
  </si>
  <si>
    <t>†</t>
  </si>
  <si>
    <t>Avian Nagy Dose</t>
  </si>
  <si>
    <t>Mammalian Nagy Dose</t>
  </si>
  <si>
    <t>RQs</t>
  </si>
  <si>
    <t>TREX MODEL INPUTS</t>
  </si>
  <si>
    <t>mg/kg-bw</t>
  </si>
  <si>
    <t>mg/kg-diet</t>
  </si>
  <si>
    <t>seed applications of pesticides.</t>
  </si>
  <si>
    <t xml:space="preserve"> Upper Bound Kenaga Residues For RQ Calculation</t>
  </si>
  <si>
    <t>RQs be calculated when data are available</t>
  </si>
  <si>
    <t xml:space="preserve">it is recommended that both the dose-based and concentration-based </t>
  </si>
  <si>
    <t>Note:  To provide risk management with the maximum possible information,</t>
  </si>
  <si>
    <t>NOAEC (mg/kg-diet)</t>
  </si>
  <si>
    <t>LC50 (mg/kg-diet)</t>
  </si>
  <si>
    <t>LD50 (mg/kg-bw)</t>
  </si>
  <si>
    <t>NOAEL (mg/kg-bw)</t>
  </si>
  <si>
    <t>Adjusted LD50</t>
  </si>
  <si>
    <t>Adjusted</t>
  </si>
  <si>
    <t>LD50</t>
  </si>
  <si>
    <t>Bobwhite quail</t>
  </si>
  <si>
    <t>Mallard duck</t>
  </si>
  <si>
    <t>Indicate test species below</t>
  </si>
  <si>
    <t>Mammal RQs</t>
  </si>
  <si>
    <t>Avian acute LC50</t>
  </si>
  <si>
    <t>Avian chronic LOAEC</t>
  </si>
  <si>
    <t>Avian chronic NOAEC</t>
  </si>
  <si>
    <t>Mammal acute LC50</t>
  </si>
  <si>
    <t>Mammal chronic LOAEC</t>
  </si>
  <si>
    <t>Mammal chronic NOAEC</t>
  </si>
  <si>
    <t>yes</t>
  </si>
  <si>
    <t>no</t>
  </si>
  <si>
    <t>Page 2</t>
  </si>
  <si>
    <t>Row/Band/In-furrow applications</t>
  </si>
  <si>
    <t>Broadcast applications</t>
  </si>
  <si>
    <t>row length (ft):</t>
  </si>
  <si>
    <t>INPUTS</t>
  </si>
  <si>
    <t>% A.I.:</t>
  </si>
  <si>
    <t xml:space="preserve">      Use:</t>
  </si>
  <si>
    <t>Avian LD50 (20g):</t>
  </si>
  <si>
    <t>(100g)</t>
  </si>
  <si>
    <t>(1000g)</t>
  </si>
  <si>
    <t>Mammalian LD50 (15g):</t>
  </si>
  <si>
    <t>(35g)</t>
  </si>
  <si>
    <t>mg/kg bw</t>
  </si>
  <si>
    <t># rows acre-1:</t>
  </si>
  <si>
    <t>Granular</t>
  </si>
  <si>
    <t>Liquid</t>
  </si>
  <si>
    <t>mg a.i./1000 ft row:</t>
  </si>
  <si>
    <t>bandwidth:</t>
  </si>
  <si>
    <t>mg a.i./ft2:</t>
  </si>
  <si>
    <t>exposed mg a.i./ft2:</t>
  </si>
  <si>
    <t xml:space="preserve">These values will be used in the calculation of exposure estimates for foliar, granular, liquid and/or </t>
  </si>
  <si>
    <t>This spreadsheet was developed by the Terrestrial Biology and Exposure Technical Teams.</t>
  </si>
  <si>
    <t xml:space="preserve">Select the destination on your own hard drive (usually set to C:).  </t>
  </si>
  <si>
    <r>
      <t>Do not</t>
    </r>
    <r>
      <rPr>
        <sz val="10"/>
        <rFont val="Arial"/>
        <family val="2"/>
      </rPr>
      <t xml:space="preserve"> modify this file on the F: drive.</t>
    </r>
  </si>
  <si>
    <t>Supporting Documentation</t>
  </si>
  <si>
    <t>Product name and form:</t>
  </si>
  <si>
    <t>Enter the Mineau et al. Scaling Factor</t>
  </si>
  <si>
    <t>Broadcast</t>
  </si>
  <si>
    <t>Other</t>
  </si>
  <si>
    <t>acute toxicity in birds.  Reg. Toxicol. Pharmacol.  24:24-29</t>
  </si>
  <si>
    <t>Application Type:</t>
  </si>
  <si>
    <t>Rows/Band/In-furrow</t>
  </si>
  <si>
    <t xml:space="preserve">Mineau, P., B.T. Collins, A. Baril.  1996.  On the use of scaling factors to improve interspecies extrapolation to </t>
  </si>
  <si>
    <t>Half-life (days):</t>
  </si>
  <si>
    <t>Application Interval (days):</t>
  </si>
  <si>
    <t>Monograph No. 1.</t>
  </si>
  <si>
    <t>Dunning, J.B.  1984.  Body weights of 686 species of North American birds.  Western Bird Banding Assoc.</t>
  </si>
  <si>
    <t>Office of Water, Washington D.C.  Document Number EPA-820-B095-009</t>
  </si>
  <si>
    <t xml:space="preserve">USEPA. 1995. Great Lakes Water Quality Technical Support Document for Wildlife Criteria.  </t>
  </si>
  <si>
    <t xml:space="preserve">USEPA. 1993. Wildlife Exposure Factors Handbook. Volume I of II.  EPA/600/R-93/187a. Office of Research </t>
  </si>
  <si>
    <t>Density of product (lbs/gal):</t>
  </si>
  <si>
    <t>Mammalian (15 g)</t>
  </si>
  <si>
    <t>Avian (20 g)</t>
  </si>
  <si>
    <t>20 g Bird</t>
  </si>
  <si>
    <t>15 g Mammal</t>
  </si>
  <si>
    <t>Data inputs are in blue</t>
  </si>
  <si>
    <t>Do not overwrite these numbers.</t>
  </si>
  <si>
    <t>Body weights for Mallard duck and Bobwhite quail were adjusted (Dunning, 1984).</t>
  </si>
  <si>
    <t xml:space="preserve">The LD50 ft-2 data input section in the Inputs worksheet was reorganized to be more user-friendly.  </t>
  </si>
  <si>
    <t>LD50 ft-2 can now be calculated for a liquid broadcast application.</t>
  </si>
  <si>
    <t>All references are available in the seed treatment worksheet.  These references are also hyperlinked.</t>
  </si>
  <si>
    <t>Maximum seeding rate information is now in blue and can be adjusted by the user.</t>
  </si>
  <si>
    <t>(g bwt/day)</t>
  </si>
  <si>
    <t>Ingestion (Fwet)</t>
  </si>
  <si>
    <t>(g/day)</t>
  </si>
  <si>
    <t xml:space="preserve">Avian Body   </t>
  </si>
  <si>
    <t>FI</t>
  </si>
  <si>
    <t>(kg-diet/day)</t>
  </si>
  <si>
    <t>Ingestion (Fdry)</t>
  </si>
  <si>
    <t>(g bw/day)</t>
  </si>
  <si>
    <t>Ingestion  (Fwet)</t>
  </si>
  <si>
    <t>(mg/kg-bw)</t>
  </si>
  <si>
    <t xml:space="preserve">Changes to the inputs must be </t>
  </si>
  <si>
    <t>Urban, D. J. 2000.  Guidance for Conducting Screening Level Avian Risk Assessments for Spray Applications</t>
  </si>
  <si>
    <t>of Pesticides.  OPP/EFED, USEPA.</t>
  </si>
  <si>
    <t>RQs reported as "0.00" in the RQ tables below should be noted as</t>
  </si>
  <si>
    <t>&lt;0.01 in your assessment.  This is due to rounding and significant</t>
  </si>
  <si>
    <t>figure issues in Excel.</t>
  </si>
  <si>
    <t xml:space="preserve">For information or questions concerning this spreadsheet, please contact the Terrestrial Exposure  </t>
  </si>
  <si>
    <t xml:space="preserve">Hoerger, F. and E.E. Kenaga. 1972.  Pesticide residues on plants: correlation of representative data as a </t>
  </si>
  <si>
    <t xml:space="preserve">Handbook (USEPA 1993), for more comprehensive approaches to consider energy requirements and energy availability to estimate </t>
  </si>
  <si>
    <r>
      <t>Dose-based and dietary-based acute RQs should be provided to risk managers whenever effects data allow</t>
    </r>
    <r>
      <rPr>
        <sz val="10"/>
        <rFont val="Arial"/>
        <family val="2"/>
      </rPr>
      <t>.  There are limitations to each approach.</t>
    </r>
  </si>
  <si>
    <t>The dose-based approach assumes that the uptake and absorption kinetics of a gavage toxicity study approximate the absorption associated with uptake from</t>
  </si>
  <si>
    <t xml:space="preserve">a dietary matrix.  Toxic response is a function of duration and intensity of exposure and the importance of absorption kinetics across the gut and the importance </t>
  </si>
  <si>
    <t xml:space="preserve">of enzymatic activation/deactivation of a toxicant may be important and are likely  variable across chemicals and species.  For many compounds a gavage dose </t>
  </si>
  <si>
    <t xml:space="preserve">represents a very short-term high intensity exposure, where dietary exposure may be of a more prolonged nature.  The dietary-based approach assumes that animals </t>
  </si>
  <si>
    <t xml:space="preserve">in the field areconsuming food at a rate similar to that of confined laboratory animals.  Energy content in food items differs between the field and the laboratory </t>
  </si>
  <si>
    <t>The typical 21-week avian reproduction study does not define the true exposure duration needed to elicit the observed responses.  The study protocol was designed</t>
  </si>
  <si>
    <t>to establish a steady-state tissue concentration for bioaccumulative compounds. For other pesticides, it is entirely possible that steady-state tissue concentrations</t>
  </si>
  <si>
    <t xml:space="preserve">exposure may not be necessary to elicit the effect observed in the 21-week protocol.  The EFED screening risk assessment uses the single-day  </t>
  </si>
  <si>
    <t xml:space="preserve">maximum estimated EEC as a conservative approach.  The degree to which this exposure is conservative cannot be determined by the existing reproduction study. </t>
  </si>
  <si>
    <t xml:space="preserve">However, risk assessment discussions should be accompanied by the graphics from the T-REX model regarding the number of days dietary exposure is above the NOAEC.  </t>
  </si>
  <si>
    <t xml:space="preserve">15 g mammals or 20 g birds that exclusively feed on vegetation.  The risk assessor is urged to consult such texts as the Wildlife Exposure Factors </t>
  </si>
  <si>
    <t xml:space="preserve">USEPA. 1993. Wildlife Exposure Factors Handbook. Volume I of II.  EPA/600/R-93/187a. Office of Research and Development, Washington, DC 20460. </t>
  </si>
  <si>
    <t xml:space="preserve">are achieved earlier than the 21-week exposure period.  Moreover, pesticides may exert effects at critical periods of the reproduction cycle and so long term </t>
  </si>
  <si>
    <t>Number of Applications:</t>
  </si>
  <si>
    <t>Optional Test Species Name</t>
  </si>
  <si>
    <t>Optional Test Organism Body weight (g)</t>
  </si>
  <si>
    <t>NOAEL(mg/kg-bw)</t>
  </si>
  <si>
    <t>Reported Chronic Endpoint</t>
  </si>
  <si>
    <t>User can opt for test species for acute and chronic endpoints other than mallard and bobwhite (test animal body weight data must be provided)</t>
  </si>
  <si>
    <r>
      <t>**NOTE**:</t>
    </r>
    <r>
      <rPr>
        <sz val="10"/>
        <rFont val="Arial"/>
        <family val="2"/>
      </rPr>
      <t xml:space="preserve">  Please save this file to your </t>
    </r>
    <r>
      <rPr>
        <b/>
        <i/>
        <sz val="10"/>
        <rFont val="Arial"/>
        <family val="2"/>
      </rPr>
      <t>own</t>
    </r>
    <r>
      <rPr>
        <sz val="10"/>
        <rFont val="Arial"/>
        <family val="2"/>
      </rPr>
      <t xml:space="preserve"> computer first. </t>
    </r>
  </si>
  <si>
    <t>acute 15g herbivore/insectivore</t>
  </si>
  <si>
    <t>acute 35g herbivore/insectivore</t>
  </si>
  <si>
    <t>acute 15g granivore</t>
  </si>
  <si>
    <t>acute 35g granivore</t>
  </si>
  <si>
    <t>acute 1000g herbivore/insectivore</t>
  </si>
  <si>
    <t>acute 1000g granivore</t>
  </si>
  <si>
    <t>acute endangered 15g herbivore/insectivore</t>
  </si>
  <si>
    <t>acute endangered 35g herbivore/insectivore</t>
  </si>
  <si>
    <t>acute endangered 1000g herbivore/insectivore</t>
  </si>
  <si>
    <t>acute  endangered 15g granivore</t>
  </si>
  <si>
    <t>acute endangered 35g granivore</t>
  </si>
  <si>
    <t>acute endangered 1000g granivore</t>
  </si>
  <si>
    <t>Acute Mammalian Non endangered</t>
  </si>
  <si>
    <t>15 g H/I</t>
  </si>
  <si>
    <t>35g H/I</t>
  </si>
  <si>
    <t>1000g H/I</t>
  </si>
  <si>
    <t>Acute Mammalian Endangered</t>
  </si>
  <si>
    <t>15 g G</t>
  </si>
  <si>
    <t>35g G</t>
  </si>
  <si>
    <t>1000g G</t>
  </si>
  <si>
    <t>Mammal Chronic</t>
  </si>
  <si>
    <t>Note: Sources of wildlife diet are assumed to be available for less than one year for this model.</t>
  </si>
  <si>
    <t>Food Item (Kenaga #)</t>
  </si>
  <si>
    <t>Nagy allometry</t>
  </si>
  <si>
    <t>Food ingestion value g/day</t>
  </si>
  <si>
    <t>Animal</t>
  </si>
  <si>
    <t>(mg ai/kg-bw/day)</t>
  </si>
  <si>
    <t>(mg ai /kg-bw/day) / LD50</t>
  </si>
  <si>
    <r>
      <t xml:space="preserve">Dietary-based EECs </t>
    </r>
    <r>
      <rPr>
        <b/>
        <sz val="12"/>
        <rFont val="Arial"/>
        <family val="2"/>
      </rPr>
      <t xml:space="preserve"> (ppm)</t>
    </r>
  </si>
  <si>
    <r>
      <t>Dose-based EECs</t>
    </r>
    <r>
      <rPr>
        <b/>
        <sz val="18"/>
        <rFont val="Arial"/>
        <family val="2"/>
      </rPr>
      <t xml:space="preserve">   
</t>
    </r>
    <r>
      <rPr>
        <b/>
        <sz val="10"/>
        <rFont val="Arial"/>
        <family val="2"/>
      </rPr>
      <t>(mg/kg-bw)</t>
    </r>
    <r>
      <rPr>
        <b/>
        <sz val="18"/>
        <rFont val="Arial"/>
        <family val="2"/>
      </rPr>
      <t xml:space="preserve"> </t>
    </r>
  </si>
  <si>
    <r>
      <t xml:space="preserve">Dose-based RQs         </t>
    </r>
    <r>
      <rPr>
        <b/>
        <sz val="12"/>
        <rFont val="Arial"/>
        <family val="2"/>
      </rPr>
      <t>(Dose-based EEC/adjusted LD50)</t>
    </r>
  </si>
  <si>
    <r>
      <t xml:space="preserve">Dietary-based RQs </t>
    </r>
    <r>
      <rPr>
        <b/>
        <sz val="12"/>
        <rFont val="Arial"/>
        <family val="2"/>
      </rPr>
      <t xml:space="preserve"> (Dietary-based EEC/LC50 or NOAEC)</t>
    </r>
  </si>
  <si>
    <r>
      <t xml:space="preserve">Dose-based RQs        </t>
    </r>
    <r>
      <rPr>
        <b/>
        <sz val="12"/>
        <rFont val="Arial"/>
        <family val="2"/>
      </rPr>
      <t>(Dose-based EEC/LD50 or NOAEL)</t>
    </r>
  </si>
  <si>
    <r>
      <t xml:space="preserve">Dose-Based EECs 
</t>
    </r>
    <r>
      <rPr>
        <b/>
        <sz val="10"/>
        <rFont val="Arial"/>
        <family val="2"/>
      </rPr>
      <t>(mg/kg-bw)</t>
    </r>
  </si>
  <si>
    <t>made in the "INPUTS" worksheet.</t>
  </si>
  <si>
    <t>A comment sheet has been added so that EFED users can provide feedback or pose questions to the Terrestrial Biology and Exposure Technical Teams</t>
  </si>
  <si>
    <t>This feature is available to EFED users only.</t>
  </si>
  <si>
    <t>If the user desires to have no scaling performed, 0 may be entered in the Inputs worksheet.</t>
  </si>
  <si>
    <r>
      <t xml:space="preserve">Mineau scaling factors for birds </t>
    </r>
    <r>
      <rPr>
        <b/>
        <sz val="10"/>
        <rFont val="Arial"/>
        <family val="2"/>
      </rPr>
      <t>MUST</t>
    </r>
    <r>
      <rPr>
        <sz val="10"/>
        <rFont val="Arial"/>
        <family val="2"/>
      </rPr>
      <t xml:space="preserve"> be manually entered in the Inputs worksheet.  While the EFED default value </t>
    </r>
  </si>
  <si>
    <t xml:space="preserve">For further model information consult the 'User's Guide' document containing T-REX operating </t>
  </si>
  <si>
    <t>EEC</t>
  </si>
  <si>
    <t>LC50</t>
  </si>
  <si>
    <t>RQ</t>
  </si>
  <si>
    <t>EECs and RQs</t>
  </si>
  <si>
    <t>Size Class
(grams)</t>
  </si>
  <si>
    <t>Adjusted
 LD50</t>
  </si>
  <si>
    <t xml:space="preserve">Size class not used for dietary risk quotients </t>
  </si>
  <si>
    <t>Size class not used for dietary risk quotients</t>
  </si>
  <si>
    <t>NOAEC (ppm)</t>
  </si>
  <si>
    <t>Adjusted NOAEL</t>
  </si>
  <si>
    <t>Table X.  Mean Kenaga, Acute Avian Dose-Based  Risk Quotients</t>
  </si>
  <si>
    <t>LD50/sq. ft</t>
  </si>
  <si>
    <t>mg/sq. ft</t>
  </si>
  <si>
    <t>Row, banded, in furrow</t>
  </si>
  <si>
    <t>Table X.  Avian LD50 per Square Foot</t>
  </si>
  <si>
    <t>Table X.  Mammalian  LD50 per Square Foot</t>
  </si>
  <si>
    <t>Formulas used in the calculations are in the User's Guide</t>
  </si>
  <si>
    <t>Summary of  LD50/Square Foot Results</t>
  </si>
  <si>
    <t>Use of FDA's assumption that a lab rat consumes 5% of its diet daily was made optional for mammalian chronic studies.  If a study reports both a NOAEC in ppm and a NOAEL in mg/kg-bw, both may be entered.</t>
  </si>
  <si>
    <t>the application rate in terms of % a.i., but is calculated in the "application rate" cell.</t>
  </si>
  <si>
    <t>Step 1.  Estimate mass of a.i. consumed for the assessed species weight to achieve the desired toxicity threshold</t>
  </si>
  <si>
    <t>Weight of 1 granule (mg, obtained from registrant)</t>
  </si>
  <si>
    <t>Step 2.  Determine the mass of a.i. per granule</t>
  </si>
  <si>
    <t>EEC (mg a.i./square foot)</t>
  </si>
  <si>
    <t>From LD50 ft-2 page</t>
  </si>
  <si>
    <t>lbs / acre</t>
  </si>
  <si>
    <t xml:space="preserve">Minimum Foraging Area Needed to Allow for Ingestion of Sufficient Mass of a.i. to Achieve LOC Exceedance </t>
  </si>
  <si>
    <t>Table X. Mean Kenaga, Acute  Mammalian Dose-Based  Risk Quotients</t>
  </si>
  <si>
    <t xml:space="preserve">Row, banded, in furrow </t>
  </si>
  <si>
    <t>INPUT (Note: Be sure to enter units in mg!)</t>
  </si>
  <si>
    <t>mg a.i./kg-bw * kg-bw = mg a.i.</t>
  </si>
  <si>
    <t>mg a.i./granule</t>
  </si>
  <si>
    <t xml:space="preserve">weight of granule (mg) x fraction of a.i. = mg a.i./granule </t>
  </si>
  <si>
    <t>Step 3.  Calculate number of granules with mass of a.i. equivalent to adjusted LD50 for bird of assessed weight</t>
  </si>
  <si>
    <t xml:space="preserve">No. of granules needed to achieve adjusted LD50 </t>
  </si>
  <si>
    <t>Estimation of the number of granules needed to achieve toxicity thresholds</t>
  </si>
  <si>
    <t>Foraging area (square feet) needed to achieve LOC exceedance assuming 100% feeding efficiency</t>
  </si>
  <si>
    <t>Foraging area (square feet) needed to achieve LOC exceedance  assuming 50% feeding efficiency</t>
  </si>
  <si>
    <t>Foraging area (square feet) needed to achieve LOC exceedance assuming 10% feeding efficiency</t>
  </si>
  <si>
    <t>Characterization of Granular LD50/Square Foot Results</t>
  </si>
  <si>
    <t xml:space="preserve">No. of granules needed to achieve Endangered Species LOC exceedance (1/10 adjusted LD50) </t>
  </si>
  <si>
    <t xml:space="preserve">No. of granules needed to achieve Acute LOC exceedance (1/2 adjusted LD50) </t>
  </si>
  <si>
    <t>% A.I. (leading zero must be entered for formulations &lt;1% a.i.):</t>
  </si>
  <si>
    <t>Technical Team Co-Chairs.</t>
  </si>
  <si>
    <t>Granivore</t>
  </si>
  <si>
    <t>LC50 (ppm)</t>
  </si>
  <si>
    <t>Adjusted
LD50</t>
  </si>
  <si>
    <t>Additional calculations were included to allow for additional characterization of the LD50-ft2.  A new sheet "Granular Characterization Calcs" estimates the number of granules needed to be consumed by a bird to achieve a dose that would trigger a level of concern.  The associated minimum foraging area with sufficient number of granules to achieve a dose that exceeds the AdjLD50 or 1/10th the AdjLD50 is also estimated for various assumptions of feeding efficiency (10%, 50%, or 100% of granules in an area are consumed).</t>
  </si>
  <si>
    <t xml:space="preserve">
12/7/2006, v. 1.3.1.</t>
  </si>
  <si>
    <t>8/1/2005, v. 1.2.3.</t>
  </si>
  <si>
    <t>7/18/2005, v. 1.2.2.</t>
  </si>
  <si>
    <t>A new sheet "Print Results" was added to facilitate cutting and pasting into MS Word documents.  For transparency, the results summary tables include toxicity and exposure values used in the RQ calculations.</t>
  </si>
  <si>
    <t xml:space="preserve">The % a.i. cell was formatted to percent.  The calculations of application rate (lbs a.i./Acre) in the upper bound Kenaga and the mean Kenaga sheets no longer reference a hidden cell that calculates </t>
  </si>
  <si>
    <t>Summary of Risk Quotient Calculations Based on Mean  Kenaga EECs</t>
  </si>
  <si>
    <t>Summary of Risk Quotient Calculations Based on Upper Bound Kenaga EECs</t>
  </si>
  <si>
    <t>Table X.  Mean Kenaga, Subacute Avian Dietary Based Risk Quotients</t>
  </si>
  <si>
    <t>Table X.  Mean Kenaga, Chronic Avian Dietary Based Risk Quotients</t>
  </si>
  <si>
    <t>Table X.  Mean Kenaga, Acute Mammalian Dietary Based Risk Quotients</t>
  </si>
  <si>
    <t>Table X.  Mean Kenaga, Chronic Mammalian Dietary Based Risk Quotients</t>
  </si>
  <si>
    <t>Table X.  Mean Kenaga, Chronic Mammalian Dose-Based Risk Quotients</t>
  </si>
  <si>
    <t>Table X. Upper Bound Kenaga, Acute Avian Dose-Based  Risk Quotients</t>
  </si>
  <si>
    <t>Table X.  Upper Bound Kenaga, Subacute Avian Dietary Based Risk Quotients</t>
  </si>
  <si>
    <t>Table X.  Upper Bound Kenaga, Chronic Avian Dietary Based Risk Quotients</t>
  </si>
  <si>
    <t xml:space="preserve">Table X. Upper Bound Kenaga, Acute  Mammalian Dose-Based  Risk Quotients </t>
  </si>
  <si>
    <t>Table X.  Upper Bound Kenaga, Acute Mammalian Dietary Based Risk Quotients</t>
  </si>
  <si>
    <t>Table X.  Upper Bound Kenaga, Chronic Mammalian Dietary Based Risk Quotients</t>
  </si>
  <si>
    <t>Table X.  Upper Bound Kenaga, Chronic Mammalian Dose-Based Risk Quotients</t>
  </si>
  <si>
    <t>Must enter percent a.i. specified on the label</t>
  </si>
  <si>
    <t>Percent of a.i. in formulated product</t>
  </si>
  <si>
    <t>7/7/2007 v. 1.3.1.</t>
  </si>
  <si>
    <t>For clarification, percent a.i. was made a user input in the Granular Characterization Calcs sheet instead of importing the value from the Inputs sheet.  No other changes were made to the spreadsheet.</t>
  </si>
  <si>
    <t>Birds</t>
  </si>
  <si>
    <t>What body weight range is assessed (grams)?</t>
  </si>
  <si>
    <t>Medium</t>
  </si>
  <si>
    <t>Chemical Identity and Application Information</t>
  </si>
  <si>
    <t>Avian Classes and Body Weights (grams)</t>
  </si>
  <si>
    <t>% incorporated</t>
  </si>
  <si>
    <t>.</t>
  </si>
  <si>
    <t>Short grass EEC / NOAEC</t>
  </si>
  <si>
    <t>Avian Dose</t>
  </si>
  <si>
    <t>Dose based short grass EEC / (Adj-LD50 * LOC of 0.1)</t>
  </si>
  <si>
    <t>Dose based short grass EEC / Adj-NOAEL</t>
  </si>
  <si>
    <t>Number of days LOCs are excced</t>
  </si>
  <si>
    <t>Short grass dose based EEC/Adj-LD50</t>
  </si>
  <si>
    <t>Avian Acute RQs
Size Class (grams)</t>
  </si>
  <si>
    <t>Small mammal</t>
  </si>
  <si>
    <t>grams</t>
  </si>
  <si>
    <t>Medium mammal</t>
  </si>
  <si>
    <t>Large mammal</t>
  </si>
  <si>
    <t>Reference (MRID)</t>
  </si>
  <si>
    <t>Endpoint</t>
  </si>
  <si>
    <t>Toxicity value</t>
  </si>
  <si>
    <t>wgt class (grams)</t>
  </si>
  <si>
    <t>Parameter</t>
  </si>
  <si>
    <t xml:space="preserve">Value </t>
  </si>
  <si>
    <t>Bird</t>
  </si>
  <si>
    <t>Comment</t>
  </si>
  <si>
    <t>INPUT (0.02 kg and 0.015 kg are typically used for general assessments for birds and mammals, respectively).</t>
  </si>
  <si>
    <t>Calculated from the body weight entered in B13 and C13 and the LD50 entered in the "Inputs" sheet.</t>
  </si>
  <si>
    <t>mg a.i. needed to achieve adjusted LD50 (B/C14) / mg a.i. per granule (B/C20)</t>
  </si>
  <si>
    <t>mg a.i. needed to achieve 1/2 adjusted LD50 (B/C15) / mg a.i. per granule (B/C20)</t>
  </si>
  <si>
    <t>mg a.i. needed to achieve 1/10 adjusted LD50 (B/C16) / mg a.i. per granule (B/C20)</t>
  </si>
  <si>
    <t>mg a.i. needed to achieve LD50 in 20-gram bird (B/C16) / mg a.i.per sq. ft (B/C27)</t>
  </si>
  <si>
    <t>Foraging area needed to achieve LOC Exceedance assuming 100% feeding efficiency (B/C28) * 2 (i.e., twice the foraging area is needed for 50% feeding efficiency)</t>
  </si>
  <si>
    <t>Foraging area needed to achieve LOC Exceedance assuming 100% feeding efficiency (B/C28) * 10 (i.e., 10 times the foraging area is needed for 10% feeding efficiency)</t>
  </si>
  <si>
    <t>Assessed Species Inputs (optional, use defaults for RQs for national level assessments)</t>
  </si>
  <si>
    <t>Toxicity Value Reference (MRID)</t>
  </si>
  <si>
    <t>Avian Assessment</t>
  </si>
  <si>
    <t>Mammalian Assessment</t>
  </si>
  <si>
    <t>Chronic Study</t>
  </si>
  <si>
    <t>Acute Study</t>
  </si>
  <si>
    <t>Size (g) of mammal used in toxicity study
Default rat body weight is 350 grams</t>
  </si>
  <si>
    <t>10/09/2008, v. 1.4.1.</t>
  </si>
  <si>
    <r>
      <t xml:space="preserve">is 1.15, it </t>
    </r>
    <r>
      <rPr>
        <b/>
        <sz val="10"/>
        <rFont val="Arial"/>
        <family val="2"/>
      </rPr>
      <t>MUST</t>
    </r>
    <r>
      <rPr>
        <sz val="10"/>
        <rFont val="Arial"/>
        <family val="2"/>
      </rPr>
      <t xml:space="preserve"> also be entered if that default is desired.  If no value is provided, the model will exhibit warning statements in all outputs.</t>
    </r>
  </si>
  <si>
    <t>User can opt for alternative body weights from defaults for endpoints established with bobwhite and mallard</t>
  </si>
  <si>
    <t>T-REX was altered to allow the user to define the body weight of animal assessed.  Dark maroon cells were changed to white because of issues with preparing legible printouts and scanned documents.  
The LD50 / square foot equation for liquids was altered to allow for the calculation to be based on application rate in mass/area - previously, the calculations were only done on the basis of volume/area.
The calculation for the number of days LOCs are exceeded was corrected and simplified.  
The number of granules needed to be consumed to result in LOC exceedance was added for mammals; previous versions only included the calculation for birds.
Dose-based EECs and RQs were added for granivorous birds.
Body weight of animals used in the toxicity study may be changed if species other than laboratory rat is used</t>
  </si>
  <si>
    <t>Application?</t>
  </si>
  <si>
    <t>Rate</t>
  </si>
  <si>
    <t>Fixed Rates/Intervals</t>
  </si>
  <si>
    <t>Variable Rates/Intervals</t>
  </si>
  <si>
    <t>Are you assessing applications with variable rates or intervals?</t>
  </si>
  <si>
    <t>Application No.</t>
  </si>
  <si>
    <t>Day of Application</t>
  </si>
  <si>
    <t>The value in G6 must be zero</t>
  </si>
  <si>
    <t># apps - Variable</t>
  </si>
  <si>
    <t>Variable Rate Calculations</t>
  </si>
  <si>
    <t>Column used for assessment</t>
  </si>
  <si>
    <t>You MUST specify application day in Columns F and G - you may enter up to 30 applications</t>
  </si>
  <si>
    <t>Arthropods</t>
  </si>
  <si>
    <t>Broadleaf plants</t>
  </si>
  <si>
    <t>Fruits/pods/seeds</t>
  </si>
  <si>
    <t>Fruits/pods</t>
  </si>
  <si>
    <t>Seeds</t>
  </si>
  <si>
    <t>(grams)</t>
  </si>
  <si>
    <t>Upper Bound Multiplier</t>
  </si>
  <si>
    <t>Broadleaf Plants</t>
  </si>
  <si>
    <t>Fruits/Pods/Seeds/Large Insects</t>
  </si>
  <si>
    <t>You must enable macros for this spreadsheet to work correctly</t>
  </si>
  <si>
    <t>Application Rate (lb ai/acre)</t>
  </si>
  <si>
    <t>Maximum</t>
  </si>
  <si>
    <t>Minimum</t>
  </si>
  <si>
    <t>lb/acre</t>
  </si>
  <si>
    <t>corn, all or unspecified</t>
  </si>
  <si>
    <t xml:space="preserve">     corn, field</t>
  </si>
  <si>
    <t xml:space="preserve">     corn, pop</t>
  </si>
  <si>
    <t xml:space="preserve">     corn, sweet</t>
  </si>
  <si>
    <t>cotton, all or unspecified</t>
  </si>
  <si>
    <t xml:space="preserve">     cotton, pima</t>
  </si>
  <si>
    <t>rice</t>
  </si>
  <si>
    <t>soybean</t>
  </si>
  <si>
    <t xml:space="preserve">     soybean for edamame</t>
  </si>
  <si>
    <t>wheat, all or unspecified</t>
  </si>
  <si>
    <t xml:space="preserve">    wheat, winter</t>
  </si>
  <si>
    <t xml:space="preserve">    wheat, spring</t>
  </si>
  <si>
    <t xml:space="preserve">    wheat, hard red winter, dryland</t>
  </si>
  <si>
    <t xml:space="preserve">    wheat, hard red winter, irrigated</t>
  </si>
  <si>
    <t xml:space="preserve">    wheat, hard red winter, unspecified</t>
  </si>
  <si>
    <t xml:space="preserve">    wheat, soft red winter, all</t>
  </si>
  <si>
    <t xml:space="preserve">    wheat, hard red spring, dryland</t>
  </si>
  <si>
    <t xml:space="preserve">    wheat, hard red spring, irrigated</t>
  </si>
  <si>
    <t xml:space="preserve">    wheat, hard red spring, unspecified</t>
  </si>
  <si>
    <t xml:space="preserve">    wheat, white</t>
  </si>
  <si>
    <t xml:space="preserve">    wheat, durum</t>
  </si>
  <si>
    <t>hay or pasture, all or unspecified</t>
  </si>
  <si>
    <t>perennial legume hay or pasture</t>
  </si>
  <si>
    <t xml:space="preserve">    alfalfa</t>
  </si>
  <si>
    <t xml:space="preserve">    lespedeza</t>
  </si>
  <si>
    <t xml:space="preserve">    clover, all or unspecified</t>
  </si>
  <si>
    <t xml:space="preserve">          clover, alsike</t>
  </si>
  <si>
    <t xml:space="preserve">          clover, arrowleaf</t>
  </si>
  <si>
    <t xml:space="preserve">          clover, berseem</t>
  </si>
  <si>
    <r>
      <t xml:space="preserve">     </t>
    </r>
    <r>
      <rPr>
        <i/>
        <sz val="11"/>
        <color theme="1"/>
        <rFont val="Calibri"/>
        <family val="2"/>
        <scheme val="minor"/>
      </rPr>
      <t>lupine, all or unspecified</t>
    </r>
  </si>
  <si>
    <t xml:space="preserve">          lupine, blue</t>
  </si>
  <si>
    <t xml:space="preserve">          lupine, narrow leaf</t>
  </si>
  <si>
    <t xml:space="preserve">          lupine, white</t>
  </si>
  <si>
    <t xml:space="preserve">          lupine, yellow</t>
  </si>
  <si>
    <t>perennial grass hay or pasture</t>
  </si>
  <si>
    <t xml:space="preserve">    festulolium</t>
  </si>
  <si>
    <t xml:space="preserve">    Kentucky bluegrass</t>
  </si>
  <si>
    <t xml:space="preserve">    orchard grass</t>
  </si>
  <si>
    <t xml:space="preserve">    perennial ryegrass</t>
  </si>
  <si>
    <t xml:space="preserve">    reed canary grass</t>
  </si>
  <si>
    <t xml:space="preserve">    smooth brome</t>
  </si>
  <si>
    <t xml:space="preserve">    Bermuda grass</t>
  </si>
  <si>
    <t xml:space="preserve">    red fescue</t>
  </si>
  <si>
    <t xml:space="preserve">    tall fescue</t>
  </si>
  <si>
    <t xml:space="preserve">    timothy</t>
  </si>
  <si>
    <t xml:space="preserve">    big bluestem</t>
  </si>
  <si>
    <t xml:space="preserve">    eastern gama grass</t>
  </si>
  <si>
    <t xml:space="preserve">    indian grass</t>
  </si>
  <si>
    <t xml:space="preserve">    switch grass</t>
  </si>
  <si>
    <t>annual grass for forage</t>
  </si>
  <si>
    <t xml:space="preserve">    annual ryegrass</t>
  </si>
  <si>
    <t xml:space="preserve">    pearl millet for forage</t>
  </si>
  <si>
    <t xml:space="preserve">    oats spring, for forage</t>
  </si>
  <si>
    <t xml:space="preserve">    rye, winter for forage</t>
  </si>
  <si>
    <t xml:space="preserve">    sorghum for forage</t>
  </si>
  <si>
    <t xml:space="preserve">    sudan grass for forage</t>
  </si>
  <si>
    <t xml:space="preserve">    triticale for forage</t>
  </si>
  <si>
    <t xml:space="preserve">    winter wheat, for forage</t>
  </si>
  <si>
    <t xml:space="preserve">    teff for forage</t>
  </si>
  <si>
    <t>asparagus</t>
  </si>
  <si>
    <t>barley</t>
  </si>
  <si>
    <t>beans, common or dry</t>
  </si>
  <si>
    <t>beans, lima</t>
  </si>
  <si>
    <t>beans, succulent, or green</t>
  </si>
  <si>
    <t>beets, garden</t>
  </si>
  <si>
    <t>broccoli</t>
  </si>
  <si>
    <t>brussels sprouts</t>
  </si>
  <si>
    <t>buckwheat</t>
  </si>
  <si>
    <t>cabbage</t>
  </si>
  <si>
    <t>carrot</t>
  </si>
  <si>
    <t>cauliflower</t>
  </si>
  <si>
    <t>cilantro</t>
  </si>
  <si>
    <t>collards</t>
  </si>
  <si>
    <t>cucumber</t>
  </si>
  <si>
    <t>dill weed</t>
  </si>
  <si>
    <t>ginseng</t>
  </si>
  <si>
    <t>kale for market</t>
  </si>
  <si>
    <t>lettuce, all or unspecifed</t>
  </si>
  <si>
    <t xml:space="preserve">     lettuce, head</t>
  </si>
  <si>
    <t xml:space="preserve">     lettuce, leaf, Bibb, Boston, or Romaine</t>
  </si>
  <si>
    <t>millet for feed, all or unspecified</t>
  </si>
  <si>
    <t xml:space="preserve">     millet for feed, browntop</t>
  </si>
  <si>
    <t xml:space="preserve">     millet for feed, finger</t>
  </si>
  <si>
    <t xml:space="preserve">     millet for feed, foxtail</t>
  </si>
  <si>
    <t xml:space="preserve">     millet for feed, Japanese</t>
  </si>
  <si>
    <t xml:space="preserve">     millet for feed, pearl</t>
  </si>
  <si>
    <t xml:space="preserve">     millet for feed, proso</t>
  </si>
  <si>
    <t>musk melon, all or unspecified</t>
  </si>
  <si>
    <t xml:space="preserve">     canteloupe</t>
  </si>
  <si>
    <t xml:space="preserve">     honeydew</t>
  </si>
  <si>
    <t>mustard greens</t>
  </si>
  <si>
    <t>mustard seed</t>
  </si>
  <si>
    <t>oats</t>
  </si>
  <si>
    <t>onions, all or unspecified</t>
  </si>
  <si>
    <t xml:space="preserve">     onions, bulb types except pearl</t>
  </si>
  <si>
    <t xml:space="preserve">     onions, pearl</t>
  </si>
  <si>
    <t xml:space="preserve">     onions for seed</t>
  </si>
  <si>
    <t xml:space="preserve">     onions, bunching (spring or green)</t>
  </si>
  <si>
    <t>parsley</t>
  </si>
  <si>
    <t>pea, field</t>
  </si>
  <si>
    <t>pea, garden</t>
  </si>
  <si>
    <t>pea, southern</t>
  </si>
  <si>
    <t>peanut</t>
  </si>
  <si>
    <t>peppers, all</t>
  </si>
  <si>
    <t xml:space="preserve">     peppers, bell</t>
  </si>
  <si>
    <t xml:space="preserve">     peppers, hot (paprika, chili, etc)</t>
  </si>
  <si>
    <t>potatoes</t>
  </si>
  <si>
    <t>pumpkin, all</t>
  </si>
  <si>
    <t xml:space="preserve">     pumpkin, large or large vine</t>
  </si>
  <si>
    <t xml:space="preserve">     pumpkin, bush or small fruit/vine</t>
  </si>
  <si>
    <t>squash, all</t>
  </si>
  <si>
    <t xml:space="preserve">      squash, summer</t>
  </si>
  <si>
    <t xml:space="preserve">      squash, winter</t>
  </si>
  <si>
    <t xml:space="preserve">      squash, spagetti</t>
  </si>
  <si>
    <t>radish</t>
  </si>
  <si>
    <t>rape</t>
  </si>
  <si>
    <t>canola</t>
  </si>
  <si>
    <t>rutabaga</t>
  </si>
  <si>
    <t>rye</t>
  </si>
  <si>
    <t>safflower</t>
  </si>
  <si>
    <t>sesame</t>
  </si>
  <si>
    <t>sorghum</t>
  </si>
  <si>
    <t>spinach</t>
  </si>
  <si>
    <t>sugar beet for seed production</t>
  </si>
  <si>
    <t>sugar beet</t>
  </si>
  <si>
    <t>sunflower</t>
  </si>
  <si>
    <t>turnip green</t>
  </si>
  <si>
    <t>tomatoes</t>
  </si>
  <si>
    <t>turnips</t>
  </si>
  <si>
    <t>watermelon</t>
  </si>
  <si>
    <t>Avian (100 g)</t>
  </si>
  <si>
    <t>Avian (1000 g)</t>
  </si>
  <si>
    <t>Mammalian (35 g)</t>
  </si>
  <si>
    <t>Mammalian (1000 g)</t>
  </si>
  <si>
    <t>35 g Mammal</t>
  </si>
  <si>
    <t>100 g Bird</t>
  </si>
  <si>
    <t>1000 g Bird</t>
  </si>
  <si>
    <t>1000 g Mammal</t>
  </si>
  <si>
    <t>Animal Size</t>
  </si>
  <si>
    <t>Environmental Protection Agency</t>
  </si>
  <si>
    <t xml:space="preserve">2011.  Biological and Economic  Analysis  Division (BEAD), Office of Pesticides Programs, United States </t>
  </si>
  <si>
    <t>Number of days LOCs are exceeded</t>
  </si>
  <si>
    <t>Small (20g)</t>
  </si>
  <si>
    <t>Medium (100g)</t>
  </si>
  <si>
    <t>Large (1000g)</t>
  </si>
  <si>
    <t>Small (15g)</t>
  </si>
  <si>
    <t>Medium (35g)</t>
  </si>
  <si>
    <t>Size class for adjusted LD50</t>
  </si>
  <si>
    <t>Becker, Jonathan and Ratnayake, Sunil.  Acres Planted per Day and Seeding Rates of Crops Grown in the United States.</t>
  </si>
  <si>
    <t>Empirical insect residue data from open literature and registrant-submitted studies was incorporated for arthropod dietary items (reference).</t>
  </si>
  <si>
    <t>Expanded information in the T-REX user’s guide regarding the foliar dissipation half-life input (Appendix A).</t>
  </si>
  <si>
    <t>Incorporation of an expanded list of seeding rates provided by the Biological and Economic Analysis Division (Becker and Ratnayake, 2011).</t>
  </si>
  <si>
    <t>Risk quotients calculated for small, medium and large body weight classes for birds and mammals in seed treatment tab.</t>
  </si>
  <si>
    <t>User can now designate variable application rates and interval spacing in inputs tab.</t>
  </si>
  <si>
    <t xml:space="preserve">Select ‘File’, then ‘Save As’ and 'Excel Macro-enabled Workbook' on the menu bar. </t>
  </si>
  <si>
    <t>Variable application rates?</t>
  </si>
  <si>
    <t>Fruits/Pods/Seeds</t>
  </si>
  <si>
    <t>Mammalian Chronic RQ =</t>
  </si>
  <si>
    <t>Avian Chronic RQ =</t>
  </si>
  <si>
    <t>mg kg-1 seed / NOAEL</t>
  </si>
  <si>
    <t>mg a.i./kg-bw/day / adjusted NOAEL</t>
  </si>
  <si>
    <t xml:space="preserve">   crown vetch</t>
  </si>
  <si>
    <t>Mammalian NOAEL:</t>
  </si>
  <si>
    <t>Adjusted NOAEL for Mammals</t>
  </si>
  <si>
    <t>instructions and background information.  User's Guide T-REX v1.5, March 2012, USEPA Office of Pesticide Programs, Washington DC</t>
  </si>
  <si>
    <t>LD50, mg/kg-bw</t>
  </si>
  <si>
    <t xml:space="preserve">No. of granules needed to achieve the LOC of 0.1 (1/10 LD50) </t>
  </si>
  <si>
    <t xml:space="preserve">No. of granules needed to achieve the LOC of 0.5 (1/2 LD50) </t>
  </si>
  <si>
    <t xml:space="preserve">No. of granules needed to achieve LD50 </t>
  </si>
  <si>
    <t>Weight of assessed animal (kg)</t>
  </si>
  <si>
    <t>Mg a.i. needed to achieve the LD50 for animal of assessed weight</t>
  </si>
  <si>
    <t>Mg a.i. needed to achieve the LOC of 0.5 (1/2 LD50) for animal of assessed weight</t>
  </si>
  <si>
    <t>Mg a.i. needed to achieve the LOC of 0.1 (1/10th LD50) for animal of assessed weight</t>
  </si>
  <si>
    <t>Foraging area (square feet) needed to achieve LOC of 0.1 exceedance assuming 10% feeding efficiency</t>
  </si>
  <si>
    <t>Foraging area (square feet) needed to achieve LOC of 0.1 exceedance  assuming 50% feeding efficiency</t>
  </si>
  <si>
    <t>Foraging area (square feet) needed to achieve LOC of 0.1 exceedance assuming 100% feeding efficiency</t>
  </si>
  <si>
    <t>3/22/2012, v. 1.5</t>
  </si>
  <si>
    <t>8/20/2012, v. 1.5.1</t>
  </si>
  <si>
    <t>Permissions errors for the variable application rate interval spacing input and for the graphs were corrected.  No other changes were made to the spreadsheet.</t>
  </si>
  <si>
    <t>Supporting documentation for v1.5 remains valid for v1.5.1.</t>
  </si>
  <si>
    <t>Seeding Rates</t>
  </si>
  <si>
    <t>Seeding rate inputs were corrected to accurately reflect data from Becker and Ratnayake, 2011.</t>
  </si>
  <si>
    <t>Comment sheet was removed from the model due to lack of functionality.</t>
  </si>
  <si>
    <t>T-REX Version 1.5.2</t>
  </si>
  <si>
    <t xml:space="preserve">    birdsfoot trefoil</t>
  </si>
  <si>
    <t xml:space="preserve">          clover, crimson</t>
  </si>
  <si>
    <t xml:space="preserve">          clover, kura</t>
  </si>
  <si>
    <t xml:space="preserve">          clover, red</t>
  </si>
  <si>
    <t xml:space="preserve">          clover, rose</t>
  </si>
  <si>
    <t xml:space="preserve">          clover, white</t>
  </si>
  <si>
    <t xml:space="preserve">     casaba</t>
  </si>
  <si>
    <t xml:space="preserve">     Canary, or Juan Canary</t>
  </si>
  <si>
    <t xml:space="preserve">     Japanese</t>
  </si>
  <si>
    <t xml:space="preserve">     Crenshaw</t>
  </si>
  <si>
    <t>Seeding Rate (lbs/acre)</t>
  </si>
  <si>
    <t>Seed Treatment? (Check if yes)</t>
  </si>
  <si>
    <t>6/6/2013, v. 1.5.2</t>
  </si>
</sst>
</file>

<file path=xl/styles.xml><?xml version="1.0" encoding="utf-8"?>
<styleSheet xmlns="http://schemas.openxmlformats.org/spreadsheetml/2006/main">
  <numFmts count="5">
    <numFmt numFmtId="5" formatCode="&quot;$&quot;#,##0_);\(&quot;$&quot;#,##0\)"/>
    <numFmt numFmtId="164" formatCode="0.000"/>
    <numFmt numFmtId="165" formatCode="0.0000"/>
    <numFmt numFmtId="166" formatCode="[$-409]mmmm\ d\,\ yyyy;@"/>
    <numFmt numFmtId="167" formatCode="0.0"/>
  </numFmts>
  <fonts count="61">
    <font>
      <sz val="10"/>
      <name val="Arial"/>
    </font>
    <font>
      <sz val="11"/>
      <color theme="1"/>
      <name val="Calibri"/>
      <family val="2"/>
      <scheme val="minor"/>
    </font>
    <font>
      <b/>
      <sz val="18"/>
      <name val="Arial"/>
      <family val="2"/>
    </font>
    <font>
      <b/>
      <sz val="12"/>
      <name val="Arial"/>
      <family val="2"/>
    </font>
    <font>
      <b/>
      <u val="singleAccounting"/>
      <sz val="10"/>
      <name val="Arial"/>
      <family val="2"/>
    </font>
    <font>
      <b/>
      <sz val="10"/>
      <name val="Arial"/>
      <family val="2"/>
    </font>
    <font>
      <sz val="12"/>
      <name val="Arial"/>
      <family val="2"/>
    </font>
    <font>
      <sz val="8"/>
      <color indexed="81"/>
      <name val="Tahoma"/>
      <family val="2"/>
    </font>
    <font>
      <b/>
      <sz val="10"/>
      <name val="Arial"/>
      <family val="2"/>
    </font>
    <font>
      <u/>
      <sz val="6"/>
      <color indexed="12"/>
      <name val="Arial"/>
      <family val="2"/>
    </font>
    <font>
      <sz val="10"/>
      <name val="Arial"/>
      <family val="2"/>
    </font>
    <font>
      <b/>
      <sz val="14"/>
      <name val="Arial"/>
      <family val="2"/>
    </font>
    <font>
      <b/>
      <sz val="8"/>
      <color indexed="81"/>
      <name val="Tahoma"/>
      <family val="2"/>
    </font>
    <font>
      <b/>
      <sz val="18"/>
      <name val="Arial"/>
      <family val="2"/>
    </font>
    <font>
      <b/>
      <sz val="16"/>
      <name val="Arial"/>
      <family val="2"/>
    </font>
    <font>
      <b/>
      <sz val="16"/>
      <name val="Arial"/>
      <family val="2"/>
    </font>
    <font>
      <sz val="16"/>
      <name val="Arial"/>
      <family val="2"/>
    </font>
    <font>
      <b/>
      <sz val="12"/>
      <name val="Arial"/>
      <family val="2"/>
    </font>
    <font>
      <sz val="10"/>
      <name val="Arial"/>
      <family val="2"/>
    </font>
    <font>
      <sz val="10"/>
      <color indexed="29"/>
      <name val="Arial"/>
      <family val="2"/>
    </font>
    <font>
      <b/>
      <sz val="12"/>
      <color indexed="81"/>
      <name val="Tahoma"/>
      <family val="2"/>
    </font>
    <font>
      <sz val="12"/>
      <color indexed="81"/>
      <name val="Tahoma"/>
      <family val="2"/>
    </font>
    <font>
      <sz val="12"/>
      <name val="Arial"/>
      <family val="2"/>
    </font>
    <font>
      <b/>
      <sz val="14"/>
      <color indexed="81"/>
      <name val="Tahoma"/>
      <family val="2"/>
    </font>
    <font>
      <sz val="10"/>
      <color indexed="9"/>
      <name val="Arial"/>
      <family val="2"/>
    </font>
    <font>
      <sz val="8"/>
      <name val="Arial"/>
      <family val="2"/>
    </font>
    <font>
      <b/>
      <sz val="8"/>
      <name val="Arial"/>
      <family val="2"/>
    </font>
    <font>
      <b/>
      <i/>
      <sz val="10"/>
      <name val="Arial"/>
      <family val="2"/>
    </font>
    <font>
      <i/>
      <sz val="10"/>
      <name val="Arial"/>
      <family val="2"/>
    </font>
    <font>
      <b/>
      <sz val="10"/>
      <color indexed="81"/>
      <name val="Tahoma"/>
      <family val="2"/>
    </font>
    <font>
      <sz val="10"/>
      <color indexed="9"/>
      <name val="Arial"/>
      <family val="2"/>
    </font>
    <font>
      <b/>
      <sz val="12"/>
      <color indexed="9"/>
      <name val="Arial"/>
      <family val="2"/>
    </font>
    <font>
      <sz val="10"/>
      <color indexed="81"/>
      <name val="Tahoma"/>
      <family val="2"/>
    </font>
    <font>
      <b/>
      <sz val="9"/>
      <name val="Arial"/>
      <family val="2"/>
    </font>
    <font>
      <b/>
      <sz val="9"/>
      <color indexed="13"/>
      <name val="Arial"/>
      <family val="2"/>
    </font>
    <font>
      <sz val="10"/>
      <color indexed="10"/>
      <name val="Arial"/>
      <family val="2"/>
    </font>
    <font>
      <sz val="8"/>
      <color indexed="10"/>
      <name val="Arial"/>
      <family val="2"/>
    </font>
    <font>
      <b/>
      <sz val="10"/>
      <color indexed="9"/>
      <name val="Arial"/>
      <family val="2"/>
    </font>
    <font>
      <sz val="12"/>
      <color indexed="10"/>
      <name val="Arial"/>
      <family val="2"/>
    </font>
    <font>
      <b/>
      <sz val="10"/>
      <color indexed="10"/>
      <name val="Arial"/>
      <family val="2"/>
    </font>
    <font>
      <b/>
      <sz val="12"/>
      <color indexed="34"/>
      <name val="Arial"/>
      <family val="2"/>
    </font>
    <font>
      <b/>
      <sz val="18"/>
      <color indexed="10"/>
      <name val="Arial"/>
      <family val="2"/>
    </font>
    <font>
      <sz val="10"/>
      <name val="Times New Roman"/>
      <family val="1"/>
    </font>
    <font>
      <b/>
      <sz val="10"/>
      <name val="Times New Roman"/>
      <family val="1"/>
    </font>
    <font>
      <b/>
      <sz val="12"/>
      <name val="Times New Roman"/>
      <family val="1"/>
    </font>
    <font>
      <b/>
      <sz val="12"/>
      <color indexed="10"/>
      <name val="Arial"/>
      <family val="2"/>
    </font>
    <font>
      <sz val="12"/>
      <name val="Times New Roman"/>
      <family val="1"/>
    </font>
    <font>
      <sz val="10"/>
      <name val="Arial"/>
      <family val="2"/>
    </font>
    <font>
      <sz val="8"/>
      <color indexed="9"/>
      <name val="Arial"/>
      <family val="2"/>
    </font>
    <font>
      <b/>
      <sz val="11"/>
      <name val="Arial"/>
      <family val="2"/>
    </font>
    <font>
      <sz val="14"/>
      <name val="Arial"/>
      <family val="2"/>
    </font>
    <font>
      <b/>
      <sz val="14"/>
      <color indexed="10"/>
      <name val="Arial"/>
      <family val="2"/>
    </font>
    <font>
      <b/>
      <u val="singleAccounting"/>
      <sz val="10"/>
      <name val="Arial"/>
      <family val="2"/>
    </font>
    <font>
      <b/>
      <sz val="16"/>
      <color rgb="FFFF0000"/>
      <name val="Arial"/>
      <family val="2"/>
    </font>
    <font>
      <sz val="10"/>
      <color rgb="FFFF0000"/>
      <name val="Arial"/>
      <family val="2"/>
    </font>
    <font>
      <sz val="10"/>
      <color theme="0"/>
      <name val="Arial"/>
      <family val="2"/>
    </font>
    <font>
      <sz val="10"/>
      <color rgb="FF66FFFF"/>
      <name val="Arial"/>
      <family val="2"/>
    </font>
    <font>
      <b/>
      <sz val="11"/>
      <color theme="1"/>
      <name val="Calibri"/>
      <family val="2"/>
      <scheme val="minor"/>
    </font>
    <font>
      <i/>
      <sz val="11"/>
      <color theme="1"/>
      <name val="Calibri"/>
      <family val="2"/>
      <scheme val="minor"/>
    </font>
    <font>
      <b/>
      <sz val="10"/>
      <color indexed="81"/>
      <name val="Arial"/>
      <family val="2"/>
    </font>
    <font>
      <sz val="10"/>
      <color indexed="81"/>
      <name val="Arial"/>
      <family val="2"/>
    </font>
  </fonts>
  <fills count="36">
    <fill>
      <patternFill patternType="none"/>
    </fill>
    <fill>
      <patternFill patternType="gray125"/>
    </fill>
    <fill>
      <patternFill patternType="solid">
        <fgColor indexed="9"/>
      </patternFill>
    </fill>
    <fill>
      <patternFill patternType="solid">
        <fgColor indexed="9"/>
        <bgColor indexed="9"/>
      </patternFill>
    </fill>
    <fill>
      <patternFill patternType="solid">
        <fgColor indexed="9"/>
        <bgColor indexed="34"/>
      </patternFill>
    </fill>
    <fill>
      <patternFill patternType="solid">
        <fgColor indexed="43"/>
        <bgColor indexed="9"/>
      </patternFill>
    </fill>
    <fill>
      <patternFill patternType="solid">
        <fgColor indexed="29"/>
        <bgColor indexed="9"/>
      </patternFill>
    </fill>
    <fill>
      <patternFill patternType="solid">
        <fgColor indexed="9"/>
        <bgColor indexed="64"/>
      </patternFill>
    </fill>
    <fill>
      <patternFill patternType="solid">
        <fgColor indexed="41"/>
        <bgColor indexed="64"/>
      </patternFill>
    </fill>
    <fill>
      <patternFill patternType="solid">
        <fgColor indexed="41"/>
        <bgColor indexed="9"/>
      </patternFill>
    </fill>
    <fill>
      <patternFill patternType="solid">
        <fgColor indexed="9"/>
        <bgColor indexed="24"/>
      </patternFill>
    </fill>
    <fill>
      <patternFill patternType="solid">
        <fgColor indexed="10"/>
        <bgColor indexed="9"/>
      </patternFill>
    </fill>
    <fill>
      <patternFill patternType="solid">
        <fgColor indexed="46"/>
        <bgColor indexed="64"/>
      </patternFill>
    </fill>
    <fill>
      <patternFill patternType="solid">
        <fgColor indexed="46"/>
        <bgColor indexed="9"/>
      </patternFill>
    </fill>
    <fill>
      <patternFill patternType="solid">
        <fgColor indexed="47"/>
        <bgColor indexed="9"/>
      </patternFill>
    </fill>
    <fill>
      <patternFill patternType="solid">
        <fgColor indexed="47"/>
        <bgColor indexed="64"/>
      </patternFill>
    </fill>
    <fill>
      <patternFill patternType="solid">
        <fgColor indexed="9"/>
        <bgColor indexed="29"/>
      </patternFill>
    </fill>
    <fill>
      <patternFill patternType="solid">
        <fgColor indexed="47"/>
        <bgColor indexed="34"/>
      </patternFill>
    </fill>
    <fill>
      <patternFill patternType="solid">
        <fgColor indexed="15"/>
        <bgColor indexed="64"/>
      </patternFill>
    </fill>
    <fill>
      <patternFill patternType="solid">
        <fgColor indexed="41"/>
      </patternFill>
    </fill>
    <fill>
      <patternFill patternType="solid">
        <fgColor indexed="15"/>
        <bgColor indexed="9"/>
      </patternFill>
    </fill>
    <fill>
      <patternFill patternType="solid">
        <fgColor indexed="15"/>
      </patternFill>
    </fill>
    <fill>
      <patternFill patternType="solid">
        <fgColor indexed="42"/>
        <bgColor indexed="9"/>
      </patternFill>
    </fill>
    <fill>
      <patternFill patternType="solid">
        <fgColor indexed="13"/>
        <bgColor indexed="9"/>
      </patternFill>
    </fill>
    <fill>
      <patternFill patternType="solid">
        <fgColor indexed="42"/>
        <bgColor indexed="24"/>
      </patternFill>
    </fill>
    <fill>
      <patternFill patternType="solid">
        <fgColor theme="0"/>
        <bgColor indexed="9"/>
      </patternFill>
    </fill>
    <fill>
      <patternFill patternType="solid">
        <fgColor theme="0"/>
        <bgColor indexed="34"/>
      </patternFill>
    </fill>
    <fill>
      <patternFill patternType="solid">
        <fgColor theme="0"/>
        <bgColor indexed="64"/>
      </patternFill>
    </fill>
    <fill>
      <patternFill patternType="solid">
        <fgColor rgb="FFFFFF00"/>
        <bgColor indexed="9"/>
      </patternFill>
    </fill>
    <fill>
      <patternFill patternType="solid">
        <fgColor rgb="FFFFFF00"/>
        <bgColor indexed="64"/>
      </patternFill>
    </fill>
    <fill>
      <patternFill patternType="lightUp">
        <bgColor indexed="9"/>
      </patternFill>
    </fill>
    <fill>
      <patternFill patternType="solid">
        <fgColor theme="0" tint="-0.14996795556505021"/>
        <bgColor indexed="64"/>
      </patternFill>
    </fill>
    <fill>
      <patternFill patternType="solid">
        <fgColor rgb="FF00FFFF"/>
        <bgColor indexed="64"/>
      </patternFill>
    </fill>
    <fill>
      <patternFill patternType="solid">
        <fgColor theme="0" tint="-0.14996795556505021"/>
        <bgColor indexed="9"/>
      </patternFill>
    </fill>
    <fill>
      <patternFill patternType="solid">
        <fgColor rgb="FFFFC000"/>
        <bgColor indexed="9"/>
      </patternFill>
    </fill>
    <fill>
      <patternFill patternType="solid">
        <fgColor theme="0"/>
        <bgColor indexed="24"/>
      </patternFill>
    </fill>
  </fills>
  <borders count="116">
    <border>
      <left/>
      <right/>
      <top/>
      <bottom/>
      <diagonal/>
    </border>
    <border>
      <left/>
      <right/>
      <top style="double">
        <color indexed="0"/>
      </top>
      <bottom/>
      <diagonal/>
    </border>
    <border>
      <left/>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style="medium">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medium">
        <color indexed="64"/>
      </bottom>
      <diagonal/>
    </border>
    <border>
      <left style="medium">
        <color indexed="34"/>
      </left>
      <right/>
      <top style="medium">
        <color indexed="34"/>
      </top>
      <bottom/>
      <diagonal/>
    </border>
    <border>
      <left/>
      <right/>
      <top style="medium">
        <color indexed="34"/>
      </top>
      <bottom/>
      <diagonal/>
    </border>
    <border>
      <left/>
      <right style="medium">
        <color indexed="34"/>
      </right>
      <top style="medium">
        <color indexed="34"/>
      </top>
      <bottom/>
      <diagonal/>
    </border>
    <border>
      <left style="medium">
        <color indexed="34"/>
      </left>
      <right/>
      <top/>
      <bottom/>
      <diagonal/>
    </border>
    <border>
      <left/>
      <right style="medium">
        <color indexed="3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style="thick">
        <color indexed="64"/>
      </right>
      <top/>
      <bottom/>
      <diagonal/>
    </border>
    <border>
      <left/>
      <right style="thick">
        <color indexed="64"/>
      </right>
      <top style="thin">
        <color indexed="64"/>
      </top>
      <bottom/>
      <diagonal/>
    </border>
    <border>
      <left/>
      <right style="thick">
        <color indexed="64"/>
      </right>
      <top/>
      <bottom style="medium">
        <color indexed="64"/>
      </bottom>
      <diagonal/>
    </border>
    <border>
      <left style="thin">
        <color indexed="64"/>
      </left>
      <right style="thin">
        <color indexed="64"/>
      </right>
      <top/>
      <bottom style="double">
        <color indexed="64"/>
      </bottom>
      <diagonal/>
    </border>
    <border>
      <left/>
      <right style="thick">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Dashed">
        <color indexed="64"/>
      </right>
      <top/>
      <bottom style="thin">
        <color indexed="64"/>
      </bottom>
      <diagonal/>
    </border>
    <border>
      <left style="mediumDashed">
        <color indexed="64"/>
      </left>
      <right style="thin">
        <color indexed="64"/>
      </right>
      <top style="thin">
        <color indexed="64"/>
      </top>
      <bottom style="thin">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Dashed">
        <color indexed="64"/>
      </right>
      <top style="thin">
        <color indexed="64"/>
      </top>
      <bottom/>
      <diagonal/>
    </border>
    <border>
      <left/>
      <right style="mediumDashed">
        <color indexed="64"/>
      </right>
      <top/>
      <bottom/>
      <diagonal/>
    </border>
    <border>
      <left style="mediumDashed">
        <color indexed="64"/>
      </left>
      <right style="thin">
        <color indexed="64"/>
      </right>
      <top/>
      <bottom/>
      <diagonal/>
    </border>
    <border>
      <left style="thin">
        <color indexed="64"/>
      </left>
      <right style="mediumDashed">
        <color indexed="64"/>
      </right>
      <top/>
      <bottom style="medium">
        <color indexed="64"/>
      </bottom>
      <diagonal/>
    </border>
    <border>
      <left style="mediumDashed">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thick">
        <color indexed="64"/>
      </right>
      <top style="medium">
        <color indexed="64"/>
      </top>
      <bottom/>
      <diagonal/>
    </border>
    <border>
      <left/>
      <right style="mediumDashed">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indexed="64"/>
      </left>
      <right/>
      <top/>
      <bottom/>
      <diagonal/>
    </border>
  </borders>
  <cellStyleXfs count="11">
    <xf numFmtId="0" fontId="0" fillId="0" borderId="0">
      <alignment vertical="top"/>
    </xf>
    <xf numFmtId="3" fontId="10" fillId="0" borderId="0" applyFont="0" applyFill="0" applyBorder="0" applyAlignment="0" applyProtection="0"/>
    <xf numFmtId="5"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9" fillId="0" borderId="0" applyNumberFormat="0" applyFill="0" applyBorder="0" applyAlignment="0" applyProtection="0">
      <alignment vertical="top"/>
      <protection locked="0"/>
    </xf>
    <xf numFmtId="0" fontId="10" fillId="0" borderId="0"/>
    <xf numFmtId="0" fontId="10" fillId="0" borderId="1" applyNumberFormat="0" applyFont="0" applyBorder="0" applyAlignment="0" applyProtection="0"/>
    <xf numFmtId="0" fontId="10" fillId="0" borderId="0">
      <alignment vertical="top"/>
    </xf>
  </cellStyleXfs>
  <cellXfs count="1124">
    <xf numFmtId="0" fontId="0" fillId="0" borderId="0" xfId="0" applyAlignment="1"/>
    <xf numFmtId="0" fontId="0" fillId="0" borderId="0" xfId="0" applyAlignment="1" applyProtection="1">
      <protection locked="0"/>
    </xf>
    <xf numFmtId="0" fontId="5" fillId="0" borderId="0" xfId="0" applyFont="1" applyBorder="1" applyAlignment="1"/>
    <xf numFmtId="0" fontId="0" fillId="0" borderId="0" xfId="0" applyFont="1" applyAlignment="1" applyProtection="1">
      <alignment horizontal="center"/>
      <protection locked="0"/>
    </xf>
    <xf numFmtId="0" fontId="0" fillId="0" borderId="0" xfId="0" applyBorder="1" applyAlignment="1" applyProtection="1">
      <protection locked="0"/>
    </xf>
    <xf numFmtId="0" fontId="0" fillId="0" borderId="2" xfId="0" applyBorder="1" applyAlignment="1" applyProtection="1">
      <protection locked="0"/>
    </xf>
    <xf numFmtId="0" fontId="0" fillId="0" borderId="0" xfId="0" applyAlignment="1" applyProtection="1">
      <alignment horizontal="center"/>
      <protection locked="0"/>
    </xf>
    <xf numFmtId="0" fontId="0" fillId="3" borderId="0" xfId="0" applyFont="1" applyFill="1" applyAlignment="1" applyProtection="1">
      <alignment horizontal="center"/>
      <protection locked="0"/>
    </xf>
    <xf numFmtId="2" fontId="5" fillId="4" borderId="0" xfId="0" applyNumberFormat="1" applyFont="1" applyFill="1" applyBorder="1" applyAlignment="1" applyProtection="1">
      <protection locked="0"/>
    </xf>
    <xf numFmtId="2" fontId="5" fillId="4" borderId="0" xfId="0" applyNumberFormat="1" applyFont="1" applyFill="1" applyBorder="1" applyAlignment="1" applyProtection="1">
      <alignment horizontal="center"/>
      <protection locked="0"/>
    </xf>
    <xf numFmtId="0" fontId="0" fillId="3" borderId="0" xfId="0" applyFill="1" applyAlignment="1" applyProtection="1">
      <protection locked="0"/>
    </xf>
    <xf numFmtId="0" fontId="0" fillId="4" borderId="0" xfId="0" applyFont="1" applyFill="1" applyAlignment="1" applyProtection="1">
      <alignment horizontal="center"/>
      <protection locked="0"/>
    </xf>
    <xf numFmtId="0" fontId="0" fillId="3" borderId="0" xfId="0" applyFill="1" applyBorder="1" applyAlignment="1" applyProtection="1">
      <protection locked="0"/>
    </xf>
    <xf numFmtId="0" fontId="15" fillId="0" borderId="3" xfId="0" applyFont="1" applyBorder="1" applyAlignment="1" applyProtection="1">
      <protection locked="0"/>
    </xf>
    <xf numFmtId="0" fontId="10" fillId="0" borderId="3" xfId="0" applyFont="1" applyBorder="1" applyAlignment="1" applyProtection="1">
      <protection locked="0"/>
    </xf>
    <xf numFmtId="0" fontId="10" fillId="0" borderId="3" xfId="0" applyFont="1" applyBorder="1" applyAlignment="1" applyProtection="1">
      <alignment horizontal="center"/>
      <protection locked="0"/>
    </xf>
    <xf numFmtId="0" fontId="0" fillId="0" borderId="3" xfId="0" applyBorder="1" applyAlignment="1" applyProtection="1">
      <protection locked="0"/>
    </xf>
    <xf numFmtId="0" fontId="0" fillId="0" borderId="3" xfId="0" applyFont="1" applyBorder="1" applyAlignment="1" applyProtection="1">
      <alignment horizontal="center"/>
      <protection locked="0"/>
    </xf>
    <xf numFmtId="0" fontId="0" fillId="3" borderId="3" xfId="0" applyFont="1" applyFill="1" applyBorder="1" applyAlignment="1" applyProtection="1">
      <alignment horizontal="left"/>
      <protection locked="0"/>
    </xf>
    <xf numFmtId="0" fontId="0" fillId="3" borderId="3" xfId="0" applyFill="1" applyBorder="1" applyAlignment="1" applyProtection="1">
      <protection locked="0"/>
    </xf>
    <xf numFmtId="0" fontId="8" fillId="0" borderId="0" xfId="0" applyFont="1" applyAlignment="1"/>
    <xf numFmtId="0" fontId="8" fillId="3" borderId="0" xfId="0" applyFont="1" applyFill="1" applyBorder="1" applyAlignment="1" applyProtection="1">
      <alignment horizontal="center"/>
      <protection locked="0"/>
    </xf>
    <xf numFmtId="0" fontId="0" fillId="3" borderId="0" xfId="0" applyFill="1" applyBorder="1" applyAlignment="1">
      <alignment horizontal="center"/>
    </xf>
    <xf numFmtId="1" fontId="8" fillId="3" borderId="0" xfId="0" applyNumberFormat="1" applyFont="1" applyFill="1" applyBorder="1" applyAlignment="1" applyProtection="1">
      <alignment horizontal="center"/>
      <protection locked="0"/>
    </xf>
    <xf numFmtId="0" fontId="0" fillId="0" borderId="0" xfId="0" applyBorder="1" applyAlignment="1">
      <alignment horizontal="center"/>
    </xf>
    <xf numFmtId="1" fontId="0" fillId="0" borderId="0" xfId="0" applyNumberFormat="1" applyAlignment="1" applyProtection="1">
      <alignment horizontal="center"/>
      <protection locked="0"/>
    </xf>
    <xf numFmtId="0" fontId="8" fillId="0" borderId="0" xfId="0" applyFont="1" applyAlignment="1" applyProtection="1">
      <protection locked="0"/>
    </xf>
    <xf numFmtId="0" fontId="8" fillId="0" borderId="0" xfId="0" applyFont="1" applyAlignment="1" applyProtection="1">
      <alignment horizontal="center"/>
      <protection locked="0"/>
    </xf>
    <xf numFmtId="0" fontId="0" fillId="5" borderId="4" xfId="0" applyFill="1" applyBorder="1" applyAlignment="1"/>
    <xf numFmtId="0" fontId="0" fillId="5" borderId="5" xfId="0" applyFill="1" applyBorder="1" applyAlignment="1"/>
    <xf numFmtId="0" fontId="0" fillId="5" borderId="6" xfId="0" applyFill="1" applyBorder="1" applyAlignment="1"/>
    <xf numFmtId="0" fontId="0" fillId="5" borderId="7" xfId="0" applyFill="1" applyBorder="1" applyAlignment="1"/>
    <xf numFmtId="0" fontId="0" fillId="5" borderId="2" xfId="0" applyFill="1" applyBorder="1" applyAlignment="1"/>
    <xf numFmtId="0" fontId="0" fillId="5" borderId="8" xfId="0" applyFill="1" applyBorder="1" applyAlignment="1"/>
    <xf numFmtId="0" fontId="18" fillId="0" borderId="0" xfId="0" applyFont="1" applyBorder="1" applyAlignment="1" applyProtection="1">
      <protection locked="0"/>
    </xf>
    <xf numFmtId="0" fontId="0" fillId="0" borderId="0" xfId="0" applyBorder="1" applyAlignment="1"/>
    <xf numFmtId="0" fontId="0" fillId="0" borderId="0" xfId="0" applyAlignment="1" applyProtection="1"/>
    <xf numFmtId="0" fontId="0" fillId="3" borderId="0" xfId="0" applyFill="1" applyAlignment="1"/>
    <xf numFmtId="1" fontId="0" fillId="0" borderId="9" xfId="0" applyNumberFormat="1" applyBorder="1" applyAlignment="1"/>
    <xf numFmtId="1" fontId="0" fillId="0" borderId="0" xfId="0" applyNumberFormat="1" applyBorder="1" applyAlignment="1"/>
    <xf numFmtId="1" fontId="0" fillId="0" borderId="10" xfId="0" applyNumberFormat="1" applyBorder="1" applyAlignment="1"/>
    <xf numFmtId="0" fontId="0" fillId="0" borderId="14" xfId="0" applyBorder="1" applyAlignment="1"/>
    <xf numFmtId="0" fontId="0" fillId="3" borderId="16" xfId="0" applyFill="1" applyBorder="1" applyAlignment="1">
      <alignment horizontal="center"/>
    </xf>
    <xf numFmtId="0" fontId="0" fillId="3" borderId="15"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6" borderId="0" xfId="0" applyFill="1" applyBorder="1" applyAlignment="1"/>
    <xf numFmtId="0" fontId="0" fillId="3" borderId="0" xfId="0" applyFill="1" applyBorder="1" applyAlignment="1"/>
    <xf numFmtId="0" fontId="8" fillId="7" borderId="0" xfId="8" applyFont="1" applyFill="1"/>
    <xf numFmtId="0" fontId="8" fillId="7" borderId="0" xfId="8" applyFont="1" applyFill="1" applyBorder="1" applyAlignment="1">
      <alignment horizontal="center"/>
    </xf>
    <xf numFmtId="1" fontId="10" fillId="7" borderId="0" xfId="8" applyNumberFormat="1" applyFill="1" applyBorder="1" applyAlignment="1">
      <alignment horizontal="center"/>
    </xf>
    <xf numFmtId="2" fontId="10" fillId="7" borderId="0" xfId="8" applyNumberFormat="1" applyFill="1" applyBorder="1" applyAlignment="1">
      <alignment horizontal="center"/>
    </xf>
    <xf numFmtId="0" fontId="0" fillId="0" borderId="0" xfId="0" applyAlignment="1">
      <alignment horizontal="center"/>
    </xf>
    <xf numFmtId="0" fontId="0" fillId="3" borderId="0" xfId="0" applyFill="1" applyAlignment="1">
      <alignment horizontal="center"/>
    </xf>
    <xf numFmtId="0" fontId="0" fillId="0" borderId="0" xfId="0" applyFill="1" applyBorder="1" applyAlignment="1"/>
    <xf numFmtId="0" fontId="0" fillId="7" borderId="0" xfId="0" applyFill="1" applyBorder="1" applyAlignment="1"/>
    <xf numFmtId="0" fontId="6" fillId="3" borderId="0" xfId="0" applyFont="1" applyFill="1" applyAlignment="1"/>
    <xf numFmtId="0" fontId="8" fillId="7" borderId="0" xfId="8" applyFont="1" applyFill="1" applyAlignment="1">
      <alignment horizontal="right"/>
    </xf>
    <xf numFmtId="0" fontId="0" fillId="3" borderId="2" xfId="0" applyFill="1" applyBorder="1" applyAlignment="1"/>
    <xf numFmtId="0" fontId="0" fillId="3" borderId="8" xfId="0" applyFill="1" applyBorder="1" applyAlignment="1"/>
    <xf numFmtId="0" fontId="8" fillId="3" borderId="0" xfId="0" applyFont="1" applyFill="1" applyBorder="1" applyAlignment="1"/>
    <xf numFmtId="0" fontId="8" fillId="3" borderId="0" xfId="0" applyFont="1" applyFill="1" applyBorder="1" applyAlignment="1">
      <alignment horizontal="right"/>
    </xf>
    <xf numFmtId="0" fontId="0" fillId="3" borderId="18" xfId="0" applyFill="1" applyBorder="1" applyAlignment="1"/>
    <xf numFmtId="0" fontId="0" fillId="7" borderId="18" xfId="0" applyFill="1" applyBorder="1" applyAlignment="1"/>
    <xf numFmtId="0" fontId="0" fillId="0" borderId="0" xfId="0" applyFill="1" applyAlignment="1"/>
    <xf numFmtId="0" fontId="0" fillId="3" borderId="7" xfId="0" applyFill="1" applyBorder="1" applyAlignment="1"/>
    <xf numFmtId="0" fontId="0" fillId="3" borderId="19" xfId="0" applyFill="1" applyBorder="1" applyAlignment="1">
      <alignment horizontal="center"/>
    </xf>
    <xf numFmtId="0" fontId="8" fillId="3" borderId="0" xfId="0" applyFont="1" applyFill="1" applyBorder="1" applyAlignment="1">
      <alignment horizontal="center"/>
    </xf>
    <xf numFmtId="0" fontId="0" fillId="6" borderId="2" xfId="0" applyFill="1" applyBorder="1" applyAlignment="1"/>
    <xf numFmtId="0" fontId="0" fillId="7" borderId="0" xfId="0" applyFill="1" applyBorder="1" applyAlignment="1" applyProtection="1">
      <protection locked="0"/>
    </xf>
    <xf numFmtId="0" fontId="0" fillId="7" borderId="0" xfId="0" applyFill="1" applyBorder="1" applyAlignment="1" applyProtection="1">
      <alignment wrapText="1"/>
      <protection locked="0"/>
    </xf>
    <xf numFmtId="0" fontId="8" fillId="7" borderId="0" xfId="0" applyFont="1" applyFill="1" applyBorder="1" applyAlignment="1" applyProtection="1">
      <alignment horizontal="left" wrapText="1"/>
      <protection locked="0"/>
    </xf>
    <xf numFmtId="2" fontId="0" fillId="7" borderId="0" xfId="0" applyNumberFormat="1" applyFill="1" applyBorder="1" applyAlignment="1" applyProtection="1">
      <protection locked="0"/>
    </xf>
    <xf numFmtId="0" fontId="5" fillId="7" borderId="0" xfId="0" applyFont="1" applyFill="1" applyBorder="1" applyAlignment="1" applyProtection="1">
      <alignment horizontal="justify"/>
      <protection locked="0"/>
    </xf>
    <xf numFmtId="2" fontId="5" fillId="7" borderId="0" xfId="0" applyNumberFormat="1" applyFont="1" applyFill="1" applyBorder="1" applyAlignment="1" applyProtection="1">
      <alignment horizontal="center"/>
      <protection locked="0"/>
    </xf>
    <xf numFmtId="0" fontId="8" fillId="7" borderId="0" xfId="0" applyFont="1" applyFill="1" applyBorder="1" applyAlignment="1" applyProtection="1">
      <protection locked="0"/>
    </xf>
    <xf numFmtId="2" fontId="18" fillId="7" borderId="0" xfId="0" applyNumberFormat="1" applyFont="1" applyFill="1" applyBorder="1" applyAlignment="1" applyProtection="1">
      <alignment horizontal="center" wrapText="1"/>
      <protection locked="0"/>
    </xf>
    <xf numFmtId="0" fontId="18" fillId="7" borderId="0" xfId="0" applyFont="1" applyFill="1" applyBorder="1" applyAlignment="1" applyProtection="1">
      <alignment wrapText="1"/>
      <protection locked="0"/>
    </xf>
    <xf numFmtId="0" fontId="8" fillId="0" borderId="0" xfId="0" applyFont="1" applyAlignment="1" applyProtection="1"/>
    <xf numFmtId="164" fontId="0" fillId="0" borderId="0" xfId="0" applyNumberFormat="1" applyAlignment="1" applyProtection="1"/>
    <xf numFmtId="0" fontId="17" fillId="3" borderId="0" xfId="0" applyFont="1" applyFill="1" applyBorder="1" applyAlignment="1"/>
    <xf numFmtId="0" fontId="0" fillId="3" borderId="0" xfId="0" applyFill="1" applyBorder="1" applyAlignment="1">
      <alignment horizontal="right"/>
    </xf>
    <xf numFmtId="0" fontId="0" fillId="3" borderId="20" xfId="0" applyFill="1" applyBorder="1" applyAlignment="1"/>
    <xf numFmtId="0" fontId="0" fillId="3" borderId="21" xfId="0" applyFill="1" applyBorder="1" applyAlignment="1"/>
    <xf numFmtId="0" fontId="0" fillId="3" borderId="22" xfId="0" applyFill="1" applyBorder="1" applyAlignment="1"/>
    <xf numFmtId="0" fontId="0" fillId="3" borderId="23" xfId="0" applyFill="1" applyBorder="1" applyAlignment="1"/>
    <xf numFmtId="0" fontId="17" fillId="3" borderId="4" xfId="0" applyFont="1" applyFill="1" applyBorder="1" applyAlignment="1"/>
    <xf numFmtId="0" fontId="0" fillId="3" borderId="5" xfId="0" applyFill="1" applyBorder="1" applyAlignment="1">
      <alignment horizontal="right"/>
    </xf>
    <xf numFmtId="0" fontId="8" fillId="3" borderId="5" xfId="0" applyFont="1" applyFill="1" applyBorder="1" applyAlignment="1">
      <alignment horizontal="center"/>
    </xf>
    <xf numFmtId="0" fontId="0" fillId="3" borderId="5" xfId="0" applyFill="1" applyBorder="1" applyAlignment="1"/>
    <xf numFmtId="0" fontId="0" fillId="3" borderId="6" xfId="0" applyFill="1" applyBorder="1" applyAlignment="1"/>
    <xf numFmtId="0" fontId="0" fillId="0" borderId="21" xfId="0" applyBorder="1" applyAlignment="1"/>
    <xf numFmtId="0" fontId="0" fillId="3" borderId="24" xfId="0" applyFill="1" applyBorder="1" applyAlignment="1"/>
    <xf numFmtId="0" fontId="18" fillId="0" borderId="0" xfId="0" applyFont="1" applyAlignment="1"/>
    <xf numFmtId="0" fontId="27" fillId="0" borderId="0" xfId="0" applyFont="1" applyAlignment="1"/>
    <xf numFmtId="0" fontId="8" fillId="0" borderId="25" xfId="0" applyFont="1" applyBorder="1" applyAlignment="1"/>
    <xf numFmtId="0" fontId="0" fillId="0" borderId="26" xfId="0" applyBorder="1" applyAlignment="1"/>
    <xf numFmtId="0" fontId="0" fillId="0" borderId="27" xfId="0" applyBorder="1" applyAlignment="1"/>
    <xf numFmtId="0" fontId="0" fillId="0" borderId="9" xfId="0" applyBorder="1" applyAlignment="1"/>
    <xf numFmtId="0" fontId="0" fillId="0" borderId="10" xfId="0" applyBorder="1" applyAlignment="1"/>
    <xf numFmtId="0" fontId="27" fillId="0" borderId="11" xfId="0" applyFont="1" applyBorder="1" applyAlignment="1"/>
    <xf numFmtId="0" fontId="0" fillId="0" borderId="12" xfId="0" applyBorder="1" applyAlignment="1"/>
    <xf numFmtId="0" fontId="0" fillId="0" borderId="13" xfId="0" applyBorder="1" applyAlignment="1"/>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0" fillId="0" borderId="0" xfId="0" applyBorder="1" applyAlignment="1" applyProtection="1">
      <alignment horizontal="center"/>
    </xf>
    <xf numFmtId="1" fontId="0" fillId="0" borderId="0" xfId="0" applyNumberFormat="1" applyBorder="1" applyAlignment="1" applyProtection="1">
      <alignment horizontal="center"/>
    </xf>
    <xf numFmtId="0" fontId="0" fillId="0" borderId="0" xfId="0" applyBorder="1" applyAlignment="1" applyProtection="1"/>
    <xf numFmtId="0" fontId="8" fillId="0" borderId="0" xfId="0" applyFont="1" applyBorder="1" applyAlignment="1"/>
    <xf numFmtId="0" fontId="8" fillId="0" borderId="0" xfId="0" applyFont="1" applyFill="1" applyBorder="1" applyAlignment="1"/>
    <xf numFmtId="0" fontId="10" fillId="0" borderId="0" xfId="0" applyFont="1" applyAlignment="1"/>
    <xf numFmtId="0" fontId="8" fillId="7" borderId="0" xfId="0" applyFont="1" applyFill="1" applyBorder="1" applyAlignment="1">
      <alignment horizontal="right"/>
    </xf>
    <xf numFmtId="0" fontId="0" fillId="7" borderId="0" xfId="0" applyFill="1" applyBorder="1" applyAlignment="1">
      <alignment horizontal="right"/>
    </xf>
    <xf numFmtId="0" fontId="0" fillId="7" borderId="0" xfId="0" applyFill="1" applyAlignment="1"/>
    <xf numFmtId="0" fontId="0" fillId="3" borderId="19" xfId="0" applyFill="1" applyBorder="1" applyAlignment="1"/>
    <xf numFmtId="0" fontId="0" fillId="3" borderId="12" xfId="0" applyFill="1" applyBorder="1" applyAlignment="1"/>
    <xf numFmtId="0" fontId="0" fillId="0" borderId="29" xfId="0" applyFont="1" applyBorder="1" applyAlignment="1" applyProtection="1">
      <alignment horizontal="center"/>
    </xf>
    <xf numFmtId="0" fontId="0" fillId="3" borderId="18" xfId="0" applyFill="1" applyBorder="1" applyAlignment="1" applyProtection="1">
      <protection locked="0"/>
    </xf>
    <xf numFmtId="0" fontId="0" fillId="3" borderId="8" xfId="0" applyFill="1" applyBorder="1" applyAlignment="1" applyProtection="1">
      <protection locked="0"/>
    </xf>
    <xf numFmtId="0" fontId="17" fillId="3" borderId="0" xfId="0" applyFont="1" applyFill="1" applyAlignment="1" applyProtection="1">
      <alignment horizontal="right"/>
      <protection locked="0"/>
    </xf>
    <xf numFmtId="0" fontId="17" fillId="3" borderId="0" xfId="0" applyFont="1" applyFill="1" applyAlignment="1" applyProtection="1">
      <protection locked="0"/>
    </xf>
    <xf numFmtId="0" fontId="17" fillId="3" borderId="0" xfId="0" applyFont="1" applyFill="1" applyBorder="1" applyAlignment="1" applyProtection="1">
      <protection locked="0"/>
    </xf>
    <xf numFmtId="0" fontId="0" fillId="7" borderId="31" xfId="0" applyFill="1" applyBorder="1" applyAlignment="1" applyProtection="1">
      <protection locked="0"/>
    </xf>
    <xf numFmtId="0" fontId="8" fillId="10" borderId="0" xfId="0" applyFont="1" applyFill="1" applyBorder="1" applyAlignment="1">
      <alignment horizontal="center" vertical="top"/>
    </xf>
    <xf numFmtId="0" fontId="0" fillId="10" borderId="0" xfId="0" applyFill="1" applyBorder="1" applyAlignment="1">
      <alignment horizontal="center" vertical="top"/>
    </xf>
    <xf numFmtId="0" fontId="0" fillId="0" borderId="33" xfId="0" applyFont="1" applyBorder="1" applyAlignment="1" applyProtection="1">
      <alignment horizontal="center"/>
      <protection locked="0"/>
    </xf>
    <xf numFmtId="0" fontId="0" fillId="0" borderId="33" xfId="0" applyBorder="1" applyAlignment="1" applyProtection="1">
      <protection locked="0"/>
    </xf>
    <xf numFmtId="0" fontId="30" fillId="11" borderId="0" xfId="0" applyFont="1" applyFill="1" applyBorder="1" applyAlignment="1"/>
    <xf numFmtId="0" fontId="31" fillId="11" borderId="34" xfId="0" applyFont="1" applyFill="1" applyBorder="1" applyAlignment="1"/>
    <xf numFmtId="0" fontId="30" fillId="11" borderId="35" xfId="0" applyFont="1" applyFill="1" applyBorder="1" applyAlignment="1"/>
    <xf numFmtId="0" fontId="30" fillId="11" borderId="36" xfId="0" applyFont="1" applyFill="1" applyBorder="1" applyAlignment="1"/>
    <xf numFmtId="0" fontId="31" fillId="11" borderId="37" xfId="0" applyFont="1" applyFill="1" applyBorder="1" applyAlignment="1"/>
    <xf numFmtId="0" fontId="30" fillId="11" borderId="38" xfId="0" applyFont="1" applyFill="1" applyBorder="1" applyAlignment="1"/>
    <xf numFmtId="0" fontId="0" fillId="0" borderId="0" xfId="0" applyFont="1" applyAlignment="1" applyProtection="1">
      <alignment horizontal="center"/>
    </xf>
    <xf numFmtId="0" fontId="0" fillId="0" borderId="0" xfId="0" applyAlignment="1" applyProtection="1">
      <alignment horizontal="center"/>
    </xf>
    <xf numFmtId="0" fontId="0" fillId="0" borderId="39" xfId="0" applyBorder="1" applyAlignment="1" applyProtection="1"/>
    <xf numFmtId="0" fontId="0" fillId="0" borderId="20" xfId="0" applyBorder="1" applyAlignment="1" applyProtection="1"/>
    <xf numFmtId="0" fontId="8" fillId="3" borderId="40" xfId="0" applyFont="1" applyFill="1" applyBorder="1" applyAlignment="1">
      <alignment horizontal="center"/>
    </xf>
    <xf numFmtId="1" fontId="0" fillId="5" borderId="18" xfId="0" applyNumberFormat="1" applyFill="1" applyBorder="1" applyAlignment="1">
      <alignment horizontal="center"/>
    </xf>
    <xf numFmtId="1" fontId="0" fillId="5" borderId="41" xfId="0" applyNumberFormat="1" applyFill="1" applyBorder="1" applyAlignment="1">
      <alignment horizontal="center"/>
    </xf>
    <xf numFmtId="1" fontId="0" fillId="5" borderId="8" xfId="0" applyNumberFormat="1" applyFill="1" applyBorder="1" applyAlignment="1">
      <alignment horizontal="center"/>
    </xf>
    <xf numFmtId="0" fontId="0" fillId="6" borderId="10" xfId="0" applyFill="1" applyBorder="1" applyAlignment="1">
      <alignment horizontal="center"/>
    </xf>
    <xf numFmtId="0" fontId="0" fillId="6" borderId="42" xfId="0" applyFill="1" applyBorder="1" applyAlignment="1"/>
    <xf numFmtId="0" fontId="0" fillId="6" borderId="43" xfId="0" applyFill="1" applyBorder="1" applyAlignment="1">
      <alignment horizontal="center"/>
    </xf>
    <xf numFmtId="0" fontId="0" fillId="6" borderId="19" xfId="0" applyFill="1" applyBorder="1" applyAlignment="1">
      <alignment horizontal="center"/>
    </xf>
    <xf numFmtId="0" fontId="17" fillId="3" borderId="0" xfId="0" applyFont="1" applyFill="1" applyAlignment="1" applyProtection="1"/>
    <xf numFmtId="0" fontId="0" fillId="3" borderId="0" xfId="0" applyFill="1" applyAlignment="1" applyProtection="1"/>
    <xf numFmtId="0" fontId="0" fillId="3" borderId="0" xfId="0" applyFill="1" applyAlignment="1" applyProtection="1">
      <alignment vertical="center"/>
    </xf>
    <xf numFmtId="0" fontId="0" fillId="3" borderId="0" xfId="0" applyNumberFormat="1" applyFill="1" applyAlignment="1" applyProtection="1"/>
    <xf numFmtId="0" fontId="6" fillId="0" borderId="0" xfId="0" applyFont="1" applyAlignment="1" applyProtection="1"/>
    <xf numFmtId="0" fontId="8" fillId="3" borderId="0" xfId="0" applyFont="1" applyFill="1" applyAlignment="1" applyProtection="1"/>
    <xf numFmtId="0" fontId="18" fillId="0" borderId="0" xfId="7" applyFont="1" applyAlignment="1" applyProtection="1"/>
    <xf numFmtId="0" fontId="35" fillId="0" borderId="0" xfId="0" applyFont="1" applyAlignment="1" applyProtection="1">
      <protection locked="0"/>
    </xf>
    <xf numFmtId="0" fontId="36" fillId="0" borderId="0" xfId="0" applyFont="1" applyAlignment="1" applyProtection="1">
      <protection locked="0"/>
    </xf>
    <xf numFmtId="1" fontId="0" fillId="0" borderId="14" xfId="0" applyNumberFormat="1" applyBorder="1" applyAlignment="1"/>
    <xf numFmtId="1" fontId="0" fillId="0" borderId="0" xfId="0" applyNumberFormat="1" applyAlignment="1"/>
    <xf numFmtId="0" fontId="35" fillId="3" borderId="0" xfId="0" applyFont="1" applyFill="1" applyAlignment="1" applyProtection="1">
      <protection locked="0"/>
    </xf>
    <xf numFmtId="0" fontId="18" fillId="3" borderId="0" xfId="0" applyFont="1" applyFill="1" applyAlignment="1"/>
    <xf numFmtId="0" fontId="18" fillId="3" borderId="0" xfId="0" applyFont="1" applyFill="1" applyAlignment="1" applyProtection="1">
      <protection locked="0"/>
    </xf>
    <xf numFmtId="0" fontId="24" fillId="3" borderId="0" xfId="0" applyFont="1" applyFill="1" applyAlignment="1" applyProtection="1">
      <protection locked="0"/>
    </xf>
    <xf numFmtId="0" fontId="24" fillId="7" borderId="0" xfId="0" applyFont="1" applyFill="1" applyAlignment="1" applyProtection="1">
      <protection locked="0"/>
    </xf>
    <xf numFmtId="0" fontId="24" fillId="7" borderId="0" xfId="0" applyFont="1" applyFill="1" applyAlignment="1" applyProtection="1">
      <alignment horizontal="center"/>
      <protection locked="0"/>
    </xf>
    <xf numFmtId="0" fontId="24" fillId="7" borderId="0" xfId="0" applyFont="1" applyFill="1" applyBorder="1" applyAlignment="1" applyProtection="1">
      <protection locked="0"/>
    </xf>
    <xf numFmtId="0" fontId="24" fillId="7" borderId="0" xfId="0" applyFont="1" applyFill="1" applyBorder="1" applyAlignment="1" applyProtection="1">
      <alignment wrapText="1"/>
      <protection locked="0"/>
    </xf>
    <xf numFmtId="0" fontId="37" fillId="7" borderId="0" xfId="0" applyFont="1" applyFill="1" applyBorder="1" applyAlignment="1" applyProtection="1">
      <alignment wrapText="1"/>
      <protection locked="0"/>
    </xf>
    <xf numFmtId="0" fontId="37" fillId="7" borderId="0" xfId="0" applyFont="1" applyFill="1" applyBorder="1" applyAlignment="1" applyProtection="1">
      <alignment horizontal="center" wrapText="1"/>
      <protection locked="0"/>
    </xf>
    <xf numFmtId="2" fontId="24" fillId="7" borderId="0" xfId="0" applyNumberFormat="1" applyFont="1" applyFill="1" applyBorder="1" applyAlignment="1" applyProtection="1">
      <protection locked="0"/>
    </xf>
    <xf numFmtId="0" fontId="24" fillId="7" borderId="0" xfId="0" applyFont="1" applyFill="1" applyBorder="1" applyAlignment="1" applyProtection="1">
      <alignment horizontal="center"/>
      <protection locked="0"/>
    </xf>
    <xf numFmtId="2" fontId="37" fillId="7" borderId="0" xfId="0" applyNumberFormat="1" applyFont="1" applyFill="1" applyBorder="1" applyAlignment="1" applyProtection="1">
      <alignment horizontal="center"/>
      <protection locked="0"/>
    </xf>
    <xf numFmtId="2" fontId="37" fillId="7" borderId="0" xfId="0" applyNumberFormat="1" applyFont="1" applyFill="1" applyBorder="1" applyAlignment="1" applyProtection="1">
      <protection locked="0"/>
    </xf>
    <xf numFmtId="2" fontId="24" fillId="7" borderId="0" xfId="0" applyNumberFormat="1" applyFont="1" applyFill="1" applyBorder="1" applyAlignment="1" applyProtection="1">
      <alignment horizontal="center" wrapText="1"/>
      <protection locked="0"/>
    </xf>
    <xf numFmtId="2" fontId="24" fillId="7" borderId="0" xfId="0" applyNumberFormat="1" applyFont="1" applyFill="1" applyBorder="1" applyAlignment="1" applyProtection="1">
      <alignment horizontal="center"/>
      <protection locked="0"/>
    </xf>
    <xf numFmtId="0" fontId="24" fillId="0" borderId="0" xfId="0" applyFont="1" applyAlignment="1" applyProtection="1">
      <protection locked="0"/>
    </xf>
    <xf numFmtId="0" fontId="4" fillId="0" borderId="0" xfId="0" applyFont="1" applyBorder="1" applyAlignment="1" applyProtection="1"/>
    <xf numFmtId="0" fontId="5" fillId="0" borderId="0" xfId="0" applyFont="1" applyBorder="1" applyAlignment="1" applyProtection="1"/>
    <xf numFmtId="0" fontId="8" fillId="0" borderId="2" xfId="0" applyFont="1" applyFill="1" applyBorder="1" applyAlignment="1" applyProtection="1">
      <alignment horizontal="right"/>
    </xf>
    <xf numFmtId="0" fontId="8" fillId="0" borderId="21" xfId="0" applyFont="1" applyFill="1" applyBorder="1" applyAlignment="1" applyProtection="1">
      <alignment horizontal="center"/>
    </xf>
    <xf numFmtId="2" fontId="8" fillId="0" borderId="21" xfId="0" applyNumberFormat="1" applyFont="1" applyFill="1" applyBorder="1" applyAlignment="1" applyProtection="1">
      <alignment horizontal="center"/>
    </xf>
    <xf numFmtId="9" fontId="17" fillId="9" borderId="44" xfId="0" applyNumberFormat="1" applyFont="1" applyFill="1" applyBorder="1" applyAlignment="1" applyProtection="1">
      <alignment horizontal="center"/>
      <protection locked="0"/>
    </xf>
    <xf numFmtId="0" fontId="38" fillId="0" borderId="0" xfId="0" applyFont="1" applyAlignment="1" applyProtection="1"/>
    <xf numFmtId="0" fontId="39" fillId="0" borderId="0" xfId="0" applyFont="1" applyAlignment="1" applyProtection="1"/>
    <xf numFmtId="0" fontId="30" fillId="7" borderId="0" xfId="0" applyFont="1" applyFill="1" applyBorder="1" applyAlignment="1"/>
    <xf numFmtId="0" fontId="39" fillId="3" borderId="0" xfId="0" applyFont="1" applyFill="1" applyAlignment="1" applyProtection="1">
      <protection locked="0"/>
    </xf>
    <xf numFmtId="0" fontId="41" fillId="0" borderId="0" xfId="0" applyFont="1" applyAlignment="1" applyProtection="1"/>
    <xf numFmtId="0" fontId="41" fillId="0" borderId="0" xfId="0" applyFont="1" applyAlignment="1" applyProtection="1">
      <protection locked="0"/>
    </xf>
    <xf numFmtId="0" fontId="42" fillId="0" borderId="0" xfId="0" applyFont="1" applyAlignment="1"/>
    <xf numFmtId="0" fontId="43" fillId="0" borderId="0" xfId="0" applyFont="1" applyAlignment="1"/>
    <xf numFmtId="0" fontId="43" fillId="0" borderId="44" xfId="0" applyFont="1" applyBorder="1" applyAlignment="1">
      <alignment horizontal="center"/>
    </xf>
    <xf numFmtId="2" fontId="42" fillId="0" borderId="44" xfId="0" applyNumberFormat="1" applyFont="1" applyBorder="1" applyAlignment="1">
      <alignment horizontal="center"/>
    </xf>
    <xf numFmtId="0" fontId="42" fillId="0" borderId="0" xfId="0" applyFont="1" applyBorder="1" applyAlignment="1"/>
    <xf numFmtId="2" fontId="42" fillId="0" borderId="0" xfId="0" applyNumberFormat="1" applyFont="1" applyBorder="1" applyAlignment="1"/>
    <xf numFmtId="1" fontId="42" fillId="0" borderId="44" xfId="0" applyNumberFormat="1" applyFont="1" applyBorder="1" applyAlignment="1">
      <alignment horizontal="center"/>
    </xf>
    <xf numFmtId="0" fontId="42" fillId="0" borderId="0" xfId="0" applyFont="1" applyFill="1" applyAlignment="1"/>
    <xf numFmtId="0" fontId="43" fillId="0" borderId="44" xfId="0" applyFont="1" applyBorder="1" applyAlignment="1">
      <alignment vertical="center"/>
    </xf>
    <xf numFmtId="0" fontId="42" fillId="0" borderId="0" xfId="0" applyFont="1" applyAlignment="1">
      <alignment horizontal="center"/>
    </xf>
    <xf numFmtId="2" fontId="42" fillId="0" borderId="44" xfId="0" applyNumberFormat="1" applyFont="1" applyBorder="1" applyAlignment="1"/>
    <xf numFmtId="0" fontId="42" fillId="0" borderId="44" xfId="0" applyFont="1" applyBorder="1" applyAlignment="1">
      <alignment wrapText="1"/>
    </xf>
    <xf numFmtId="0" fontId="43" fillId="0" borderId="44" xfId="0" applyFont="1" applyBorder="1" applyAlignment="1">
      <alignment horizontal="center" vertical="center"/>
    </xf>
    <xf numFmtId="1" fontId="42" fillId="0" borderId="0" xfId="0" applyNumberFormat="1" applyFont="1" applyBorder="1" applyAlignment="1">
      <alignment horizontal="center"/>
    </xf>
    <xf numFmtId="2" fontId="42" fillId="0" borderId="0" xfId="0" applyNumberFormat="1" applyFont="1" applyBorder="1" applyAlignment="1">
      <alignment horizontal="center"/>
    </xf>
    <xf numFmtId="164" fontId="42" fillId="0" borderId="0" xfId="0" applyNumberFormat="1" applyFont="1" applyBorder="1" applyAlignment="1">
      <alignment horizontal="center"/>
    </xf>
    <xf numFmtId="0" fontId="42" fillId="0" borderId="44" xfId="0" applyFont="1" applyFill="1" applyBorder="1" applyAlignment="1">
      <alignment wrapText="1"/>
    </xf>
    <xf numFmtId="2" fontId="18" fillId="0" borderId="44" xfId="0" applyNumberFormat="1" applyFont="1" applyFill="1" applyBorder="1" applyAlignment="1">
      <alignment horizontal="center" vertical="top" wrapText="1"/>
    </xf>
    <xf numFmtId="2" fontId="18" fillId="0" borderId="44" xfId="0" applyNumberFormat="1" applyFont="1" applyBorder="1" applyAlignment="1">
      <alignment horizontal="center" wrapText="1"/>
    </xf>
    <xf numFmtId="0" fontId="18" fillId="0" borderId="45" xfId="0" applyFont="1" applyFill="1" applyBorder="1" applyAlignment="1">
      <alignment wrapText="1"/>
    </xf>
    <xf numFmtId="0" fontId="8" fillId="0" borderId="46" xfId="0" applyFont="1" applyFill="1" applyBorder="1" applyAlignment="1">
      <alignment vertical="top" wrapText="1"/>
    </xf>
    <xf numFmtId="0" fontId="18" fillId="0" borderId="46" xfId="0" applyFont="1" applyFill="1" applyBorder="1" applyAlignment="1">
      <alignment vertical="top" wrapText="1"/>
    </xf>
    <xf numFmtId="0" fontId="18" fillId="0" borderId="45" xfId="0" applyFont="1" applyBorder="1" applyAlignment="1">
      <alignment wrapText="1"/>
    </xf>
    <xf numFmtId="0" fontId="18" fillId="0" borderId="46" xfId="0" applyFont="1" applyBorder="1" applyAlignment="1">
      <alignment wrapText="1"/>
    </xf>
    <xf numFmtId="0" fontId="18" fillId="0" borderId="48" xfId="0" applyFont="1" applyFill="1" applyBorder="1" applyAlignment="1">
      <alignment vertical="top" wrapText="1"/>
    </xf>
    <xf numFmtId="2" fontId="18" fillId="0" borderId="49" xfId="0" applyNumberFormat="1" applyFont="1" applyBorder="1" applyAlignment="1">
      <alignment horizontal="center" wrapText="1"/>
    </xf>
    <xf numFmtId="0" fontId="45" fillId="0" borderId="0" xfId="0" applyFont="1" applyAlignment="1" applyProtection="1"/>
    <xf numFmtId="0" fontId="46" fillId="0" borderId="0" xfId="0" applyFont="1" applyAlignment="1"/>
    <xf numFmtId="2" fontId="42" fillId="0" borderId="44" xfId="0" applyNumberFormat="1" applyFont="1" applyFill="1" applyBorder="1" applyAlignment="1">
      <alignment horizontal="center" vertical="top" wrapText="1"/>
    </xf>
    <xf numFmtId="0" fontId="44" fillId="12" borderId="0" xfId="0" applyFont="1" applyFill="1" applyAlignment="1"/>
    <xf numFmtId="0" fontId="42" fillId="13" borderId="0" xfId="0" applyFont="1" applyFill="1" applyAlignment="1"/>
    <xf numFmtId="0" fontId="42" fillId="0" borderId="0" xfId="0" applyFont="1" applyAlignment="1">
      <alignment vertical="center"/>
    </xf>
    <xf numFmtId="0" fontId="0" fillId="0" borderId="0" xfId="0" applyBorder="1" applyAlignment="1">
      <alignment vertical="center"/>
    </xf>
    <xf numFmtId="2" fontId="18" fillId="0" borderId="44" xfId="0" applyNumberFormat="1" applyFont="1" applyFill="1" applyBorder="1" applyAlignment="1" applyProtection="1">
      <alignment horizontal="center" vertical="center" wrapText="1"/>
    </xf>
    <xf numFmtId="2" fontId="18" fillId="0" borderId="49" xfId="0" applyNumberFormat="1" applyFont="1" applyFill="1" applyBorder="1" applyAlignment="1">
      <alignment horizontal="center" vertical="top" wrapText="1"/>
    </xf>
    <xf numFmtId="2" fontId="18" fillId="0" borderId="44" xfId="0" applyNumberFormat="1" applyFont="1" applyFill="1" applyBorder="1" applyAlignment="1" applyProtection="1">
      <alignment horizontal="center" vertical="top" wrapText="1"/>
    </xf>
    <xf numFmtId="2" fontId="18" fillId="8" borderId="44" xfId="0" applyNumberFormat="1" applyFont="1" applyFill="1" applyBorder="1" applyAlignment="1" applyProtection="1">
      <alignment horizontal="center" vertical="top" wrapText="1"/>
      <protection locked="0"/>
    </xf>
    <xf numFmtId="14" fontId="8" fillId="0" borderId="0" xfId="0" applyNumberFormat="1" applyFont="1" applyFill="1" applyAlignment="1">
      <alignment wrapText="1"/>
    </xf>
    <xf numFmtId="14" fontId="8" fillId="0" borderId="0" xfId="0" applyNumberFormat="1" applyFont="1" applyAlignment="1">
      <alignment wrapText="1"/>
    </xf>
    <xf numFmtId="0" fontId="0" fillId="0" borderId="0" xfId="0" applyFill="1" applyAlignment="1">
      <alignment wrapText="1"/>
    </xf>
    <xf numFmtId="165" fontId="18" fillId="0" borderId="44" xfId="0" applyNumberFormat="1" applyFont="1" applyBorder="1" applyAlignment="1">
      <alignment horizontal="center" wrapText="1"/>
    </xf>
    <xf numFmtId="10" fontId="8" fillId="0" borderId="46" xfId="0" applyNumberFormat="1" applyFont="1" applyFill="1" applyBorder="1" applyAlignment="1">
      <alignment vertical="top" wrapText="1"/>
    </xf>
    <xf numFmtId="10" fontId="18" fillId="8" borderId="44" xfId="0" applyNumberFormat="1" applyFont="1" applyFill="1" applyBorder="1" applyAlignment="1" applyProtection="1">
      <alignment horizontal="center" vertical="top" wrapText="1"/>
      <protection locked="0"/>
    </xf>
    <xf numFmtId="14" fontId="8" fillId="0" borderId="0" xfId="0" applyNumberFormat="1" applyFont="1" applyFill="1" applyAlignment="1"/>
    <xf numFmtId="0" fontId="14" fillId="3" borderId="50" xfId="0" applyFont="1" applyFill="1" applyBorder="1" applyAlignment="1"/>
    <xf numFmtId="0" fontId="0" fillId="3" borderId="51" xfId="0" applyFill="1" applyBorder="1" applyAlignment="1"/>
    <xf numFmtId="0" fontId="8" fillId="3" borderId="21" xfId="0" applyFont="1" applyFill="1" applyBorder="1" applyAlignment="1"/>
    <xf numFmtId="0" fontId="0" fillId="7" borderId="2" xfId="0" applyFill="1" applyBorder="1" applyAlignment="1"/>
    <xf numFmtId="0" fontId="5" fillId="3" borderId="52" xfId="0" applyFont="1" applyFill="1" applyBorder="1" applyAlignment="1" applyProtection="1">
      <alignment horizontal="right"/>
    </xf>
    <xf numFmtId="0" fontId="8" fillId="3" borderId="52" xfId="0" applyFont="1" applyFill="1" applyBorder="1" applyAlignment="1" applyProtection="1">
      <alignment horizontal="right"/>
    </xf>
    <xf numFmtId="0" fontId="0" fillId="3" borderId="21" xfId="0" applyFont="1" applyFill="1" applyBorder="1" applyAlignment="1" applyProtection="1">
      <alignment horizontal="center"/>
      <protection locked="0"/>
    </xf>
    <xf numFmtId="0" fontId="5" fillId="3" borderId="52" xfId="0" applyFont="1" applyFill="1" applyBorder="1" applyAlignment="1" applyProtection="1">
      <alignment horizontal="right" wrapText="1"/>
    </xf>
    <xf numFmtId="0" fontId="19" fillId="3" borderId="0" xfId="0" applyFont="1" applyFill="1" applyBorder="1" applyAlignment="1" applyProtection="1">
      <alignment horizontal="center"/>
      <protection hidden="1"/>
    </xf>
    <xf numFmtId="0" fontId="0" fillId="3" borderId="21" xfId="0" applyFill="1" applyBorder="1" applyAlignment="1" applyProtection="1">
      <protection locked="0"/>
    </xf>
    <xf numFmtId="0" fontId="0" fillId="3" borderId="0" xfId="0" applyFont="1" applyFill="1" applyBorder="1" applyAlignment="1" applyProtection="1">
      <alignment horizontal="center"/>
      <protection locked="0"/>
    </xf>
    <xf numFmtId="0" fontId="0" fillId="3" borderId="0" xfId="0" applyFill="1" applyBorder="1" applyAlignment="1" applyProtection="1"/>
    <xf numFmtId="0" fontId="8" fillId="3" borderId="21" xfId="0" applyFont="1" applyFill="1" applyBorder="1" applyAlignment="1" applyProtection="1">
      <alignment horizontal="left" vertical="center"/>
    </xf>
    <xf numFmtId="0" fontId="11" fillId="3" borderId="4" xfId="0" applyFont="1" applyFill="1" applyBorder="1" applyAlignment="1" applyProtection="1">
      <alignment horizontal="center" vertical="center"/>
    </xf>
    <xf numFmtId="0" fontId="0" fillId="3" borderId="5" xfId="0" applyFill="1" applyBorder="1" applyAlignment="1" applyProtection="1"/>
    <xf numFmtId="0" fontId="0" fillId="3" borderId="21" xfId="0" applyFill="1" applyBorder="1" applyAlignment="1" applyProtection="1">
      <alignment horizontal="left" vertical="center"/>
    </xf>
    <xf numFmtId="0" fontId="0" fillId="3" borderId="21" xfId="0" applyFill="1" applyBorder="1" applyAlignment="1" applyProtection="1"/>
    <xf numFmtId="0" fontId="25" fillId="3" borderId="5" xfId="0" applyFont="1" applyFill="1" applyBorder="1" applyAlignment="1"/>
    <xf numFmtId="0" fontId="8" fillId="3" borderId="21" xfId="0" applyFont="1" applyFill="1" applyBorder="1" applyAlignment="1" applyProtection="1">
      <alignment horizontal="right" vertical="center"/>
    </xf>
    <xf numFmtId="0" fontId="8" fillId="3" borderId="53" xfId="0" applyFont="1" applyFill="1" applyBorder="1" applyAlignment="1" applyProtection="1">
      <alignment horizontal="right" vertical="center"/>
    </xf>
    <xf numFmtId="0" fontId="40" fillId="3" borderId="2" xfId="0" applyFont="1" applyFill="1" applyBorder="1" applyAlignment="1"/>
    <xf numFmtId="0" fontId="28" fillId="7" borderId="2" xfId="0" applyFont="1" applyFill="1" applyBorder="1">
      <alignment vertical="top"/>
    </xf>
    <xf numFmtId="0" fontId="8" fillId="3" borderId="21" xfId="0" applyFont="1" applyFill="1" applyBorder="1" applyAlignment="1" applyProtection="1">
      <alignment horizontal="right"/>
    </xf>
    <xf numFmtId="0" fontId="8" fillId="3" borderId="21" xfId="0" applyFont="1" applyFill="1" applyBorder="1" applyAlignment="1" applyProtection="1">
      <alignment horizontal="right" vertical="center" wrapText="1"/>
    </xf>
    <xf numFmtId="2" fontId="17" fillId="3" borderId="44" xfId="0" applyNumberFormat="1"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xf>
    <xf numFmtId="0" fontId="8" fillId="3" borderId="2" xfId="0" applyFont="1" applyFill="1" applyBorder="1" applyAlignment="1" applyProtection="1">
      <alignment wrapText="1"/>
    </xf>
    <xf numFmtId="0" fontId="0" fillId="7" borderId="4" xfId="0" applyFill="1" applyBorder="1" applyAlignment="1"/>
    <xf numFmtId="0" fontId="0" fillId="7" borderId="5" xfId="0" applyFill="1" applyBorder="1" applyAlignment="1"/>
    <xf numFmtId="0" fontId="11" fillId="7" borderId="21" xfId="0" applyFont="1" applyFill="1" applyBorder="1" applyAlignment="1" applyProtection="1">
      <alignment horizontal="center" wrapText="1"/>
    </xf>
    <xf numFmtId="0" fontId="8" fillId="7" borderId="0" xfId="0" applyFont="1" applyFill="1" applyBorder="1" applyAlignment="1">
      <alignment horizontal="center" vertical="center"/>
    </xf>
    <xf numFmtId="0" fontId="8" fillId="7" borderId="21" xfId="0" applyFont="1" applyFill="1" applyBorder="1" applyAlignment="1" applyProtection="1">
      <alignment horizontal="center" wrapText="1"/>
    </xf>
    <xf numFmtId="0" fontId="8" fillId="7" borderId="21" xfId="0" applyFont="1" applyFill="1" applyBorder="1" applyAlignment="1" applyProtection="1">
      <alignment horizontal="right" wrapText="1"/>
    </xf>
    <xf numFmtId="0" fontId="8" fillId="7" borderId="0" xfId="0" applyFont="1" applyFill="1" applyAlignment="1" applyProtection="1">
      <alignment horizontal="center"/>
    </xf>
    <xf numFmtId="0" fontId="8" fillId="7" borderId="0" xfId="0" applyFont="1" applyFill="1" applyAlignment="1">
      <alignment horizontal="right"/>
    </xf>
    <xf numFmtId="0" fontId="8" fillId="7" borderId="21" xfId="0" applyFont="1" applyFill="1" applyBorder="1" applyAlignment="1" applyProtection="1">
      <alignment horizontal="right"/>
    </xf>
    <xf numFmtId="0" fontId="0" fillId="3" borderId="0" xfId="0" applyFill="1" applyAlignment="1" applyProtection="1">
      <alignment wrapText="1"/>
      <protection locked="0"/>
    </xf>
    <xf numFmtId="0" fontId="0" fillId="7" borderId="0" xfId="0" applyFill="1" applyBorder="1" applyAlignment="1" applyProtection="1">
      <alignment horizontal="center"/>
      <protection locked="0"/>
    </xf>
    <xf numFmtId="0" fontId="0" fillId="7" borderId="21" xfId="0" applyFill="1" applyBorder="1" applyAlignment="1" applyProtection="1">
      <alignment vertical="center"/>
    </xf>
    <xf numFmtId="0" fontId="0" fillId="7" borderId="0" xfId="0" applyFill="1" applyAlignment="1" applyProtection="1"/>
    <xf numFmtId="0" fontId="0" fillId="7" borderId="7" xfId="0" applyFill="1" applyBorder="1" applyAlignment="1" applyProtection="1">
      <alignment vertical="center"/>
    </xf>
    <xf numFmtId="0" fontId="8" fillId="7" borderId="2" xfId="0" applyFont="1" applyFill="1" applyBorder="1" applyAlignment="1" applyProtection="1">
      <alignment horizontal="right"/>
    </xf>
    <xf numFmtId="0" fontId="8" fillId="7" borderId="2" xfId="0" applyFont="1" applyFill="1" applyBorder="1" applyAlignment="1" applyProtection="1">
      <alignment horizontal="center"/>
      <protection locked="0"/>
    </xf>
    <xf numFmtId="0" fontId="0" fillId="7" borderId="4" xfId="0" applyFill="1" applyBorder="1" applyAlignment="1">
      <alignment vertical="center"/>
    </xf>
    <xf numFmtId="0" fontId="8" fillId="7" borderId="5" xfId="0" applyFont="1" applyFill="1" applyBorder="1" applyAlignment="1" applyProtection="1">
      <alignment horizontal="right"/>
      <protection locked="0"/>
    </xf>
    <xf numFmtId="0" fontId="8" fillId="7" borderId="5" xfId="0" applyFont="1" applyFill="1" applyBorder="1" applyAlignment="1" applyProtection="1">
      <alignment horizontal="center"/>
      <protection locked="0"/>
    </xf>
    <xf numFmtId="0" fontId="14" fillId="3" borderId="7" xfId="0" applyFont="1" applyFill="1" applyBorder="1" applyAlignment="1"/>
    <xf numFmtId="0" fontId="8" fillId="7" borderId="2" xfId="0" applyFont="1" applyFill="1" applyBorder="1" applyAlignment="1">
      <alignment horizontal="center"/>
    </xf>
    <xf numFmtId="0" fontId="17" fillId="7" borderId="2" xfId="0" applyFont="1" applyFill="1" applyBorder="1" applyAlignment="1">
      <alignment horizontal="center"/>
    </xf>
    <xf numFmtId="0" fontId="8" fillId="3" borderId="2" xfId="0" applyFont="1" applyFill="1" applyBorder="1" applyAlignment="1">
      <alignment horizontal="center"/>
    </xf>
    <xf numFmtId="0" fontId="8" fillId="3" borderId="2" xfId="0" applyFont="1" applyFill="1" applyBorder="1" applyAlignment="1"/>
    <xf numFmtId="0" fontId="5" fillId="3" borderId="55" xfId="0" applyFont="1" applyFill="1" applyBorder="1" applyAlignment="1" applyProtection="1">
      <alignment horizontal="right"/>
    </xf>
    <xf numFmtId="0" fontId="8" fillId="2" borderId="9" xfId="0" applyFont="1" applyFill="1" applyBorder="1" applyAlignment="1" applyProtection="1">
      <alignment horizontal="right"/>
    </xf>
    <xf numFmtId="0" fontId="8" fillId="3" borderId="18" xfId="0" applyFont="1" applyFill="1" applyBorder="1" applyAlignment="1" applyProtection="1"/>
    <xf numFmtId="0" fontId="8" fillId="3" borderId="5" xfId="0" applyFont="1" applyFill="1" applyBorder="1" applyAlignment="1" applyProtection="1">
      <alignment horizontal="right"/>
    </xf>
    <xf numFmtId="0" fontId="8" fillId="3" borderId="58" xfId="0" applyFont="1" applyFill="1" applyBorder="1" applyAlignment="1" applyProtection="1">
      <alignment horizontal="right"/>
    </xf>
    <xf numFmtId="2" fontId="8" fillId="3" borderId="6" xfId="0" applyNumberFormat="1" applyFont="1" applyFill="1" applyBorder="1" applyAlignment="1" applyProtection="1">
      <alignment horizontal="center"/>
    </xf>
    <xf numFmtId="0" fontId="8" fillId="3" borderId="0" xfId="0" applyFont="1" applyFill="1" applyBorder="1" applyAlignment="1" applyProtection="1">
      <alignment horizontal="right"/>
    </xf>
    <xf numFmtId="0" fontId="8" fillId="3" borderId="10" xfId="0" applyFont="1" applyFill="1" applyBorder="1" applyAlignment="1" applyProtection="1">
      <alignment horizontal="right"/>
    </xf>
    <xf numFmtId="2" fontId="8" fillId="2" borderId="18" xfId="0" applyNumberFormat="1" applyFont="1" applyFill="1" applyBorder="1" applyAlignment="1" applyProtection="1">
      <alignment horizontal="center"/>
    </xf>
    <xf numFmtId="2" fontId="8" fillId="3" borderId="18" xfId="0" applyNumberFormat="1" applyFont="1" applyFill="1" applyBorder="1" applyAlignment="1" applyProtection="1">
      <alignment horizontal="center"/>
    </xf>
    <xf numFmtId="0" fontId="8" fillId="3" borderId="2" xfId="0" applyFont="1" applyFill="1" applyBorder="1" applyAlignment="1" applyProtection="1">
      <alignment horizontal="right"/>
    </xf>
    <xf numFmtId="0" fontId="8" fillId="3" borderId="19" xfId="0" applyFont="1" applyFill="1" applyBorder="1" applyAlignment="1" applyProtection="1">
      <alignment horizontal="right"/>
    </xf>
    <xf numFmtId="2" fontId="8" fillId="2" borderId="8" xfId="0" applyNumberFormat="1" applyFont="1" applyFill="1" applyBorder="1" applyAlignment="1" applyProtection="1">
      <alignment horizontal="center"/>
    </xf>
    <xf numFmtId="2" fontId="8" fillId="2" borderId="6" xfId="0" applyNumberFormat="1" applyFont="1" applyFill="1" applyBorder="1" applyAlignment="1" applyProtection="1">
      <alignment horizontal="center"/>
    </xf>
    <xf numFmtId="2" fontId="8" fillId="3" borderId="59" xfId="0" applyNumberFormat="1" applyFont="1" applyFill="1" applyBorder="1" applyAlignment="1" applyProtection="1">
      <alignment horizontal="center"/>
    </xf>
    <xf numFmtId="2" fontId="8" fillId="3" borderId="8" xfId="0" applyNumberFormat="1" applyFont="1" applyFill="1" applyBorder="1" applyAlignment="1" applyProtection="1">
      <alignment horizontal="center"/>
    </xf>
    <xf numFmtId="0" fontId="5" fillId="3" borderId="52" xfId="0" applyFont="1" applyFill="1" applyBorder="1" applyAlignment="1" applyProtection="1">
      <alignment horizontal="justify"/>
    </xf>
    <xf numFmtId="2" fontId="5" fillId="4" borderId="18" xfId="0" applyNumberFormat="1" applyFont="1" applyFill="1" applyBorder="1" applyAlignment="1" applyProtection="1">
      <alignment horizontal="center"/>
    </xf>
    <xf numFmtId="0" fontId="8" fillId="7" borderId="21" xfId="0" applyFont="1" applyFill="1" applyBorder="1" applyAlignment="1" applyProtection="1">
      <alignment horizontal="center" vertical="center" wrapText="1"/>
    </xf>
    <xf numFmtId="1" fontId="8" fillId="7" borderId="14" xfId="0" applyNumberFormat="1" applyFont="1" applyFill="1" applyBorder="1" applyAlignment="1" applyProtection="1">
      <alignment horizontal="center"/>
    </xf>
    <xf numFmtId="1" fontId="8" fillId="7" borderId="14" xfId="0" applyNumberFormat="1" applyFont="1" applyFill="1" applyBorder="1" applyAlignment="1" applyProtection="1">
      <alignment horizontal="center" vertical="center"/>
    </xf>
    <xf numFmtId="11" fontId="8" fillId="7" borderId="18" xfId="0" applyNumberFormat="1" applyFont="1" applyFill="1" applyBorder="1" applyAlignment="1" applyProtection="1">
      <alignment horizontal="center"/>
    </xf>
    <xf numFmtId="0" fontId="8" fillId="7" borderId="21"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30" xfId="0" applyFont="1" applyFill="1" applyBorder="1" applyAlignment="1" applyProtection="1">
      <alignment horizontal="center" vertical="center"/>
    </xf>
    <xf numFmtId="1" fontId="8" fillId="7" borderId="30" xfId="0" applyNumberFormat="1" applyFont="1" applyFill="1" applyBorder="1" applyAlignment="1" applyProtection="1">
      <alignment horizontal="center"/>
    </xf>
    <xf numFmtId="1" fontId="8" fillId="7" borderId="30" xfId="0" applyNumberFormat="1" applyFont="1" applyFill="1" applyBorder="1" applyAlignment="1" applyProtection="1">
      <alignment horizontal="center" vertical="center"/>
    </xf>
    <xf numFmtId="11" fontId="8" fillId="7" borderId="8" xfId="0" applyNumberFormat="1" applyFont="1" applyFill="1" applyBorder="1" applyAlignment="1" applyProtection="1">
      <alignment horizontal="center"/>
    </xf>
    <xf numFmtId="2" fontId="8" fillId="7" borderId="9" xfId="0" applyNumberFormat="1" applyFont="1" applyFill="1" applyBorder="1" applyAlignment="1" applyProtection="1">
      <alignment horizontal="center" vertical="center"/>
    </xf>
    <xf numFmtId="2" fontId="8" fillId="7" borderId="60" xfId="0" applyNumberFormat="1" applyFont="1" applyFill="1" applyBorder="1" applyAlignment="1" applyProtection="1">
      <alignment horizontal="center" vertical="center"/>
    </xf>
    <xf numFmtId="0" fontId="8" fillId="3" borderId="52" xfId="0" applyFont="1" applyFill="1" applyBorder="1" applyAlignment="1" applyProtection="1">
      <alignment horizontal="left"/>
    </xf>
    <xf numFmtId="0" fontId="8" fillId="14" borderId="6" xfId="0" applyFont="1" applyFill="1" applyBorder="1" applyAlignment="1" applyProtection="1">
      <alignment horizontal="center"/>
      <protection locked="0"/>
    </xf>
    <xf numFmtId="0" fontId="8" fillId="14" borderId="56" xfId="0" applyFont="1" applyFill="1" applyBorder="1" applyAlignment="1" applyProtection="1">
      <alignment horizontal="center"/>
      <protection locked="0"/>
    </xf>
    <xf numFmtId="0" fontId="8" fillId="15" borderId="4" xfId="0" applyFont="1" applyFill="1" applyBorder="1" applyAlignment="1" applyProtection="1">
      <alignment horizontal="center"/>
    </xf>
    <xf numFmtId="0" fontId="8" fillId="15" borderId="61" xfId="0" applyFont="1" applyFill="1" applyBorder="1" applyAlignment="1" applyProtection="1">
      <alignment horizontal="center"/>
    </xf>
    <xf numFmtId="0" fontId="8" fillId="15" borderId="6" xfId="0" applyFont="1" applyFill="1" applyBorder="1" applyAlignment="1" applyProtection="1">
      <alignment horizontal="center"/>
    </xf>
    <xf numFmtId="0" fontId="8" fillId="15" borderId="62" xfId="0" applyFont="1" applyFill="1" applyBorder="1" applyAlignment="1" applyProtection="1">
      <alignment horizontal="center"/>
    </xf>
    <xf numFmtId="0" fontId="8" fillId="15" borderId="15" xfId="0" applyFont="1" applyFill="1" applyBorder="1" applyAlignment="1" applyProtection="1">
      <alignment horizontal="center"/>
    </xf>
    <xf numFmtId="0" fontId="8" fillId="15" borderId="56" xfId="0" applyFont="1" applyFill="1" applyBorder="1" applyAlignment="1" applyProtection="1">
      <alignment horizontal="center"/>
    </xf>
    <xf numFmtId="0" fontId="8" fillId="14" borderId="63" xfId="0" applyFont="1" applyFill="1" applyBorder="1" applyAlignment="1" applyProtection="1">
      <alignment horizontal="center"/>
    </xf>
    <xf numFmtId="0" fontId="8" fillId="14" borderId="15" xfId="0" applyFont="1" applyFill="1" applyBorder="1" applyAlignment="1" applyProtection="1">
      <alignment horizontal="center"/>
    </xf>
    <xf numFmtId="0" fontId="8" fillId="14" borderId="64" xfId="0" applyFont="1" applyFill="1" applyBorder="1" applyAlignment="1" applyProtection="1">
      <alignment horizontal="center"/>
      <protection locked="0"/>
    </xf>
    <xf numFmtId="0" fontId="8" fillId="14" borderId="65" xfId="0" applyFont="1" applyFill="1" applyBorder="1" applyAlignment="1" applyProtection="1">
      <alignment horizontal="center"/>
      <protection locked="0"/>
    </xf>
    <xf numFmtId="2" fontId="8" fillId="3" borderId="14" xfId="0" applyNumberFormat="1" applyFont="1" applyFill="1" applyBorder="1" applyAlignment="1" applyProtection="1">
      <alignment horizontal="center"/>
    </xf>
    <xf numFmtId="2" fontId="8" fillId="3" borderId="30" xfId="0" applyNumberFormat="1" applyFont="1" applyFill="1" applyBorder="1" applyAlignment="1" applyProtection="1">
      <alignment horizontal="center"/>
    </xf>
    <xf numFmtId="2" fontId="5" fillId="4" borderId="66" xfId="0" applyNumberFormat="1" applyFont="1" applyFill="1" applyBorder="1" applyAlignment="1" applyProtection="1">
      <alignment horizontal="center"/>
      <protection locked="0"/>
    </xf>
    <xf numFmtId="0" fontId="8" fillId="7" borderId="13" xfId="0" applyFont="1" applyFill="1" applyBorder="1" applyAlignment="1" applyProtection="1">
      <alignment horizontal="center"/>
    </xf>
    <xf numFmtId="0" fontId="8" fillId="7" borderId="52" xfId="0" applyFont="1" applyFill="1" applyBorder="1" applyAlignment="1" applyProtection="1"/>
    <xf numFmtId="0" fontId="8" fillId="7" borderId="10" xfId="0" applyFont="1" applyFill="1" applyBorder="1" applyAlignment="1" applyProtection="1">
      <alignment horizontal="center"/>
    </xf>
    <xf numFmtId="1" fontId="8" fillId="3" borderId="14" xfId="0" applyNumberFormat="1" applyFont="1" applyFill="1" applyBorder="1" applyAlignment="1" applyProtection="1">
      <alignment horizontal="center"/>
    </xf>
    <xf numFmtId="11" fontId="8" fillId="3" borderId="18" xfId="0" applyNumberFormat="1" applyFont="1" applyFill="1" applyBorder="1" applyAlignment="1" applyProtection="1">
      <alignment horizontal="center"/>
    </xf>
    <xf numFmtId="0" fontId="8" fillId="7" borderId="53" xfId="0" applyFont="1" applyFill="1" applyBorder="1" applyAlignment="1" applyProtection="1"/>
    <xf numFmtId="1" fontId="8" fillId="3" borderId="15" xfId="0" applyNumberFormat="1" applyFont="1" applyFill="1" applyBorder="1" applyAlignment="1" applyProtection="1">
      <alignment horizontal="center"/>
    </xf>
    <xf numFmtId="1" fontId="8" fillId="7" borderId="15" xfId="0" applyNumberFormat="1" applyFont="1" applyFill="1" applyBorder="1" applyAlignment="1" applyProtection="1">
      <alignment horizontal="center"/>
    </xf>
    <xf numFmtId="11" fontId="8" fillId="3" borderId="56" xfId="0" applyNumberFormat="1" applyFont="1" applyFill="1" applyBorder="1" applyAlignment="1" applyProtection="1">
      <alignment horizontal="center"/>
    </xf>
    <xf numFmtId="0" fontId="8" fillId="7" borderId="67" xfId="0" applyFont="1" applyFill="1" applyBorder="1" applyAlignment="1" applyProtection="1"/>
    <xf numFmtId="0" fontId="8" fillId="7" borderId="19" xfId="0" applyFont="1" applyFill="1" applyBorder="1" applyAlignment="1" applyProtection="1">
      <alignment horizontal="center"/>
    </xf>
    <xf numFmtId="1" fontId="8" fillId="3" borderId="30" xfId="0" applyNumberFormat="1" applyFont="1" applyFill="1" applyBorder="1" applyAlignment="1" applyProtection="1">
      <alignment horizontal="center"/>
    </xf>
    <xf numFmtId="11" fontId="8" fillId="3" borderId="8" xfId="0" applyNumberFormat="1" applyFont="1" applyFill="1" applyBorder="1" applyAlignment="1" applyProtection="1">
      <alignment horizontal="center"/>
    </xf>
    <xf numFmtId="0" fontId="0" fillId="3" borderId="0" xfId="0" applyFont="1" applyFill="1" applyAlignment="1" applyProtection="1">
      <alignment horizontal="center"/>
    </xf>
    <xf numFmtId="0" fontId="8" fillId="7" borderId="9" xfId="0" applyFont="1" applyFill="1" applyBorder="1" applyAlignment="1" applyProtection="1">
      <alignment horizontal="center"/>
    </xf>
    <xf numFmtId="0" fontId="8" fillId="7" borderId="12" xfId="0" applyFont="1" applyFill="1" applyBorder="1" applyAlignment="1" applyProtection="1">
      <alignment horizontal="center"/>
    </xf>
    <xf numFmtId="0" fontId="8" fillId="7" borderId="0" xfId="0" applyFont="1" applyFill="1" applyBorder="1" applyAlignment="1" applyProtection="1">
      <alignment horizontal="center"/>
    </xf>
    <xf numFmtId="2" fontId="8" fillId="3" borderId="16" xfId="0" applyNumberFormat="1" applyFont="1" applyFill="1" applyBorder="1" applyAlignment="1" applyProtection="1">
      <alignment horizontal="center"/>
    </xf>
    <xf numFmtId="2" fontId="8" fillId="3" borderId="27" xfId="0" applyNumberFormat="1" applyFont="1" applyFill="1" applyBorder="1" applyAlignment="1" applyProtection="1">
      <alignment horizontal="center"/>
    </xf>
    <xf numFmtId="1" fontId="8" fillId="7" borderId="9" xfId="0" applyNumberFormat="1" applyFont="1" applyFill="1" applyBorder="1" applyAlignment="1" applyProtection="1">
      <alignment horizontal="center"/>
    </xf>
    <xf numFmtId="2" fontId="8" fillId="3" borderId="0" xfId="0" applyNumberFormat="1" applyFont="1" applyFill="1" applyBorder="1" applyAlignment="1" applyProtection="1">
      <alignment horizontal="center"/>
    </xf>
    <xf numFmtId="2" fontId="8" fillId="3" borderId="15" xfId="0" applyNumberFormat="1" applyFont="1" applyFill="1" applyBorder="1" applyAlignment="1" applyProtection="1">
      <alignment horizontal="center"/>
    </xf>
    <xf numFmtId="2" fontId="8" fillId="3" borderId="12" xfId="0" applyNumberFormat="1" applyFont="1" applyFill="1" applyBorder="1" applyAlignment="1" applyProtection="1">
      <alignment horizontal="center"/>
    </xf>
    <xf numFmtId="0" fontId="8" fillId="7" borderId="2" xfId="0" applyFont="1" applyFill="1" applyBorder="1" applyAlignment="1" applyProtection="1">
      <alignment horizontal="center"/>
    </xf>
    <xf numFmtId="2" fontId="8" fillId="3" borderId="2" xfId="0" applyNumberFormat="1" applyFont="1" applyFill="1" applyBorder="1" applyAlignment="1" applyProtection="1">
      <alignment horizontal="center"/>
    </xf>
    <xf numFmtId="0" fontId="5" fillId="7" borderId="0" xfId="0" applyFont="1" applyFill="1" applyBorder="1" applyAlignment="1" applyProtection="1">
      <alignment horizontal="justify"/>
    </xf>
    <xf numFmtId="1" fontId="8" fillId="7" borderId="0" xfId="0" applyNumberFormat="1" applyFont="1" applyFill="1" applyBorder="1" applyAlignment="1" applyProtection="1">
      <alignment horizontal="center"/>
    </xf>
    <xf numFmtId="0" fontId="10" fillId="7" borderId="0" xfId="0" applyFont="1" applyFill="1" applyBorder="1" applyAlignment="1" applyProtection="1"/>
    <xf numFmtId="0" fontId="5" fillId="16" borderId="68" xfId="0" applyFont="1" applyFill="1" applyBorder="1" applyAlignment="1" applyProtection="1">
      <alignment horizontal="justify"/>
    </xf>
    <xf numFmtId="0" fontId="5" fillId="16" borderId="52" xfId="0" applyFont="1" applyFill="1" applyBorder="1" applyAlignment="1" applyProtection="1">
      <alignment horizontal="justify"/>
    </xf>
    <xf numFmtId="0" fontId="8" fillId="16" borderId="52" xfId="0" applyFont="1" applyFill="1" applyBorder="1" applyAlignment="1" applyProtection="1"/>
    <xf numFmtId="0" fontId="8" fillId="16" borderId="67" xfId="0" applyFont="1" applyFill="1" applyBorder="1" applyAlignment="1" applyProtection="1"/>
    <xf numFmtId="2" fontId="0" fillId="3" borderId="44" xfId="0" applyNumberFormat="1" applyFill="1" applyBorder="1" applyAlignment="1" applyProtection="1">
      <protection locked="0"/>
    </xf>
    <xf numFmtId="0" fontId="10" fillId="3" borderId="0" xfId="0" applyFont="1" applyFill="1" applyAlignment="1"/>
    <xf numFmtId="0" fontId="17" fillId="7" borderId="0" xfId="0" applyFont="1" applyFill="1" applyBorder="1" applyAlignment="1"/>
    <xf numFmtId="0" fontId="31" fillId="3" borderId="0" xfId="0" applyFont="1" applyFill="1" applyAlignment="1" applyProtection="1">
      <protection locked="0"/>
    </xf>
    <xf numFmtId="0" fontId="17" fillId="3" borderId="0" xfId="0" applyFont="1" applyFill="1" applyAlignment="1"/>
    <xf numFmtId="0" fontId="17" fillId="0" borderId="0" xfId="0" applyFont="1" applyAlignment="1"/>
    <xf numFmtId="0" fontId="5" fillId="7" borderId="44" xfId="0" applyFont="1" applyFill="1" applyBorder="1" applyAlignment="1" applyProtection="1">
      <alignment horizontal="left" wrapText="1"/>
    </xf>
    <xf numFmtId="1" fontId="17" fillId="7" borderId="44" xfId="0" applyNumberFormat="1" applyFont="1" applyFill="1" applyBorder="1" applyAlignment="1" applyProtection="1">
      <alignment horizontal="center"/>
      <protection locked="0"/>
    </xf>
    <xf numFmtId="0" fontId="5" fillId="7" borderId="44" xfId="0" applyFont="1" applyFill="1" applyBorder="1" applyAlignment="1" applyProtection="1">
      <alignment horizontal="left"/>
    </xf>
    <xf numFmtId="0" fontId="8" fillId="7" borderId="44" xfId="0" applyFont="1" applyFill="1" applyBorder="1" applyAlignment="1" applyProtection="1">
      <alignment horizontal="left" wrapText="1"/>
    </xf>
    <xf numFmtId="0" fontId="17" fillId="7" borderId="44" xfId="0" applyFont="1" applyFill="1" applyBorder="1" applyAlignment="1" applyProtection="1">
      <alignment horizontal="center" vertical="center"/>
      <protection locked="0"/>
    </xf>
    <xf numFmtId="1" fontId="8" fillId="7" borderId="21" xfId="0" applyNumberFormat="1" applyFont="1" applyFill="1" applyBorder="1" applyAlignment="1" applyProtection="1">
      <alignment horizontal="center" vertical="center"/>
    </xf>
    <xf numFmtId="0" fontId="8" fillId="15" borderId="55" xfId="0" applyFont="1" applyFill="1" applyBorder="1" applyAlignment="1" applyProtection="1">
      <alignment horizontal="center"/>
    </xf>
    <xf numFmtId="0" fontId="8" fillId="15" borderId="58" xfId="0" applyFont="1" applyFill="1" applyBorder="1" applyAlignment="1" applyProtection="1">
      <alignment horizontal="center"/>
    </xf>
    <xf numFmtId="0" fontId="8" fillId="14" borderId="61" xfId="0" applyFont="1" applyFill="1" applyBorder="1" applyAlignment="1" applyProtection="1">
      <alignment horizontal="center"/>
    </xf>
    <xf numFmtId="0" fontId="8" fillId="14" borderId="6" xfId="0" applyFont="1" applyFill="1" applyBorder="1" applyAlignment="1" applyProtection="1">
      <alignment horizontal="center"/>
    </xf>
    <xf numFmtId="0" fontId="8" fillId="15" borderId="53" xfId="0" applyFont="1" applyFill="1" applyBorder="1" applyAlignment="1" applyProtection="1">
      <alignment horizontal="center"/>
    </xf>
    <xf numFmtId="0" fontId="8" fillId="15" borderId="13" xfId="0" applyFont="1" applyFill="1" applyBorder="1" applyAlignment="1" applyProtection="1">
      <alignment horizontal="center"/>
    </xf>
    <xf numFmtId="0" fontId="8" fillId="14" borderId="56" xfId="0" applyFont="1" applyFill="1" applyBorder="1" applyAlignment="1" applyProtection="1">
      <alignment horizontal="center"/>
    </xf>
    <xf numFmtId="0" fontId="8" fillId="15" borderId="5" xfId="0" applyFont="1" applyFill="1" applyBorder="1" applyAlignment="1" applyProtection="1">
      <alignment horizontal="center"/>
    </xf>
    <xf numFmtId="0" fontId="8" fillId="17" borderId="58" xfId="0" applyFont="1" applyFill="1" applyBorder="1" applyAlignment="1" applyProtection="1">
      <alignment horizontal="center"/>
    </xf>
    <xf numFmtId="0" fontId="8" fillId="15" borderId="12" xfId="0" applyFont="1" applyFill="1" applyBorder="1" applyAlignment="1" applyProtection="1">
      <alignment horizontal="center"/>
    </xf>
    <xf numFmtId="0" fontId="8" fillId="14" borderId="13" xfId="0" applyFont="1" applyFill="1" applyBorder="1" applyAlignment="1" applyProtection="1">
      <alignment horizontal="center"/>
    </xf>
    <xf numFmtId="0" fontId="24" fillId="3" borderId="69" xfId="0" applyFont="1" applyFill="1" applyBorder="1" applyAlignment="1" applyProtection="1">
      <protection locked="0"/>
    </xf>
    <xf numFmtId="0" fontId="24" fillId="3" borderId="69" xfId="0" applyFont="1" applyFill="1" applyBorder="1" applyAlignment="1" applyProtection="1">
      <alignment vertical="top" wrapText="1"/>
      <protection locked="0"/>
    </xf>
    <xf numFmtId="0" fontId="24" fillId="7" borderId="69" xfId="0" applyFont="1" applyFill="1" applyBorder="1" applyAlignment="1" applyProtection="1">
      <alignment horizontal="left" wrapText="1"/>
      <protection locked="0"/>
    </xf>
    <xf numFmtId="0" fontId="0" fillId="3" borderId="26" xfId="0" applyFill="1" applyBorder="1" applyAlignment="1"/>
    <xf numFmtId="0" fontId="24" fillId="3" borderId="70" xfId="0" applyFont="1" applyFill="1" applyBorder="1" applyAlignment="1" applyProtection="1">
      <protection locked="0"/>
    </xf>
    <xf numFmtId="0" fontId="24" fillId="3" borderId="71" xfId="0" applyFont="1" applyFill="1" applyBorder="1" applyAlignment="1" applyProtection="1">
      <protection locked="0"/>
    </xf>
    <xf numFmtId="0" fontId="0" fillId="0" borderId="0" xfId="0" applyAlignment="1" applyProtection="1">
      <alignment horizontal="left" wrapText="1"/>
    </xf>
    <xf numFmtId="2" fontId="0" fillId="0" borderId="0" xfId="0" applyNumberFormat="1" applyAlignment="1" applyProtection="1">
      <protection locked="0"/>
    </xf>
    <xf numFmtId="0" fontId="8" fillId="3" borderId="5" xfId="0" applyFont="1" applyFill="1" applyBorder="1" applyAlignment="1"/>
    <xf numFmtId="10" fontId="8" fillId="3" borderId="0" xfId="0" applyNumberFormat="1" applyFont="1" applyFill="1" applyBorder="1" applyAlignment="1">
      <alignment horizontal="center"/>
    </xf>
    <xf numFmtId="2" fontId="8" fillId="3" borderId="0" xfId="0" applyNumberFormat="1" applyFont="1" applyFill="1" applyBorder="1" applyAlignment="1">
      <alignment horizontal="center"/>
    </xf>
    <xf numFmtId="9" fontId="8" fillId="3" borderId="2" xfId="0" applyNumberFormat="1" applyFont="1" applyFill="1" applyBorder="1" applyAlignment="1">
      <alignment horizontal="center"/>
    </xf>
    <xf numFmtId="0" fontId="8" fillId="14" borderId="39" xfId="0" applyFont="1" applyFill="1" applyBorder="1" applyAlignment="1"/>
    <xf numFmtId="0" fontId="0" fillId="14" borderId="20" xfId="0" applyFill="1" applyBorder="1" applyAlignment="1"/>
    <xf numFmtId="0" fontId="0" fillId="14" borderId="29" xfId="0" applyFill="1" applyBorder="1" applyAlignment="1"/>
    <xf numFmtId="2" fontId="8" fillId="3" borderId="66" xfId="0" applyNumberFormat="1" applyFont="1" applyFill="1" applyBorder="1" applyAlignment="1" applyProtection="1">
      <alignment horizontal="center"/>
    </xf>
    <xf numFmtId="1" fontId="8" fillId="7" borderId="0" xfId="0" applyNumberFormat="1" applyFont="1" applyFill="1" applyBorder="1" applyAlignment="1" applyProtection="1">
      <alignment horizontal="center" vertical="center"/>
    </xf>
    <xf numFmtId="1" fontId="17" fillId="14" borderId="72" xfId="0" applyNumberFormat="1" applyFont="1" applyFill="1" applyBorder="1" applyAlignment="1" applyProtection="1">
      <alignment horizontal="center" vertical="center"/>
      <protection locked="0"/>
    </xf>
    <xf numFmtId="0" fontId="0" fillId="3" borderId="0" xfId="0" applyFill="1" applyAlignment="1" applyProtection="1">
      <alignment horizontal="center" vertical="center"/>
    </xf>
    <xf numFmtId="0" fontId="10" fillId="7" borderId="44" xfId="0" applyFont="1" applyFill="1" applyBorder="1" applyAlignment="1" applyProtection="1">
      <alignment wrapText="1"/>
      <protection locked="0"/>
    </xf>
    <xf numFmtId="0" fontId="0" fillId="3" borderId="44" xfId="0" applyFill="1" applyBorder="1" applyAlignment="1"/>
    <xf numFmtId="0" fontId="0" fillId="0" borderId="0" xfId="0" applyFill="1" applyAlignment="1" applyProtection="1">
      <alignment horizontal="center"/>
    </xf>
    <xf numFmtId="0" fontId="8" fillId="7" borderId="0" xfId="0" applyFont="1" applyFill="1" applyAlignment="1" applyProtection="1">
      <alignment wrapText="1"/>
      <protection locked="0"/>
    </xf>
    <xf numFmtId="10" fontId="17" fillId="8" borderId="44" xfId="0" applyNumberFormat="1" applyFont="1" applyFill="1" applyBorder="1" applyAlignment="1" applyProtection="1">
      <alignment horizontal="center"/>
      <protection locked="0"/>
    </xf>
    <xf numFmtId="10" fontId="18" fillId="8" borderId="31" xfId="0" applyNumberFormat="1" applyFont="1" applyFill="1" applyBorder="1" applyAlignment="1" applyProtection="1">
      <alignment horizontal="center" vertical="top" wrapText="1"/>
      <protection locked="0"/>
    </xf>
    <xf numFmtId="0" fontId="8" fillId="0" borderId="15" xfId="0" applyFont="1" applyFill="1" applyBorder="1" applyAlignment="1">
      <alignment horizontal="center"/>
    </xf>
    <xf numFmtId="0" fontId="8" fillId="0" borderId="11" xfId="0" applyFont="1" applyFill="1" applyBorder="1" applyAlignment="1">
      <alignment horizontal="center"/>
    </xf>
    <xf numFmtId="0" fontId="18" fillId="0" borderId="48" xfId="0" applyFont="1" applyBorder="1" applyAlignment="1">
      <alignment wrapText="1"/>
    </xf>
    <xf numFmtId="2" fontId="18" fillId="3" borderId="16" xfId="0" applyNumberFormat="1" applyFont="1" applyFill="1" applyBorder="1" applyAlignment="1" applyProtection="1">
      <alignment horizontal="center" vertical="center"/>
    </xf>
    <xf numFmtId="0" fontId="30" fillId="3" borderId="0" xfId="0" applyFont="1" applyFill="1" applyBorder="1" applyAlignment="1" applyProtection="1">
      <protection locked="0"/>
    </xf>
    <xf numFmtId="0" fontId="30" fillId="3" borderId="62" xfId="0" applyFont="1" applyFill="1" applyBorder="1" applyAlignment="1" applyProtection="1">
      <protection locked="0"/>
    </xf>
    <xf numFmtId="0" fontId="8" fillId="14" borderId="62" xfId="0" applyFont="1" applyFill="1" applyBorder="1" applyAlignment="1" applyProtection="1"/>
    <xf numFmtId="0" fontId="8" fillId="14" borderId="12" xfId="0" applyFont="1" applyFill="1" applyBorder="1" applyAlignment="1"/>
    <xf numFmtId="0" fontId="26" fillId="14" borderId="0" xfId="0" applyFont="1" applyFill="1" applyAlignment="1">
      <alignment wrapText="1"/>
    </xf>
    <xf numFmtId="0" fontId="26" fillId="14" borderId="0" xfId="0" applyFont="1" applyFill="1" applyBorder="1" applyAlignment="1">
      <alignment wrapText="1"/>
    </xf>
    <xf numFmtId="0" fontId="8" fillId="14" borderId="44" xfId="0" applyFont="1" applyFill="1" applyBorder="1" applyAlignment="1"/>
    <xf numFmtId="0" fontId="0" fillId="7" borderId="2" xfId="0" applyFont="1" applyFill="1" applyBorder="1" applyAlignment="1" applyProtection="1">
      <alignment horizontal="center"/>
      <protection locked="0"/>
    </xf>
    <xf numFmtId="0" fontId="24" fillId="7" borderId="71" xfId="0" applyFont="1" applyFill="1" applyBorder="1" applyAlignment="1" applyProtection="1">
      <protection locked="0"/>
    </xf>
    <xf numFmtId="0" fontId="24" fillId="3" borderId="73" xfId="0" applyFont="1" applyFill="1" applyBorder="1" applyAlignment="1" applyProtection="1">
      <protection locked="0"/>
    </xf>
    <xf numFmtId="0" fontId="17" fillId="18" borderId="46" xfId="0" applyFont="1" applyFill="1" applyBorder="1" applyAlignment="1" applyProtection="1">
      <alignment horizontal="center"/>
      <protection locked="0"/>
    </xf>
    <xf numFmtId="0" fontId="8" fillId="14" borderId="0" xfId="0" applyFont="1" applyFill="1" applyBorder="1" applyAlignment="1">
      <alignment wrapText="1"/>
    </xf>
    <xf numFmtId="2" fontId="17" fillId="0" borderId="44" xfId="0" applyNumberFormat="1" applyFont="1" applyFill="1" applyBorder="1" applyAlignment="1" applyProtection="1">
      <alignment horizontal="center" vertical="center"/>
      <protection locked="0"/>
    </xf>
    <xf numFmtId="2" fontId="17" fillId="0" borderId="15" xfId="0" applyNumberFormat="1" applyFont="1" applyFill="1" applyBorder="1" applyAlignment="1">
      <alignment horizontal="center"/>
    </xf>
    <xf numFmtId="0" fontId="17" fillId="0" borderId="74" xfId="0" applyFont="1" applyFill="1" applyBorder="1" applyAlignment="1" applyProtection="1">
      <alignment horizontal="center"/>
    </xf>
    <xf numFmtId="2" fontId="17" fillId="0" borderId="75" xfId="0" applyNumberFormat="1" applyFont="1" applyFill="1" applyBorder="1" applyAlignment="1">
      <alignment horizontal="center"/>
    </xf>
    <xf numFmtId="2" fontId="17" fillId="0" borderId="44" xfId="8" applyNumberFormat="1" applyFont="1" applyFill="1" applyBorder="1" applyAlignment="1">
      <alignment horizontal="center"/>
    </xf>
    <xf numFmtId="2" fontId="17" fillId="0" borderId="44" xfId="0" applyNumberFormat="1" applyFont="1" applyFill="1" applyBorder="1" applyAlignment="1">
      <alignment horizontal="center"/>
    </xf>
    <xf numFmtId="0" fontId="0" fillId="7" borderId="21" xfId="0" applyFill="1" applyBorder="1" applyAlignment="1"/>
    <xf numFmtId="0" fontId="0" fillId="7" borderId="62" xfId="0" applyFill="1" applyBorder="1" applyAlignment="1"/>
    <xf numFmtId="0" fontId="0" fillId="7" borderId="7" xfId="0" applyFill="1" applyBorder="1" applyAlignment="1"/>
    <xf numFmtId="0" fontId="0" fillId="3" borderId="52" xfId="0" applyFill="1" applyBorder="1" applyAlignment="1">
      <alignment horizontal="right"/>
    </xf>
    <xf numFmtId="0" fontId="0" fillId="3" borderId="67" xfId="0" applyFill="1" applyBorder="1" applyAlignment="1">
      <alignment horizontal="right"/>
    </xf>
    <xf numFmtId="0" fontId="10" fillId="7" borderId="8" xfId="0" applyFont="1" applyFill="1" applyBorder="1" applyAlignment="1"/>
    <xf numFmtId="0" fontId="17" fillId="7" borderId="58" xfId="0" applyFont="1" applyFill="1" applyBorder="1" applyAlignment="1">
      <alignment horizontal="right"/>
    </xf>
    <xf numFmtId="0" fontId="17" fillId="7" borderId="10" xfId="0" applyFont="1" applyFill="1" applyBorder="1" applyAlignment="1">
      <alignment horizontal="right"/>
    </xf>
    <xf numFmtId="0" fontId="17" fillId="7" borderId="13" xfId="0" applyFont="1" applyFill="1" applyBorder="1" applyAlignment="1">
      <alignment horizontal="right"/>
    </xf>
    <xf numFmtId="0" fontId="17" fillId="7" borderId="10" xfId="8" applyFont="1" applyFill="1" applyBorder="1" applyAlignment="1">
      <alignment horizontal="right"/>
    </xf>
    <xf numFmtId="0" fontId="22" fillId="7" borderId="31" xfId="0" applyFont="1" applyFill="1" applyBorder="1" applyAlignment="1"/>
    <xf numFmtId="1" fontId="48" fillId="7" borderId="23" xfId="0" applyNumberFormat="1" applyFont="1" applyFill="1" applyBorder="1" applyAlignment="1">
      <alignment horizontal="center"/>
    </xf>
    <xf numFmtId="2" fontId="8" fillId="3" borderId="0" xfId="0" applyNumberFormat="1" applyFont="1" applyFill="1" applyBorder="1" applyAlignment="1" applyProtection="1">
      <alignment horizontal="center"/>
      <protection locked="0"/>
    </xf>
    <xf numFmtId="2" fontId="17" fillId="19" borderId="44" xfId="0" applyNumberFormat="1" applyFont="1" applyFill="1" applyBorder="1" applyAlignment="1" applyProtection="1">
      <alignment horizontal="center"/>
      <protection locked="0"/>
    </xf>
    <xf numFmtId="2" fontId="17" fillId="9" borderId="44" xfId="0" applyNumberFormat="1" applyFont="1" applyFill="1" applyBorder="1" applyAlignment="1" applyProtection="1">
      <alignment horizontal="center"/>
      <protection locked="0"/>
    </xf>
    <xf numFmtId="2" fontId="17" fillId="9" borderId="44" xfId="0" applyNumberFormat="1" applyFont="1" applyFill="1" applyBorder="1" applyAlignment="1" applyProtection="1">
      <alignment horizontal="center" vertical="center"/>
      <protection locked="0"/>
    </xf>
    <xf numFmtId="2" fontId="17" fillId="9" borderId="46" xfId="0" applyNumberFormat="1" applyFont="1" applyFill="1" applyBorder="1" applyAlignment="1" applyProtection="1">
      <alignment horizontal="center"/>
      <protection locked="0"/>
    </xf>
    <xf numFmtId="2" fontId="17" fillId="19" borderId="46" xfId="0" applyNumberFormat="1" applyFont="1" applyFill="1" applyBorder="1" applyAlignment="1" applyProtection="1">
      <alignment horizontal="center"/>
      <protection locked="0"/>
    </xf>
    <xf numFmtId="0" fontId="45" fillId="3" borderId="0" xfId="0" applyFont="1" applyFill="1" applyBorder="1" applyAlignment="1">
      <alignment vertical="center" wrapText="1"/>
    </xf>
    <xf numFmtId="0" fontId="8" fillId="7" borderId="0" xfId="0" applyFont="1" applyFill="1" applyBorder="1" applyAlignment="1" applyProtection="1">
      <alignment horizontal="center" vertical="center"/>
    </xf>
    <xf numFmtId="11" fontId="8" fillId="7" borderId="0" xfId="0" applyNumberFormat="1" applyFont="1" applyFill="1" applyBorder="1" applyAlignment="1" applyProtection="1">
      <alignment horizontal="center"/>
    </xf>
    <xf numFmtId="1" fontId="8" fillId="7" borderId="10" xfId="0" applyNumberFormat="1" applyFont="1" applyFill="1" applyBorder="1" applyAlignment="1" applyProtection="1">
      <alignment horizontal="center"/>
    </xf>
    <xf numFmtId="0" fontId="8" fillId="7" borderId="0" xfId="0" applyFont="1" applyFill="1" applyBorder="1" applyAlignment="1" applyProtection="1"/>
    <xf numFmtId="2" fontId="18" fillId="8" borderId="31" xfId="0" applyNumberFormat="1" applyFont="1" applyFill="1" applyBorder="1" applyAlignment="1" applyProtection="1">
      <alignment horizontal="center" vertical="top" wrapText="1"/>
      <protection locked="0"/>
    </xf>
    <xf numFmtId="0" fontId="17" fillId="7" borderId="44" xfId="0" applyFont="1" applyFill="1" applyBorder="1" applyAlignment="1" applyProtection="1">
      <alignment horizontal="center"/>
      <protection locked="0"/>
    </xf>
    <xf numFmtId="2" fontId="5" fillId="4" borderId="9" xfId="0" applyNumberFormat="1" applyFont="1" applyFill="1" applyBorder="1" applyAlignment="1" applyProtection="1">
      <alignment horizontal="center"/>
    </xf>
    <xf numFmtId="2" fontId="5" fillId="4" borderId="59" xfId="0" applyNumberFormat="1" applyFont="1" applyFill="1" applyBorder="1" applyAlignment="1" applyProtection="1">
      <alignment horizontal="center"/>
    </xf>
    <xf numFmtId="2" fontId="5" fillId="4" borderId="2" xfId="0" applyNumberFormat="1" applyFont="1" applyFill="1" applyBorder="1" applyAlignment="1" applyProtection="1">
      <alignment horizontal="center"/>
    </xf>
    <xf numFmtId="0" fontId="8" fillId="15" borderId="64" xfId="0" applyFont="1" applyFill="1" applyBorder="1" applyAlignment="1" applyProtection="1">
      <alignment horizontal="center"/>
    </xf>
    <xf numFmtId="0" fontId="8" fillId="15" borderId="17" xfId="0" applyFont="1" applyFill="1" applyBorder="1" applyAlignment="1" applyProtection="1">
      <alignment horizontal="center"/>
    </xf>
    <xf numFmtId="0" fontId="8" fillId="15" borderId="80" xfId="0" applyFont="1" applyFill="1" applyBorder="1" applyAlignment="1" applyProtection="1">
      <alignment horizontal="center"/>
    </xf>
    <xf numFmtId="0" fontId="8" fillId="14" borderId="11" xfId="0" applyFont="1" applyFill="1" applyBorder="1" applyAlignment="1" applyProtection="1">
      <alignment horizontal="right"/>
    </xf>
    <xf numFmtId="0" fontId="8" fillId="14" borderId="13" xfId="0" applyFont="1" applyFill="1" applyBorder="1" applyAlignment="1" applyProtection="1">
      <alignment horizontal="left"/>
    </xf>
    <xf numFmtId="0" fontId="8" fillId="14" borderId="11" xfId="0" applyFont="1" applyFill="1" applyBorder="1" applyAlignment="1" applyProtection="1"/>
    <xf numFmtId="0" fontId="8" fillId="14" borderId="56" xfId="0" applyFont="1" applyFill="1" applyBorder="1" applyAlignment="1" applyProtection="1"/>
    <xf numFmtId="0" fontId="8" fillId="14" borderId="64" xfId="0" applyFont="1" applyFill="1" applyBorder="1" applyAlignment="1" applyProtection="1">
      <alignment horizontal="center"/>
    </xf>
    <xf numFmtId="0" fontId="8" fillId="14" borderId="81" xfId="0" applyFont="1" applyFill="1" applyBorder="1" applyAlignment="1" applyProtection="1">
      <alignment horizontal="center"/>
    </xf>
    <xf numFmtId="0" fontId="8" fillId="14" borderId="65" xfId="0" applyFont="1" applyFill="1" applyBorder="1" applyAlignment="1" applyProtection="1">
      <alignment horizontal="center"/>
    </xf>
    <xf numFmtId="2" fontId="5" fillId="4" borderId="0" xfId="0" applyNumberFormat="1" applyFont="1" applyFill="1" applyBorder="1" applyAlignment="1" applyProtection="1">
      <alignment horizontal="center"/>
    </xf>
    <xf numFmtId="2" fontId="8" fillId="3" borderId="82" xfId="0" applyNumberFormat="1" applyFont="1" applyFill="1" applyBorder="1" applyAlignment="1" applyProtection="1">
      <alignment horizontal="center"/>
    </xf>
    <xf numFmtId="2" fontId="8" fillId="3" borderId="83" xfId="0" applyNumberFormat="1" applyFont="1" applyFill="1" applyBorder="1" applyAlignment="1" applyProtection="1">
      <alignment horizontal="center"/>
    </xf>
    <xf numFmtId="2" fontId="5" fillId="4" borderId="60" xfId="0" applyNumberFormat="1" applyFont="1" applyFill="1" applyBorder="1" applyAlignment="1" applyProtection="1">
      <alignment horizontal="center"/>
    </xf>
    <xf numFmtId="0" fontId="8" fillId="14" borderId="11" xfId="0" applyFont="1" applyFill="1" applyBorder="1" applyAlignment="1" applyProtection="1">
      <alignment horizontal="center"/>
    </xf>
    <xf numFmtId="2" fontId="5" fillId="7" borderId="0" xfId="0" applyNumberFormat="1" applyFont="1" applyFill="1" applyBorder="1" applyAlignment="1" applyProtection="1">
      <alignment horizontal="center"/>
    </xf>
    <xf numFmtId="0" fontId="17" fillId="14" borderId="22" xfId="0" applyFont="1" applyFill="1" applyBorder="1" applyAlignment="1" applyProtection="1"/>
    <xf numFmtId="0" fontId="0" fillId="14" borderId="23" xfId="0" applyFill="1" applyBorder="1" applyAlignment="1" applyProtection="1"/>
    <xf numFmtId="0" fontId="0" fillId="14" borderId="28" xfId="0" applyFill="1" applyBorder="1" applyAlignment="1" applyProtection="1"/>
    <xf numFmtId="0" fontId="8" fillId="3" borderId="22" xfId="0" applyFont="1" applyFill="1" applyBorder="1" applyAlignment="1" applyProtection="1">
      <alignment horizontal="center"/>
    </xf>
    <xf numFmtId="0" fontId="8" fillId="3" borderId="23" xfId="0" applyFont="1" applyFill="1" applyBorder="1" applyAlignment="1" applyProtection="1">
      <alignment horizontal="center"/>
    </xf>
    <xf numFmtId="0" fontId="0" fillId="3" borderId="28" xfId="0" applyFill="1" applyBorder="1" applyAlignment="1" applyProtection="1"/>
    <xf numFmtId="0" fontId="8" fillId="3" borderId="84" xfId="0" applyFont="1" applyFill="1" applyBorder="1" applyAlignment="1" applyProtection="1">
      <alignment horizontal="center"/>
    </xf>
    <xf numFmtId="1" fontId="8" fillId="3" borderId="0" xfId="0" applyNumberFormat="1" applyFont="1" applyFill="1" applyBorder="1" applyAlignment="1" applyProtection="1">
      <alignment horizontal="center"/>
    </xf>
    <xf numFmtId="0" fontId="8" fillId="3" borderId="52" xfId="0" applyFont="1" applyFill="1" applyBorder="1" applyAlignment="1" applyProtection="1">
      <alignment horizontal="center"/>
    </xf>
    <xf numFmtId="0" fontId="8" fillId="3" borderId="53" xfId="0" applyFont="1" applyFill="1" applyBorder="1" applyAlignment="1" applyProtection="1">
      <alignment horizontal="center"/>
    </xf>
    <xf numFmtId="0" fontId="8" fillId="3" borderId="12" xfId="0" applyFont="1" applyFill="1" applyBorder="1" applyAlignment="1" applyProtection="1">
      <alignment horizontal="center"/>
    </xf>
    <xf numFmtId="0" fontId="8" fillId="3" borderId="0" xfId="0" applyFont="1" applyFill="1" applyBorder="1" applyAlignment="1" applyProtection="1">
      <alignment horizontal="center"/>
    </xf>
    <xf numFmtId="0" fontId="8" fillId="3" borderId="67" xfId="0" applyFont="1" applyFill="1" applyBorder="1" applyAlignment="1" applyProtection="1">
      <alignment horizontal="center"/>
    </xf>
    <xf numFmtId="0" fontId="8" fillId="3" borderId="2" xfId="0" applyFont="1" applyFill="1" applyBorder="1" applyAlignment="1" applyProtection="1">
      <alignment horizontal="center"/>
    </xf>
    <xf numFmtId="0" fontId="17" fillId="14" borderId="4" xfId="0" applyFont="1" applyFill="1" applyBorder="1" applyAlignment="1" applyProtection="1"/>
    <xf numFmtId="0" fontId="17" fillId="14" borderId="5" xfId="0" applyFont="1" applyFill="1" applyBorder="1" applyAlignment="1" applyProtection="1"/>
    <xf numFmtId="0" fontId="0" fillId="14" borderId="6" xfId="0" applyFill="1" applyBorder="1" applyAlignment="1" applyProtection="1"/>
    <xf numFmtId="0" fontId="8" fillId="14" borderId="21" xfId="0" applyFont="1" applyFill="1" applyBorder="1" applyAlignment="1" applyProtection="1">
      <alignment horizontal="center"/>
    </xf>
    <xf numFmtId="0" fontId="0" fillId="14" borderId="0" xfId="0" applyFill="1" applyBorder="1" applyAlignment="1" applyProtection="1"/>
    <xf numFmtId="0" fontId="0" fillId="14" borderId="18" xfId="0" applyFill="1" applyBorder="1" applyAlignment="1" applyProtection="1"/>
    <xf numFmtId="0" fontId="0" fillId="7" borderId="51" xfId="0" applyFill="1" applyBorder="1" applyAlignment="1" applyProtection="1"/>
    <xf numFmtId="0" fontId="0" fillId="7" borderId="40" xfId="0" applyFill="1" applyBorder="1" applyAlignment="1" applyProtection="1"/>
    <xf numFmtId="0" fontId="8" fillId="7" borderId="85" xfId="0" applyFont="1" applyFill="1" applyBorder="1" applyAlignment="1" applyProtection="1">
      <alignment horizontal="center"/>
    </xf>
    <xf numFmtId="0" fontId="8" fillId="7" borderId="21" xfId="0" applyFont="1" applyFill="1" applyBorder="1" applyAlignment="1" applyProtection="1">
      <alignment horizontal="center"/>
    </xf>
    <xf numFmtId="2" fontId="8" fillId="7" borderId="0" xfId="0" applyNumberFormat="1" applyFont="1" applyFill="1" applyBorder="1" applyAlignment="1" applyProtection="1">
      <alignment horizontal="center"/>
    </xf>
    <xf numFmtId="2" fontId="0" fillId="7" borderId="18" xfId="0" applyNumberFormat="1" applyFill="1" applyBorder="1" applyAlignment="1" applyProtection="1"/>
    <xf numFmtId="0" fontId="17" fillId="7" borderId="50" xfId="0" applyFont="1" applyFill="1" applyBorder="1" applyAlignment="1" applyProtection="1"/>
    <xf numFmtId="0" fontId="8" fillId="7" borderId="62" xfId="0" applyFont="1" applyFill="1" applyBorder="1" applyAlignment="1" applyProtection="1">
      <alignment horizontal="center"/>
    </xf>
    <xf numFmtId="0" fontId="0" fillId="7" borderId="56" xfId="0" applyFill="1" applyBorder="1" applyAlignment="1" applyProtection="1"/>
    <xf numFmtId="2" fontId="8" fillId="7" borderId="18" xfId="0" applyNumberFormat="1" applyFont="1" applyFill="1" applyBorder="1" applyAlignment="1" applyProtection="1">
      <alignment horizontal="center"/>
    </xf>
    <xf numFmtId="2" fontId="8" fillId="7" borderId="56" xfId="0" applyNumberFormat="1" applyFont="1" applyFill="1" applyBorder="1" applyAlignment="1" applyProtection="1">
      <alignment horizontal="center"/>
    </xf>
    <xf numFmtId="0" fontId="8" fillId="7" borderId="7" xfId="0" applyFont="1" applyFill="1" applyBorder="1" applyAlignment="1" applyProtection="1">
      <alignment horizontal="center"/>
    </xf>
    <xf numFmtId="2" fontId="8" fillId="7" borderId="8" xfId="0" applyNumberFormat="1" applyFont="1" applyFill="1" applyBorder="1" applyAlignment="1" applyProtection="1">
      <alignment horizontal="center"/>
    </xf>
    <xf numFmtId="2" fontId="17" fillId="3" borderId="16" xfId="0" applyNumberFormat="1" applyFont="1" applyFill="1" applyBorder="1" applyAlignment="1" applyProtection="1">
      <alignment horizontal="center"/>
    </xf>
    <xf numFmtId="2" fontId="17" fillId="3" borderId="86" xfId="0" applyNumberFormat="1" applyFont="1" applyFill="1" applyBorder="1" applyAlignment="1" applyProtection="1">
      <alignment horizontal="center"/>
    </xf>
    <xf numFmtId="2" fontId="17" fillId="3" borderId="27" xfId="0" applyNumberFormat="1" applyFont="1" applyFill="1" applyBorder="1" applyAlignment="1" applyProtection="1">
      <alignment horizontal="center"/>
    </xf>
    <xf numFmtId="2" fontId="17" fillId="3" borderId="18" xfId="0" applyNumberFormat="1" applyFont="1" applyFill="1" applyBorder="1" applyAlignment="1" applyProtection="1">
      <alignment horizontal="center"/>
    </xf>
    <xf numFmtId="2" fontId="17" fillId="3" borderId="14" xfId="0" applyNumberFormat="1" applyFont="1" applyFill="1" applyBorder="1" applyAlignment="1" applyProtection="1">
      <alignment horizontal="center"/>
    </xf>
    <xf numFmtId="2" fontId="17" fillId="3" borderId="87" xfId="0" applyNumberFormat="1" applyFont="1" applyFill="1" applyBorder="1" applyAlignment="1" applyProtection="1">
      <alignment horizontal="center"/>
    </xf>
    <xf numFmtId="2" fontId="17" fillId="3" borderId="88" xfId="0" applyNumberFormat="1" applyFont="1" applyFill="1" applyBorder="1" applyAlignment="1" applyProtection="1">
      <alignment horizontal="center"/>
    </xf>
    <xf numFmtId="2" fontId="17" fillId="3" borderId="30" xfId="0" applyNumberFormat="1" applyFont="1" applyFill="1" applyBorder="1" applyAlignment="1" applyProtection="1">
      <alignment horizontal="center"/>
    </xf>
    <xf numFmtId="2" fontId="17" fillId="3" borderId="89" xfId="0" applyNumberFormat="1" applyFont="1" applyFill="1" applyBorder="1" applyAlignment="1" applyProtection="1">
      <alignment horizontal="center"/>
    </xf>
    <xf numFmtId="2" fontId="17" fillId="3" borderId="90" xfId="0" applyNumberFormat="1" applyFont="1" applyFill="1" applyBorder="1" applyAlignment="1" applyProtection="1">
      <alignment horizontal="center"/>
    </xf>
    <xf numFmtId="2" fontId="17" fillId="3" borderId="66" xfId="0" applyNumberFormat="1" applyFont="1" applyFill="1" applyBorder="1" applyAlignment="1" applyProtection="1">
      <alignment horizontal="center"/>
    </xf>
    <xf numFmtId="0" fontId="17" fillId="7" borderId="44" xfId="0" applyFont="1" applyFill="1" applyBorder="1" applyAlignment="1">
      <alignment horizontal="center"/>
    </xf>
    <xf numFmtId="0" fontId="11" fillId="3" borderId="62" xfId="0" applyFont="1" applyFill="1" applyBorder="1" applyAlignment="1" applyProtection="1">
      <alignment horizontal="center" vertical="center"/>
    </xf>
    <xf numFmtId="0" fontId="49" fillId="9" borderId="44" xfId="0" applyFont="1" applyFill="1" applyBorder="1" applyAlignment="1" applyProtection="1">
      <alignment horizontal="center" vertical="center"/>
      <protection locked="0"/>
    </xf>
    <xf numFmtId="0" fontId="8" fillId="9" borderId="44" xfId="0" applyFont="1" applyFill="1" applyBorder="1" applyAlignment="1" applyProtection="1">
      <alignment horizontal="center" vertical="center"/>
      <protection locked="0"/>
    </xf>
    <xf numFmtId="0" fontId="10" fillId="3" borderId="0" xfId="0" applyFont="1" applyFill="1" applyAlignment="1" applyProtection="1">
      <protection locked="0"/>
    </xf>
    <xf numFmtId="0" fontId="24" fillId="3" borderId="69" xfId="0" applyFont="1" applyFill="1" applyBorder="1" applyAlignment="1" applyProtection="1"/>
    <xf numFmtId="0" fontId="24" fillId="3" borderId="0" xfId="0" applyFont="1" applyFill="1" applyAlignment="1" applyProtection="1"/>
    <xf numFmtId="0" fontId="8" fillId="3" borderId="15" xfId="0" applyFont="1" applyFill="1" applyBorder="1" applyAlignment="1"/>
    <xf numFmtId="0" fontId="8" fillId="7" borderId="52" xfId="0" applyFont="1" applyFill="1" applyBorder="1" applyAlignment="1" applyProtection="1">
      <alignment horizontal="center"/>
    </xf>
    <xf numFmtId="1" fontId="18" fillId="8" borderId="31" xfId="0" applyNumberFormat="1" applyFont="1" applyFill="1" applyBorder="1" applyAlignment="1" applyProtection="1">
      <alignment horizontal="center" vertical="top" wrapText="1"/>
      <protection locked="0"/>
    </xf>
    <xf numFmtId="1" fontId="18" fillId="8" borderId="44" xfId="0" applyNumberFormat="1" applyFont="1" applyFill="1" applyBorder="1" applyAlignment="1" applyProtection="1">
      <alignment horizontal="center" vertical="top" wrapText="1"/>
      <protection locked="0"/>
    </xf>
    <xf numFmtId="0" fontId="5" fillId="0" borderId="0" xfId="0" applyFont="1" applyBorder="1" applyAlignment="1" applyProtection="1">
      <alignment horizontal="center"/>
    </xf>
    <xf numFmtId="0" fontId="5" fillId="0" borderId="12" xfId="0" applyFont="1" applyBorder="1" applyAlignment="1" applyProtection="1">
      <alignment horizontal="center"/>
    </xf>
    <xf numFmtId="0" fontId="17" fillId="18" borderId="91" xfId="0" applyFont="1" applyFill="1" applyBorder="1" applyAlignment="1" applyProtection="1">
      <alignment horizontal="center"/>
      <protection locked="0"/>
    </xf>
    <xf numFmtId="0" fontId="5" fillId="3" borderId="0" xfId="0" applyFont="1" applyFill="1" applyBorder="1" applyAlignment="1" applyProtection="1">
      <alignment horizontal="right" wrapText="1"/>
    </xf>
    <xf numFmtId="0" fontId="8" fillId="0" borderId="44" xfId="0" applyFont="1" applyBorder="1" applyAlignment="1" applyProtection="1">
      <alignment horizontal="center"/>
    </xf>
    <xf numFmtId="0" fontId="0" fillId="0" borderId="44" xfId="0" applyBorder="1" applyAlignment="1" applyProtection="1">
      <alignment horizontal="center"/>
    </xf>
    <xf numFmtId="0" fontId="10" fillId="0" borderId="44" xfId="0" applyFont="1" applyBorder="1" applyAlignment="1" applyProtection="1">
      <alignment horizontal="center"/>
    </xf>
    <xf numFmtId="0" fontId="4" fillId="0" borderId="0" xfId="0" applyFont="1" applyBorder="1" applyAlignment="1" applyProtection="1">
      <alignment horizontal="center"/>
    </xf>
    <xf numFmtId="2" fontId="0" fillId="0" borderId="45" xfId="0" applyNumberFormat="1" applyBorder="1" applyAlignment="1" applyProtection="1">
      <alignment horizontal="center"/>
    </xf>
    <xf numFmtId="2" fontId="0" fillId="0" borderId="44" xfId="0" applyNumberFormat="1" applyBorder="1" applyAlignment="1" applyProtection="1">
      <alignment horizontal="center"/>
    </xf>
    <xf numFmtId="2" fontId="0" fillId="0" borderId="46" xfId="0" applyNumberFormat="1" applyBorder="1" applyAlignment="1" applyProtection="1">
      <alignment horizontal="center"/>
    </xf>
    <xf numFmtId="2" fontId="0" fillId="0" borderId="47" xfId="0" applyNumberFormat="1" applyBorder="1" applyAlignment="1" applyProtection="1">
      <alignment horizontal="center"/>
    </xf>
    <xf numFmtId="2" fontId="0" fillId="3" borderId="21" xfId="0" applyNumberFormat="1" applyFill="1" applyBorder="1" applyAlignment="1" applyProtection="1">
      <protection locked="0"/>
    </xf>
    <xf numFmtId="0" fontId="8" fillId="7" borderId="0" xfId="0" applyFont="1" applyFill="1" applyBorder="1" applyAlignment="1" applyProtection="1">
      <alignment horizontal="left" wrapText="1"/>
    </xf>
    <xf numFmtId="0" fontId="17" fillId="7" borderId="0" xfId="0" applyFont="1" applyFill="1" applyBorder="1" applyAlignment="1" applyProtection="1">
      <alignment horizontal="center" vertical="center"/>
      <protection locked="0"/>
    </xf>
    <xf numFmtId="2" fontId="0" fillId="3" borderId="0" xfId="0" applyNumberFormat="1" applyFont="1" applyFill="1" applyBorder="1" applyAlignment="1" applyProtection="1">
      <alignment horizontal="center"/>
      <protection locked="0"/>
    </xf>
    <xf numFmtId="0" fontId="8" fillId="0" borderId="44" xfId="0" applyFont="1" applyBorder="1" applyAlignment="1" applyProtection="1">
      <alignment horizontal="center"/>
      <protection locked="0"/>
    </xf>
    <xf numFmtId="0" fontId="0" fillId="7" borderId="0" xfId="0" applyFill="1" applyBorder="1" applyAlignment="1" applyProtection="1">
      <alignment horizontal="left" vertical="center" wrapText="1"/>
    </xf>
    <xf numFmtId="0" fontId="13" fillId="14" borderId="55" xfId="0" applyFont="1" applyFill="1" applyBorder="1" applyAlignment="1" applyProtection="1">
      <alignment horizontal="left" vertical="center" wrapText="1"/>
    </xf>
    <xf numFmtId="0" fontId="0" fillId="14" borderId="92" xfId="0" applyFill="1" applyBorder="1" applyAlignment="1" applyProtection="1">
      <alignment horizontal="left"/>
    </xf>
    <xf numFmtId="0" fontId="0" fillId="14" borderId="52" xfId="0" applyFill="1" applyBorder="1" applyAlignment="1" applyProtection="1">
      <alignment horizontal="left"/>
    </xf>
    <xf numFmtId="0" fontId="5" fillId="0" borderId="45" xfId="0" applyFont="1" applyBorder="1" applyAlignment="1" applyProtection="1">
      <alignment horizontal="center" wrapText="1"/>
    </xf>
    <xf numFmtId="0" fontId="5" fillId="0" borderId="44" xfId="0" applyFont="1" applyBorder="1" applyAlignment="1" applyProtection="1">
      <alignment horizontal="center" wrapText="1"/>
    </xf>
    <xf numFmtId="0" fontId="5" fillId="0" borderId="46" xfId="0" applyFont="1" applyBorder="1" applyAlignment="1" applyProtection="1">
      <alignment horizontal="center" wrapText="1"/>
    </xf>
    <xf numFmtId="0" fontId="50" fillId="3" borderId="44" xfId="0" applyFont="1" applyFill="1" applyBorder="1" applyAlignment="1" applyProtection="1">
      <alignment horizontal="center"/>
      <protection locked="0"/>
    </xf>
    <xf numFmtId="0" fontId="50" fillId="3" borderId="15" xfId="0" applyFont="1" applyFill="1" applyBorder="1" applyAlignment="1">
      <alignment horizontal="center"/>
    </xf>
    <xf numFmtId="0" fontId="50" fillId="20" borderId="15" xfId="0" applyFont="1" applyFill="1" applyBorder="1" applyAlignment="1" applyProtection="1">
      <alignment horizontal="center"/>
      <protection locked="0"/>
    </xf>
    <xf numFmtId="0" fontId="50" fillId="20" borderId="15" xfId="0" applyFont="1" applyFill="1" applyBorder="1" applyAlignment="1">
      <alignment horizontal="center"/>
    </xf>
    <xf numFmtId="0" fontId="11" fillId="7" borderId="93" xfId="0" applyFont="1" applyFill="1" applyBorder="1" applyAlignment="1">
      <alignment horizontal="center"/>
    </xf>
    <xf numFmtId="0" fontId="11" fillId="3" borderId="93" xfId="0" applyFont="1" applyFill="1" applyBorder="1" applyAlignment="1">
      <alignment horizontal="center"/>
    </xf>
    <xf numFmtId="0" fontId="18" fillId="0" borderId="0" xfId="0" applyFont="1" applyAlignment="1" applyProtection="1">
      <alignment horizontal="center"/>
    </xf>
    <xf numFmtId="0" fontId="8" fillId="0" borderId="7" xfId="0" applyFont="1" applyBorder="1" applyAlignment="1" applyProtection="1">
      <protection locked="0"/>
    </xf>
    <xf numFmtId="2" fontId="8" fillId="0" borderId="66" xfId="0" applyNumberFormat="1" applyFont="1" applyBorder="1" applyAlignment="1" applyProtection="1">
      <alignment horizontal="center"/>
      <protection locked="0"/>
    </xf>
    <xf numFmtId="0" fontId="8" fillId="3" borderId="52" xfId="0" applyFont="1" applyFill="1" applyBorder="1" applyAlignment="1" applyProtection="1">
      <alignment horizontal="justify"/>
    </xf>
    <xf numFmtId="0" fontId="8" fillId="3" borderId="67" xfId="0" applyFont="1" applyFill="1" applyBorder="1" applyAlignment="1" applyProtection="1">
      <alignment horizontal="justify"/>
    </xf>
    <xf numFmtId="0" fontId="8" fillId="16" borderId="52" xfId="0" applyFont="1" applyFill="1" applyBorder="1" applyAlignment="1" applyProtection="1">
      <alignment horizontal="justify"/>
    </xf>
    <xf numFmtId="0" fontId="10" fillId="25" borderId="0" xfId="0" applyFont="1" applyFill="1" applyBorder="1" applyAlignment="1" applyProtection="1">
      <protection locked="0"/>
    </xf>
    <xf numFmtId="1" fontId="8" fillId="25" borderId="0" xfId="0" applyNumberFormat="1" applyFont="1" applyFill="1" applyBorder="1" applyAlignment="1" applyProtection="1">
      <alignment horizontal="center"/>
      <protection locked="0"/>
    </xf>
    <xf numFmtId="0" fontId="8" fillId="25" borderId="0" xfId="0" applyFont="1" applyFill="1" applyBorder="1" applyAlignment="1"/>
    <xf numFmtId="0" fontId="8" fillId="25" borderId="0" xfId="0" applyFont="1" applyFill="1" applyBorder="1" applyAlignment="1" applyProtection="1">
      <alignment horizontal="center"/>
      <protection locked="0"/>
    </xf>
    <xf numFmtId="2" fontId="5" fillId="26" borderId="0" xfId="0" applyNumberFormat="1" applyFont="1" applyFill="1" applyBorder="1" applyAlignment="1" applyProtection="1">
      <alignment horizontal="center"/>
      <protection locked="0"/>
    </xf>
    <xf numFmtId="0" fontId="0" fillId="27" borderId="0" xfId="0" applyFill="1" applyBorder="1" applyAlignment="1" applyProtection="1">
      <protection locked="0"/>
    </xf>
    <xf numFmtId="0" fontId="0" fillId="27" borderId="0" xfId="0" applyFill="1" applyBorder="1" applyAlignment="1"/>
    <xf numFmtId="0" fontId="8" fillId="27" borderId="0" xfId="0" applyFont="1" applyFill="1" applyBorder="1" applyAlignment="1" applyProtection="1">
      <alignment horizontal="center"/>
      <protection locked="0"/>
    </xf>
    <xf numFmtId="0" fontId="10" fillId="25" borderId="0" xfId="0" applyFont="1" applyFill="1" applyBorder="1" applyAlignment="1" applyProtection="1"/>
    <xf numFmtId="0" fontId="8" fillId="15" borderId="14" xfId="0" applyFont="1" applyFill="1" applyBorder="1" applyAlignment="1" applyProtection="1">
      <alignment horizontal="center"/>
      <protection locked="0"/>
    </xf>
    <xf numFmtId="0" fontId="8" fillId="14" borderId="14" xfId="0" applyFont="1" applyFill="1" applyBorder="1" applyAlignment="1">
      <alignment horizontal="center"/>
    </xf>
    <xf numFmtId="0" fontId="8" fillId="14" borderId="59" xfId="0" applyFont="1" applyFill="1" applyBorder="1" applyAlignment="1">
      <alignment horizontal="center"/>
    </xf>
    <xf numFmtId="0" fontId="0" fillId="0" borderId="52" xfId="0" applyBorder="1" applyAlignment="1" applyProtection="1"/>
    <xf numFmtId="0" fontId="0" fillId="0" borderId="14" xfId="0" applyBorder="1" applyAlignment="1" applyProtection="1">
      <protection locked="0"/>
    </xf>
    <xf numFmtId="0" fontId="0" fillId="0" borderId="59" xfId="0" applyFont="1" applyBorder="1" applyAlignment="1" applyProtection="1">
      <alignment horizontal="center"/>
      <protection locked="0"/>
    </xf>
    <xf numFmtId="0" fontId="8" fillId="0" borderId="14" xfId="0" applyFont="1" applyFill="1" applyBorder="1" applyAlignment="1" applyProtection="1">
      <alignment horizontal="center"/>
      <protection locked="0"/>
    </xf>
    <xf numFmtId="0" fontId="8" fillId="0" borderId="14" xfId="0" applyFont="1" applyFill="1" applyBorder="1" applyAlignment="1">
      <alignment horizontal="center"/>
    </xf>
    <xf numFmtId="0" fontId="8" fillId="0" borderId="59" xfId="0" applyFont="1" applyFill="1" applyBorder="1" applyAlignment="1">
      <alignment horizontal="center"/>
    </xf>
    <xf numFmtId="0" fontId="8" fillId="0" borderId="59" xfId="0" applyFont="1" applyFill="1" applyBorder="1" applyAlignment="1" applyProtection="1">
      <alignment horizontal="center"/>
      <protection locked="0"/>
    </xf>
    <xf numFmtId="0" fontId="5" fillId="0" borderId="52" xfId="0" applyFont="1" applyFill="1" applyBorder="1" applyAlignment="1" applyProtection="1">
      <alignment horizontal="justify"/>
    </xf>
    <xf numFmtId="2" fontId="8" fillId="0" borderId="14" xfId="0" applyNumberFormat="1" applyFont="1" applyFill="1" applyBorder="1" applyAlignment="1" applyProtection="1">
      <alignment horizontal="center"/>
    </xf>
    <xf numFmtId="2" fontId="8" fillId="0" borderId="59" xfId="0" applyNumberFormat="1" applyFont="1" applyFill="1" applyBorder="1" applyAlignment="1" applyProtection="1">
      <alignment horizontal="center"/>
    </xf>
    <xf numFmtId="0" fontId="8" fillId="0" borderId="52" xfId="0" applyFont="1" applyFill="1" applyBorder="1" applyAlignment="1" applyProtection="1">
      <alignment horizontal="justify"/>
    </xf>
    <xf numFmtId="0" fontId="8" fillId="0" borderId="67" xfId="0" applyFont="1" applyBorder="1" applyAlignment="1" applyProtection="1"/>
    <xf numFmtId="1" fontId="8" fillId="15" borderId="30" xfId="0" applyNumberFormat="1" applyFont="1" applyFill="1" applyBorder="1" applyAlignment="1" applyProtection="1">
      <alignment horizontal="center"/>
      <protection locked="0"/>
    </xf>
    <xf numFmtId="0" fontId="8" fillId="15" borderId="66" xfId="0" applyFont="1" applyFill="1" applyBorder="1" applyAlignment="1" applyProtection="1">
      <alignment horizontal="center"/>
      <protection locked="0"/>
    </xf>
    <xf numFmtId="0" fontId="8" fillId="3" borderId="68" xfId="0" applyFont="1" applyFill="1" applyBorder="1" applyAlignment="1" applyProtection="1">
      <alignment horizontal="left" vertical="center"/>
    </xf>
    <xf numFmtId="2" fontId="8" fillId="0" borderId="14" xfId="0" applyNumberFormat="1" applyFont="1" applyBorder="1" applyAlignment="1" applyProtection="1">
      <alignment horizontal="center"/>
      <protection locked="0"/>
    </xf>
    <xf numFmtId="2" fontId="8" fillId="4" borderId="30" xfId="0" applyNumberFormat="1" applyFont="1" applyFill="1" applyBorder="1" applyAlignment="1" applyProtection="1">
      <alignment horizontal="center"/>
    </xf>
    <xf numFmtId="2" fontId="8" fillId="4" borderId="66" xfId="0" applyNumberFormat="1" applyFont="1" applyFill="1" applyBorder="1" applyAlignment="1" applyProtection="1">
      <alignment horizontal="center"/>
    </xf>
    <xf numFmtId="0" fontId="8" fillId="0" borderId="10" xfId="0" applyFont="1" applyBorder="1" applyAlignment="1" applyProtection="1">
      <protection locked="0"/>
    </xf>
    <xf numFmtId="2" fontId="8" fillId="0" borderId="59" xfId="0" applyNumberFormat="1" applyFont="1" applyBorder="1" applyAlignment="1" applyProtection="1">
      <alignment horizontal="center"/>
      <protection locked="0"/>
    </xf>
    <xf numFmtId="2" fontId="5" fillId="4" borderId="14" xfId="0" applyNumberFormat="1" applyFont="1" applyFill="1" applyBorder="1" applyAlignment="1" applyProtection="1">
      <alignment horizontal="center"/>
    </xf>
    <xf numFmtId="0" fontId="8" fillId="0" borderId="67" xfId="0" applyFont="1" applyBorder="1" applyAlignment="1" applyProtection="1">
      <protection locked="0"/>
    </xf>
    <xf numFmtId="2" fontId="8" fillId="0" borderId="30" xfId="0" applyNumberFormat="1" applyFont="1" applyBorder="1" applyAlignment="1" applyProtection="1">
      <alignment horizontal="center"/>
      <protection locked="0"/>
    </xf>
    <xf numFmtId="0" fontId="17" fillId="14" borderId="80" xfId="0" applyFont="1" applyFill="1" applyBorder="1" applyAlignment="1" applyProtection="1">
      <alignment horizontal="center" vertical="center"/>
      <protection locked="0"/>
    </xf>
    <xf numFmtId="0" fontId="0" fillId="0" borderId="0" xfId="0" applyFill="1" applyBorder="1" applyAlignment="1" applyProtection="1">
      <alignment horizontal="center"/>
    </xf>
    <xf numFmtId="0" fontId="8" fillId="0" borderId="0" xfId="0" applyFont="1" applyFill="1" applyBorder="1" applyAlignment="1" applyProtection="1">
      <alignment horizontal="center"/>
    </xf>
    <xf numFmtId="0" fontId="10" fillId="0" borderId="0" xfId="0" applyFont="1" applyFill="1" applyBorder="1" applyAlignment="1" applyProtection="1"/>
    <xf numFmtId="0" fontId="0" fillId="0" borderId="0" xfId="0" applyFill="1" applyBorder="1" applyAlignment="1" applyProtection="1">
      <protection locked="0"/>
    </xf>
    <xf numFmtId="0" fontId="0" fillId="0" borderId="0" xfId="0" applyFill="1" applyBorder="1" applyAlignment="1" applyProtection="1"/>
    <xf numFmtId="0" fontId="5" fillId="3" borderId="68" xfId="0" applyFont="1" applyFill="1" applyBorder="1" applyAlignment="1" applyProtection="1">
      <alignment horizontal="justify"/>
    </xf>
    <xf numFmtId="2" fontId="5" fillId="4" borderId="82" xfId="0" applyNumberFormat="1" applyFont="1" applyFill="1" applyBorder="1" applyAlignment="1" applyProtection="1">
      <alignment horizontal="center"/>
    </xf>
    <xf numFmtId="2" fontId="5" fillId="4" borderId="83" xfId="0" applyNumberFormat="1" applyFont="1" applyFill="1" applyBorder="1" applyAlignment="1" applyProtection="1">
      <alignment horizontal="center"/>
    </xf>
    <xf numFmtId="0" fontId="8" fillId="16" borderId="19" xfId="0" applyFont="1" applyFill="1" applyBorder="1" applyAlignment="1" applyProtection="1">
      <protection locked="0"/>
    </xf>
    <xf numFmtId="2" fontId="5" fillId="4" borderId="30" xfId="0" applyNumberFormat="1" applyFont="1" applyFill="1" applyBorder="1" applyAlignment="1" applyProtection="1">
      <alignment horizontal="center"/>
      <protection locked="0"/>
    </xf>
    <xf numFmtId="0" fontId="52" fillId="0" borderId="0" xfId="0" applyFont="1" applyBorder="1" applyAlignment="1" applyProtection="1">
      <alignment horizontal="center"/>
    </xf>
    <xf numFmtId="164" fontId="0" fillId="0" borderId="0" xfId="0" applyNumberFormat="1" applyAlignment="1" applyProtection="1">
      <alignment horizontal="center"/>
    </xf>
    <xf numFmtId="0" fontId="8" fillId="25" borderId="0" xfId="0" applyFont="1" applyFill="1" applyBorder="1" applyAlignment="1" applyProtection="1">
      <alignment horizontal="center"/>
      <protection locked="0"/>
    </xf>
    <xf numFmtId="0" fontId="0" fillId="25" borderId="0" xfId="0" applyFill="1" applyBorder="1" applyAlignment="1">
      <alignment horizontal="center"/>
    </xf>
    <xf numFmtId="0" fontId="42" fillId="0" borderId="44" xfId="0" applyNumberFormat="1" applyFont="1" applyBorder="1" applyAlignment="1">
      <alignment horizontal="center"/>
    </xf>
    <xf numFmtId="0" fontId="31" fillId="3" borderId="0" xfId="0" applyFont="1" applyFill="1" applyBorder="1" applyAlignment="1" applyProtection="1">
      <protection locked="0"/>
    </xf>
    <xf numFmtId="0" fontId="0" fillId="27" borderId="0" xfId="0" applyFill="1" applyAlignment="1" applyProtection="1"/>
    <xf numFmtId="0" fontId="0" fillId="27" borderId="0" xfId="0" applyFill="1" applyAlignment="1" applyProtection="1">
      <protection locked="0"/>
    </xf>
    <xf numFmtId="0" fontId="0" fillId="27" borderId="39" xfId="0" applyFill="1" applyBorder="1" applyAlignment="1" applyProtection="1"/>
    <xf numFmtId="0" fontId="0" fillId="27" borderId="20" xfId="0" applyFill="1" applyBorder="1" applyAlignment="1" applyProtection="1"/>
    <xf numFmtId="0" fontId="0" fillId="27" borderId="29" xfId="0" applyFont="1" applyFill="1" applyBorder="1" applyAlignment="1" applyProtection="1">
      <alignment horizontal="center"/>
    </xf>
    <xf numFmtId="0" fontId="8" fillId="27" borderId="2" xfId="0" applyFont="1" applyFill="1" applyBorder="1" applyAlignment="1" applyProtection="1">
      <alignment horizontal="right"/>
    </xf>
    <xf numFmtId="0" fontId="0" fillId="27" borderId="0" xfId="0" applyFont="1" applyFill="1" applyAlignment="1" applyProtection="1">
      <alignment horizontal="center"/>
    </xf>
    <xf numFmtId="0" fontId="0" fillId="27" borderId="0" xfId="0" applyFont="1" applyFill="1" applyAlignment="1" applyProtection="1">
      <alignment horizontal="center"/>
      <protection locked="0"/>
    </xf>
    <xf numFmtId="0" fontId="15" fillId="27" borderId="3" xfId="0" applyFont="1" applyFill="1" applyBorder="1" applyAlignment="1" applyProtection="1">
      <protection locked="0"/>
    </xf>
    <xf numFmtId="0" fontId="10" fillId="27" borderId="3" xfId="0" applyFont="1" applyFill="1" applyBorder="1" applyAlignment="1" applyProtection="1">
      <protection locked="0"/>
    </xf>
    <xf numFmtId="0" fontId="10" fillId="27" borderId="3" xfId="0" applyFont="1" applyFill="1" applyBorder="1" applyAlignment="1" applyProtection="1">
      <alignment horizontal="center"/>
      <protection locked="0"/>
    </xf>
    <xf numFmtId="0" fontId="41" fillId="27" borderId="0" xfId="0" applyFont="1" applyFill="1" applyAlignment="1" applyProtection="1"/>
    <xf numFmtId="0" fontId="0" fillId="27" borderId="0" xfId="0" applyFill="1" applyAlignment="1" applyProtection="1">
      <alignment horizontal="center"/>
    </xf>
    <xf numFmtId="0" fontId="0" fillId="27" borderId="0" xfId="0" applyFill="1" applyAlignment="1" applyProtection="1">
      <alignment horizontal="center"/>
      <protection locked="0"/>
    </xf>
    <xf numFmtId="0" fontId="8" fillId="27" borderId="21" xfId="0" applyFont="1" applyFill="1" applyBorder="1" applyAlignment="1" applyProtection="1">
      <alignment horizontal="center"/>
    </xf>
    <xf numFmtId="0" fontId="39" fillId="27" borderId="0" xfId="0" applyFont="1" applyFill="1" applyAlignment="1" applyProtection="1"/>
    <xf numFmtId="0" fontId="38" fillId="27" borderId="0" xfId="0" applyFont="1" applyFill="1" applyAlignment="1" applyProtection="1"/>
    <xf numFmtId="2" fontId="8" fillId="27" borderId="21" xfId="0" applyNumberFormat="1" applyFont="1" applyFill="1" applyBorder="1" applyAlignment="1" applyProtection="1">
      <alignment horizontal="center"/>
    </xf>
    <xf numFmtId="0" fontId="36" fillId="27" borderId="0" xfId="0" applyFont="1" applyFill="1" applyAlignment="1" applyProtection="1">
      <protection locked="0"/>
    </xf>
    <xf numFmtId="0" fontId="5" fillId="25" borderId="52" xfId="0" applyFont="1" applyFill="1" applyBorder="1" applyAlignment="1" applyProtection="1">
      <alignment horizontal="justify"/>
    </xf>
    <xf numFmtId="2" fontId="8" fillId="25" borderId="14" xfId="0" applyNumberFormat="1" applyFont="1" applyFill="1" applyBorder="1" applyAlignment="1" applyProtection="1">
      <alignment horizontal="center"/>
    </xf>
    <xf numFmtId="2" fontId="8" fillId="25" borderId="59" xfId="0" applyNumberFormat="1" applyFont="1" applyFill="1" applyBorder="1" applyAlignment="1" applyProtection="1">
      <alignment horizontal="center"/>
    </xf>
    <xf numFmtId="0" fontId="8" fillId="25" borderId="52" xfId="0" applyFont="1" applyFill="1" applyBorder="1" applyAlignment="1" applyProtection="1">
      <alignment horizontal="justify"/>
    </xf>
    <xf numFmtId="0" fontId="0" fillId="27" borderId="52" xfId="0" applyFill="1" applyBorder="1" applyAlignment="1" applyProtection="1"/>
    <xf numFmtId="0" fontId="0" fillId="27" borderId="14" xfId="0" applyFill="1" applyBorder="1" applyAlignment="1" applyProtection="1">
      <protection locked="0"/>
    </xf>
    <xf numFmtId="0" fontId="0" fillId="27" borderId="59" xfId="0" applyFont="1" applyFill="1" applyBorder="1" applyAlignment="1" applyProtection="1">
      <alignment horizontal="center"/>
      <protection locked="0"/>
    </xf>
    <xf numFmtId="0" fontId="8" fillId="27" borderId="14" xfId="0" applyFont="1" applyFill="1" applyBorder="1" applyAlignment="1" applyProtection="1">
      <alignment horizontal="center"/>
      <protection locked="0"/>
    </xf>
    <xf numFmtId="0" fontId="8" fillId="27" borderId="14" xfId="0" applyFont="1" applyFill="1" applyBorder="1" applyAlignment="1">
      <alignment horizontal="center"/>
    </xf>
    <xf numFmtId="0" fontId="8" fillId="27" borderId="59" xfId="0" applyFont="1" applyFill="1" applyBorder="1" applyAlignment="1">
      <alignment horizontal="center"/>
    </xf>
    <xf numFmtId="0" fontId="8" fillId="27" borderId="59" xfId="0" applyFont="1" applyFill="1" applyBorder="1" applyAlignment="1" applyProtection="1">
      <alignment horizontal="center"/>
      <protection locked="0"/>
    </xf>
    <xf numFmtId="0" fontId="5" fillId="27" borderId="52" xfId="0" applyFont="1" applyFill="1" applyBorder="1" applyAlignment="1" applyProtection="1">
      <alignment horizontal="justify"/>
    </xf>
    <xf numFmtId="2" fontId="8" fillId="27" borderId="14" xfId="0" applyNumberFormat="1" applyFont="1" applyFill="1" applyBorder="1" applyAlignment="1" applyProtection="1">
      <alignment horizontal="center"/>
    </xf>
    <xf numFmtId="2" fontId="8" fillId="27" borderId="59" xfId="0" applyNumberFormat="1" applyFont="1" applyFill="1" applyBorder="1" applyAlignment="1" applyProtection="1">
      <alignment horizontal="center"/>
    </xf>
    <xf numFmtId="0" fontId="8" fillId="27" borderId="52" xfId="0" applyFont="1" applyFill="1" applyBorder="1" applyAlignment="1" applyProtection="1">
      <alignment horizontal="justify"/>
    </xf>
    <xf numFmtId="0" fontId="8" fillId="27" borderId="67" xfId="0" applyFont="1" applyFill="1" applyBorder="1" applyAlignment="1" applyProtection="1"/>
    <xf numFmtId="2" fontId="8" fillId="25" borderId="30" xfId="0" applyNumberFormat="1" applyFont="1" applyFill="1" applyBorder="1" applyAlignment="1" applyProtection="1">
      <alignment horizontal="center"/>
    </xf>
    <xf numFmtId="2" fontId="8" fillId="25" borderId="66" xfId="0" applyNumberFormat="1" applyFont="1" applyFill="1" applyBorder="1" applyAlignment="1" applyProtection="1">
      <alignment horizontal="center"/>
    </xf>
    <xf numFmtId="0" fontId="8" fillId="25" borderId="0" xfId="0" applyFont="1" applyFill="1" applyBorder="1" applyAlignment="1">
      <alignment horizontal="center"/>
    </xf>
    <xf numFmtId="2" fontId="8" fillId="25" borderId="0" xfId="0" applyNumberFormat="1" applyFont="1" applyFill="1" applyBorder="1" applyAlignment="1" applyProtection="1">
      <alignment horizontal="center"/>
      <protection locked="0"/>
    </xf>
    <xf numFmtId="2" fontId="5" fillId="26" borderId="9" xfId="0" applyNumberFormat="1" applyFont="1" applyFill="1" applyBorder="1" applyAlignment="1" applyProtection="1">
      <alignment horizontal="center"/>
    </xf>
    <xf numFmtId="2" fontId="5" fillId="26" borderId="59" xfId="0" applyNumberFormat="1" applyFont="1" applyFill="1" applyBorder="1" applyAlignment="1" applyProtection="1">
      <alignment horizontal="center"/>
    </xf>
    <xf numFmtId="2" fontId="5" fillId="26" borderId="14" xfId="0" applyNumberFormat="1" applyFont="1" applyFill="1" applyBorder="1" applyAlignment="1" applyProtection="1">
      <alignment horizontal="center"/>
    </xf>
    <xf numFmtId="0" fontId="8" fillId="27" borderId="67" xfId="0" applyFont="1" applyFill="1" applyBorder="1" applyAlignment="1" applyProtection="1">
      <protection locked="0"/>
    </xf>
    <xf numFmtId="2" fontId="8" fillId="27" borderId="30" xfId="0" applyNumberFormat="1" applyFont="1" applyFill="1" applyBorder="1" applyAlignment="1" applyProtection="1">
      <alignment horizontal="center"/>
      <protection locked="0"/>
    </xf>
    <xf numFmtId="2" fontId="8" fillId="27" borderId="66" xfId="0" applyNumberFormat="1" applyFont="1" applyFill="1" applyBorder="1" applyAlignment="1" applyProtection="1">
      <alignment horizontal="center"/>
      <protection locked="0"/>
    </xf>
    <xf numFmtId="0" fontId="8" fillId="27" borderId="0" xfId="0" applyFont="1" applyFill="1" applyAlignment="1" applyProtection="1"/>
    <xf numFmtId="0" fontId="8" fillId="27" borderId="0" xfId="0" applyFont="1" applyFill="1" applyAlignment="1" applyProtection="1">
      <protection locked="0"/>
    </xf>
    <xf numFmtId="0" fontId="8" fillId="27" borderId="0" xfId="0" applyFont="1" applyFill="1" applyAlignment="1" applyProtection="1">
      <alignment horizontal="center"/>
      <protection locked="0"/>
    </xf>
    <xf numFmtId="0" fontId="0" fillId="27" borderId="3" xfId="0" applyFill="1" applyBorder="1" applyAlignment="1" applyProtection="1">
      <protection locked="0"/>
    </xf>
    <xf numFmtId="0" fontId="0" fillId="27" borderId="3" xfId="0" applyFont="1" applyFill="1" applyBorder="1" applyAlignment="1" applyProtection="1">
      <alignment horizontal="center"/>
      <protection locked="0"/>
    </xf>
    <xf numFmtId="0" fontId="0" fillId="25" borderId="3" xfId="0" applyFont="1" applyFill="1" applyBorder="1" applyAlignment="1" applyProtection="1">
      <alignment horizontal="left"/>
      <protection locked="0"/>
    </xf>
    <xf numFmtId="0" fontId="0" fillId="25" borderId="3" xfId="0" applyFill="1" applyBorder="1" applyAlignment="1" applyProtection="1">
      <protection locked="0"/>
    </xf>
    <xf numFmtId="0" fontId="0" fillId="27" borderId="2" xfId="0" applyFill="1" applyBorder="1" applyAlignment="1" applyProtection="1">
      <protection locked="0"/>
    </xf>
    <xf numFmtId="0" fontId="0" fillId="27" borderId="33" xfId="0" applyFont="1" applyFill="1" applyBorder="1" applyAlignment="1" applyProtection="1">
      <alignment horizontal="center"/>
      <protection locked="0"/>
    </xf>
    <xf numFmtId="0" fontId="0" fillId="27" borderId="33" xfId="0" applyFill="1" applyBorder="1" applyAlignment="1" applyProtection="1">
      <protection locked="0"/>
    </xf>
    <xf numFmtId="0" fontId="0" fillId="26" borderId="0" xfId="0" applyFont="1" applyFill="1" applyAlignment="1" applyProtection="1">
      <alignment horizontal="center"/>
      <protection locked="0"/>
    </xf>
    <xf numFmtId="0" fontId="0" fillId="25" borderId="0" xfId="0" applyFill="1" applyAlignment="1" applyProtection="1">
      <protection locked="0"/>
    </xf>
    <xf numFmtId="0" fontId="0" fillId="25" borderId="0" xfId="0" applyFont="1" applyFill="1" applyAlignment="1" applyProtection="1">
      <alignment horizontal="center"/>
      <protection locked="0"/>
    </xf>
    <xf numFmtId="2" fontId="5" fillId="26" borderId="0" xfId="0" applyNumberFormat="1" applyFont="1" applyFill="1" applyBorder="1" applyAlignment="1" applyProtection="1">
      <protection locked="0"/>
    </xf>
    <xf numFmtId="0" fontId="0" fillId="27" borderId="0" xfId="0" applyFill="1" applyAlignment="1"/>
    <xf numFmtId="0" fontId="0" fillId="27" borderId="0" xfId="0" applyFill="1" applyBorder="1" applyAlignment="1" applyProtection="1">
      <alignment horizontal="center"/>
    </xf>
    <xf numFmtId="0" fontId="8" fillId="27" borderId="0" xfId="0" applyFont="1" applyFill="1" applyBorder="1" applyAlignment="1" applyProtection="1">
      <alignment horizontal="center"/>
    </xf>
    <xf numFmtId="0" fontId="10" fillId="27" borderId="0" xfId="0" applyFont="1" applyFill="1" applyBorder="1" applyAlignment="1" applyProtection="1"/>
    <xf numFmtId="0" fontId="0" fillId="27" borderId="0" xfId="0" applyFill="1" applyBorder="1" applyAlignment="1" applyProtection="1"/>
    <xf numFmtId="0" fontId="6" fillId="27" borderId="0" xfId="0" applyFont="1" applyFill="1" applyAlignment="1" applyProtection="1"/>
    <xf numFmtId="0" fontId="45" fillId="27" borderId="0" xfId="0" applyFont="1" applyFill="1" applyAlignment="1" applyProtection="1"/>
    <xf numFmtId="0" fontId="24" fillId="3" borderId="110" xfId="0" applyFont="1" applyFill="1" applyBorder="1" applyAlignment="1" applyProtection="1">
      <protection locked="0"/>
    </xf>
    <xf numFmtId="0" fontId="53" fillId="28" borderId="51" xfId="0" applyFont="1" applyFill="1" applyBorder="1" applyAlignment="1"/>
    <xf numFmtId="0" fontId="54" fillId="28" borderId="51" xfId="0" applyFont="1" applyFill="1" applyBorder="1" applyAlignment="1"/>
    <xf numFmtId="0" fontId="54" fillId="29" borderId="51" xfId="0" applyFont="1" applyFill="1" applyBorder="1" applyAlignment="1"/>
    <xf numFmtId="0" fontId="0" fillId="0" borderId="0" xfId="0" applyAlignment="1"/>
    <xf numFmtId="0" fontId="8" fillId="20" borderId="11" xfId="0" applyFont="1" applyFill="1" applyBorder="1" applyAlignment="1" applyProtection="1">
      <alignment horizontal="center" vertical="center"/>
      <protection locked="0"/>
    </xf>
    <xf numFmtId="0" fontId="51" fillId="3" borderId="0" xfId="0" applyFont="1" applyFill="1" applyBorder="1" applyAlignment="1">
      <alignment horizontal="center"/>
    </xf>
    <xf numFmtId="0" fontId="55" fillId="3" borderId="21" xfId="0" applyFont="1" applyFill="1" applyBorder="1" applyAlignment="1" applyProtection="1">
      <alignment horizontal="center"/>
      <protection locked="0" hidden="1"/>
    </xf>
    <xf numFmtId="0" fontId="56" fillId="20" borderId="56" xfId="0" applyFont="1" applyFill="1" applyBorder="1" applyAlignment="1" applyProtection="1">
      <alignment horizontal="center" vertical="center"/>
      <protection locked="0"/>
    </xf>
    <xf numFmtId="0" fontId="26" fillId="3" borderId="55" xfId="0" applyFont="1" applyFill="1" applyBorder="1" applyAlignment="1">
      <alignment horizontal="center" vertical="center"/>
    </xf>
    <xf numFmtId="0" fontId="0" fillId="0" borderId="0" xfId="0" applyAlignment="1"/>
    <xf numFmtId="2" fontId="6" fillId="3" borderId="44" xfId="0" applyNumberFormat="1" applyFont="1" applyFill="1" applyBorder="1" applyAlignment="1">
      <alignment horizontal="center"/>
    </xf>
    <xf numFmtId="0" fontId="26" fillId="3" borderId="53" xfId="0" applyFont="1" applyFill="1" applyBorder="1" applyAlignment="1">
      <alignment horizontal="center" vertical="center"/>
    </xf>
    <xf numFmtId="0" fontId="10" fillId="3" borderId="21" xfId="0" applyFont="1" applyFill="1" applyBorder="1" applyAlignment="1" applyProtection="1">
      <alignment horizontal="center"/>
      <protection locked="0" hidden="1"/>
    </xf>
    <xf numFmtId="0" fontId="41" fillId="0" borderId="112" xfId="0" applyFont="1" applyBorder="1" applyAlignment="1" applyProtection="1">
      <protection locked="0"/>
    </xf>
    <xf numFmtId="0" fontId="0" fillId="0" borderId="0" xfId="0" applyAlignment="1"/>
    <xf numFmtId="0" fontId="10" fillId="3" borderId="52" xfId="0" applyFont="1" applyFill="1" applyBorder="1" applyAlignment="1">
      <alignment horizontal="right"/>
    </xf>
    <xf numFmtId="0" fontId="10" fillId="3" borderId="67" xfId="0" applyFont="1" applyFill="1" applyBorder="1" applyAlignment="1">
      <alignment horizontal="right"/>
    </xf>
    <xf numFmtId="0" fontId="17" fillId="7" borderId="52" xfId="8" applyFont="1" applyFill="1" applyBorder="1" applyAlignment="1">
      <alignment horizontal="center" vertical="center" wrapText="1"/>
    </xf>
    <xf numFmtId="0" fontId="17" fillId="7" borderId="52" xfId="0" applyFont="1" applyFill="1" applyBorder="1" applyAlignment="1">
      <alignment horizontal="center" vertical="center" wrapText="1"/>
    </xf>
    <xf numFmtId="0" fontId="17" fillId="7" borderId="67" xfId="8" applyFont="1" applyFill="1" applyBorder="1" applyAlignment="1">
      <alignment horizontal="center" vertical="center" wrapText="1"/>
    </xf>
    <xf numFmtId="0" fontId="26" fillId="3" borderId="61" xfId="0" applyFont="1" applyFill="1" applyBorder="1" applyAlignment="1">
      <alignment horizontal="center"/>
    </xf>
    <xf numFmtId="0" fontId="41" fillId="27" borderId="0" xfId="0" applyFont="1" applyFill="1" applyAlignment="1" applyProtection="1">
      <protection locked="0"/>
    </xf>
    <xf numFmtId="0" fontId="0" fillId="0" borderId="0" xfId="0" applyAlignment="1"/>
    <xf numFmtId="0" fontId="3" fillId="7" borderId="44" xfId="0" applyFont="1" applyFill="1" applyBorder="1" applyAlignment="1">
      <alignment horizontal="center"/>
    </xf>
    <xf numFmtId="0" fontId="3" fillId="0" borderId="99" xfId="0" applyFont="1" applyBorder="1" applyAlignment="1">
      <alignment horizontal="center"/>
    </xf>
    <xf numFmtId="0" fontId="3" fillId="7" borderId="16" xfId="0" applyFont="1" applyFill="1" applyBorder="1" applyAlignment="1">
      <alignment horizontal="center"/>
    </xf>
    <xf numFmtId="0" fontId="0" fillId="3" borderId="5" xfId="0" applyFill="1" applyBorder="1" applyAlignment="1">
      <alignment horizontal="center"/>
    </xf>
    <xf numFmtId="2" fontId="6" fillId="3" borderId="15" xfId="0" applyNumberFormat="1" applyFont="1" applyFill="1" applyBorder="1" applyAlignment="1">
      <alignment horizontal="center"/>
    </xf>
    <xf numFmtId="0" fontId="6" fillId="3" borderId="5" xfId="0" applyFont="1" applyFill="1" applyBorder="1" applyAlignment="1"/>
    <xf numFmtId="2" fontId="6" fillId="3" borderId="49" xfId="0" applyNumberFormat="1" applyFont="1" applyFill="1" applyBorder="1" applyAlignment="1">
      <alignment horizontal="center"/>
    </xf>
    <xf numFmtId="2" fontId="17" fillId="0" borderId="25" xfId="0" applyNumberFormat="1" applyFont="1" applyFill="1" applyBorder="1" applyAlignment="1">
      <alignment horizontal="center"/>
    </xf>
    <xf numFmtId="2" fontId="17" fillId="0" borderId="31" xfId="0" applyNumberFormat="1" applyFont="1" applyFill="1" applyBorder="1" applyAlignment="1">
      <alignment horizontal="center"/>
    </xf>
    <xf numFmtId="2" fontId="17" fillId="0" borderId="27" xfId="0" applyNumberFormat="1" applyFont="1" applyFill="1" applyBorder="1" applyAlignment="1">
      <alignment horizontal="center"/>
    </xf>
    <xf numFmtId="2" fontId="3" fillId="0" borderId="44" xfId="0" applyNumberFormat="1" applyFont="1" applyFill="1" applyBorder="1" applyAlignment="1">
      <alignment horizontal="center"/>
    </xf>
    <xf numFmtId="2" fontId="17" fillId="0" borderId="14" xfId="0" applyNumberFormat="1" applyFont="1" applyFill="1" applyBorder="1" applyAlignment="1">
      <alignment horizontal="center"/>
    </xf>
    <xf numFmtId="2" fontId="17" fillId="0" borderId="49" xfId="8" applyNumberFormat="1" applyFont="1" applyFill="1" applyBorder="1" applyAlignment="1">
      <alignment horizontal="center"/>
    </xf>
    <xf numFmtId="0" fontId="0" fillId="7" borderId="60" xfId="0" applyFill="1" applyBorder="1" applyAlignment="1" applyProtection="1">
      <protection locked="0"/>
    </xf>
    <xf numFmtId="0" fontId="3" fillId="18" borderId="44" xfId="0" applyFont="1" applyFill="1" applyBorder="1" applyAlignment="1" applyProtection="1">
      <alignment horizontal="center"/>
      <protection locked="0"/>
    </xf>
    <xf numFmtId="0" fontId="0" fillId="0" borderId="0" xfId="0" applyFill="1" applyAlignment="1">
      <alignment wrapText="1"/>
    </xf>
    <xf numFmtId="0" fontId="0" fillId="0" borderId="0" xfId="0" applyAlignment="1"/>
    <xf numFmtId="0" fontId="17" fillId="25" borderId="14" xfId="0" applyFont="1" applyFill="1" applyBorder="1" applyAlignment="1" applyProtection="1">
      <alignment horizontal="center"/>
      <protection locked="0"/>
    </xf>
    <xf numFmtId="0" fontId="26" fillId="3" borderId="15" xfId="0" applyFont="1" applyFill="1" applyBorder="1" applyAlignment="1">
      <alignment horizontal="center"/>
    </xf>
    <xf numFmtId="0" fontId="17" fillId="33" borderId="15" xfId="0" applyFont="1" applyFill="1" applyBorder="1" applyAlignment="1">
      <alignment horizontal="center"/>
    </xf>
    <xf numFmtId="0" fontId="17" fillId="33" borderId="44" xfId="0" applyFont="1" applyFill="1" applyBorder="1" applyAlignment="1">
      <alignment horizontal="center"/>
    </xf>
    <xf numFmtId="0" fontId="17" fillId="33" borderId="78" xfId="0" applyFont="1" applyFill="1" applyBorder="1" applyAlignment="1">
      <alignment horizontal="center"/>
    </xf>
    <xf numFmtId="0" fontId="17" fillId="33" borderId="79" xfId="0" applyFont="1" applyFill="1" applyBorder="1" applyAlignment="1">
      <alignment horizontal="center"/>
    </xf>
    <xf numFmtId="0" fontId="17" fillId="33" borderId="56" xfId="0" applyFont="1" applyFill="1" applyBorder="1" applyAlignment="1">
      <alignment horizontal="center"/>
    </xf>
    <xf numFmtId="0" fontId="17" fillId="31" borderId="4" xfId="8" applyFont="1" applyFill="1" applyBorder="1" applyAlignment="1">
      <alignment horizontal="center"/>
    </xf>
    <xf numFmtId="0" fontId="17" fillId="33" borderId="4" xfId="0" applyFont="1" applyFill="1" applyBorder="1" applyAlignment="1">
      <alignment horizontal="center" wrapText="1"/>
    </xf>
    <xf numFmtId="0" fontId="17" fillId="33" borderId="113" xfId="0" applyFont="1" applyFill="1" applyBorder="1" applyAlignment="1">
      <alignment horizontal="center" wrapText="1"/>
    </xf>
    <xf numFmtId="0" fontId="17" fillId="33" borderId="5" xfId="0" applyFont="1" applyFill="1" applyBorder="1" applyAlignment="1">
      <alignment horizontal="center" wrapText="1"/>
    </xf>
    <xf numFmtId="0" fontId="17" fillId="33" borderId="6" xfId="0" applyFont="1" applyFill="1" applyBorder="1" applyAlignment="1">
      <alignment horizontal="center"/>
    </xf>
    <xf numFmtId="0" fontId="17" fillId="31" borderId="21" xfId="8" applyFont="1" applyFill="1" applyBorder="1" applyAlignment="1">
      <alignment horizontal="center"/>
    </xf>
    <xf numFmtId="0" fontId="17" fillId="33" borderId="7" xfId="0" applyFont="1" applyFill="1" applyBorder="1" applyAlignment="1">
      <alignment horizontal="center"/>
    </xf>
    <xf numFmtId="0" fontId="17" fillId="33" borderId="24" xfId="0" applyFont="1" applyFill="1" applyBorder="1" applyAlignment="1">
      <alignment horizontal="center"/>
    </xf>
    <xf numFmtId="0" fontId="17" fillId="33" borderId="18" xfId="0" applyFont="1" applyFill="1" applyBorder="1" applyAlignment="1">
      <alignment horizontal="center"/>
    </xf>
    <xf numFmtId="0" fontId="5" fillId="7" borderId="0" xfId="8" applyFont="1" applyFill="1"/>
    <xf numFmtId="0" fontId="17" fillId="33" borderId="16" xfId="0" applyFont="1" applyFill="1" applyBorder="1" applyAlignment="1">
      <alignment horizontal="center"/>
    </xf>
    <xf numFmtId="0" fontId="17" fillId="33" borderId="17" xfId="0" applyFont="1" applyFill="1" applyBorder="1" applyAlignment="1">
      <alignment horizontal="center"/>
    </xf>
    <xf numFmtId="2" fontId="17" fillId="0" borderId="30" xfId="0" applyNumberFormat="1" applyFont="1" applyFill="1" applyBorder="1" applyAlignment="1">
      <alignment horizontal="center"/>
    </xf>
    <xf numFmtId="0" fontId="3" fillId="0" borderId="74" xfId="0" applyFont="1" applyBorder="1" applyAlignment="1" applyProtection="1">
      <protection locked="0"/>
    </xf>
    <xf numFmtId="0" fontId="3" fillId="7" borderId="44" xfId="0" applyFont="1" applyFill="1" applyBorder="1" applyAlignment="1"/>
    <xf numFmtId="0" fontId="3" fillId="7" borderId="49" xfId="0" applyFont="1" applyFill="1" applyBorder="1" applyAlignment="1"/>
    <xf numFmtId="0" fontId="3" fillId="0" borderId="99" xfId="0" applyFont="1" applyBorder="1" applyAlignment="1" applyProtection="1">
      <protection locked="0"/>
    </xf>
    <xf numFmtId="0" fontId="10" fillId="27" borderId="0" xfId="0" applyFont="1" applyFill="1" applyAlignment="1"/>
    <xf numFmtId="0" fontId="0" fillId="0" borderId="0" xfId="0" applyBorder="1" applyAlignment="1"/>
    <xf numFmtId="0" fontId="3" fillId="18" borderId="77" xfId="0" applyFont="1" applyFill="1" applyBorder="1" applyAlignment="1" applyProtection="1">
      <alignment horizontal="center"/>
      <protection locked="0"/>
    </xf>
    <xf numFmtId="0" fontId="10" fillId="0" borderId="9" xfId="0" applyFont="1" applyBorder="1" applyAlignment="1"/>
    <xf numFmtId="0" fontId="5" fillId="7" borderId="52" xfId="0" applyFont="1" applyFill="1" applyBorder="1" applyAlignment="1" applyProtection="1"/>
    <xf numFmtId="0" fontId="5" fillId="0" borderId="19" xfId="0" applyFont="1" applyFill="1" applyBorder="1" applyAlignment="1" applyProtection="1">
      <alignment horizontal="right"/>
    </xf>
    <xf numFmtId="2" fontId="8" fillId="0" borderId="60" xfId="0" applyNumberFormat="1" applyFont="1" applyFill="1" applyBorder="1" applyAlignment="1" applyProtection="1">
      <alignment horizontal="right"/>
    </xf>
    <xf numFmtId="0" fontId="8" fillId="3" borderId="9" xfId="0" applyFont="1" applyFill="1" applyBorder="1" applyAlignment="1" applyProtection="1">
      <alignment horizontal="right"/>
    </xf>
    <xf numFmtId="0" fontId="0" fillId="3" borderId="18" xfId="0" applyFill="1" applyBorder="1" applyAlignment="1" applyProtection="1"/>
    <xf numFmtId="0" fontId="8" fillId="0" borderId="8" xfId="0" applyFont="1" applyFill="1" applyBorder="1" applyAlignment="1" applyProtection="1"/>
    <xf numFmtId="0" fontId="5" fillId="27" borderId="19" xfId="0" applyFont="1" applyFill="1" applyBorder="1" applyAlignment="1" applyProtection="1">
      <alignment horizontal="right"/>
    </xf>
    <xf numFmtId="2" fontId="8" fillId="27" borderId="60" xfId="0" applyNumberFormat="1" applyFont="1" applyFill="1" applyBorder="1" applyAlignment="1" applyProtection="1">
      <alignment horizontal="right"/>
    </xf>
    <xf numFmtId="0" fontId="8" fillId="27" borderId="8" xfId="0" applyFont="1" applyFill="1" applyBorder="1" applyAlignment="1" applyProtection="1"/>
    <xf numFmtId="0" fontId="5" fillId="3" borderId="0" xfId="0" applyFont="1" applyFill="1" applyBorder="1" applyAlignment="1">
      <alignment horizontal="center" vertical="top"/>
    </xf>
    <xf numFmtId="0" fontId="5" fillId="0" borderId="0" xfId="0" applyFont="1" applyAlignment="1" applyProtection="1">
      <alignment vertical="top"/>
      <protection locked="0"/>
    </xf>
    <xf numFmtId="0" fontId="5" fillId="3" borderId="0" xfId="0" applyFont="1" applyFill="1" applyBorder="1" applyAlignment="1">
      <alignment vertical="top"/>
    </xf>
    <xf numFmtId="0" fontId="5" fillId="7" borderId="0" xfId="8" applyFont="1" applyFill="1" applyAlignment="1">
      <alignment horizontal="right"/>
    </xf>
    <xf numFmtId="0" fontId="3" fillId="7" borderId="13" xfId="0" applyFont="1" applyFill="1" applyBorder="1" applyAlignment="1">
      <alignment horizontal="right"/>
    </xf>
    <xf numFmtId="0" fontId="17" fillId="34" borderId="32" xfId="0" applyFont="1" applyFill="1" applyBorder="1" applyAlignment="1" applyProtection="1">
      <alignment horizontal="center"/>
      <protection locked="0"/>
    </xf>
    <xf numFmtId="0" fontId="5" fillId="27" borderId="0" xfId="0" applyFont="1" applyFill="1" applyAlignment="1"/>
    <xf numFmtId="0" fontId="10" fillId="0" borderId="45" xfId="0" applyFont="1" applyFill="1" applyBorder="1" applyAlignment="1">
      <alignment wrapText="1"/>
    </xf>
    <xf numFmtId="0" fontId="10" fillId="0" borderId="47" xfId="0" applyFont="1" applyFill="1" applyBorder="1" applyAlignment="1">
      <alignment wrapText="1"/>
    </xf>
    <xf numFmtId="0" fontId="10" fillId="0" borderId="45" xfId="0" applyFont="1" applyBorder="1" applyAlignment="1">
      <alignment wrapText="1"/>
    </xf>
    <xf numFmtId="0" fontId="10" fillId="0" borderId="47" xfId="0" applyFont="1" applyBorder="1" applyAlignment="1">
      <alignment wrapText="1"/>
    </xf>
    <xf numFmtId="0" fontId="10" fillId="3" borderId="0" xfId="0" applyFont="1" applyFill="1" applyBorder="1" applyAlignment="1" applyProtection="1">
      <alignment horizontal="center"/>
      <protection locked="0"/>
    </xf>
    <xf numFmtId="0" fontId="0" fillId="0" borderId="0" xfId="0" applyAlignment="1"/>
    <xf numFmtId="0" fontId="0" fillId="25" borderId="0" xfId="0" applyFill="1" applyBorder="1" applyAlignment="1">
      <alignment horizontal="center"/>
    </xf>
    <xf numFmtId="0" fontId="0" fillId="0" borderId="0" xfId="0" applyAlignment="1"/>
    <xf numFmtId="0" fontId="0" fillId="25" borderId="0" xfId="0" applyFill="1" applyBorder="1" applyAlignment="1"/>
    <xf numFmtId="0" fontId="0" fillId="25" borderId="0" xfId="0" applyFill="1" applyAlignment="1"/>
    <xf numFmtId="0" fontId="8" fillId="27" borderId="0" xfId="8" applyFont="1" applyFill="1" applyBorder="1" applyAlignment="1">
      <alignment horizontal="center"/>
    </xf>
    <xf numFmtId="1" fontId="10" fillId="27" borderId="0" xfId="8" applyNumberFormat="1" applyFill="1" applyBorder="1" applyAlignment="1">
      <alignment horizontal="center"/>
    </xf>
    <xf numFmtId="0" fontId="57" fillId="27" borderId="0" xfId="0" applyFont="1" applyFill="1" applyAlignment="1">
      <alignment horizontal="center"/>
    </xf>
    <xf numFmtId="0" fontId="0" fillId="35" borderId="0" xfId="0" applyFill="1" applyBorder="1" applyAlignment="1">
      <alignment horizontal="center" vertical="top"/>
    </xf>
    <xf numFmtId="0" fontId="57" fillId="27" borderId="0" xfId="0" applyFont="1" applyFill="1" applyAlignment="1"/>
    <xf numFmtId="0" fontId="8" fillId="35" borderId="0" xfId="0" applyFont="1" applyFill="1" applyBorder="1" applyAlignment="1">
      <alignment horizontal="center" vertical="top"/>
    </xf>
    <xf numFmtId="0" fontId="10" fillId="27" borderId="0" xfId="8" applyFill="1" applyBorder="1" applyAlignment="1">
      <alignment horizontal="center"/>
    </xf>
    <xf numFmtId="2" fontId="0" fillId="25" borderId="0" xfId="0" applyNumberFormat="1" applyFill="1" applyBorder="1" applyAlignment="1"/>
    <xf numFmtId="0" fontId="10" fillId="27" borderId="0" xfId="8" applyFill="1" applyBorder="1"/>
    <xf numFmtId="0" fontId="22" fillId="25" borderId="0" xfId="0" applyFont="1" applyFill="1" applyBorder="1" applyAlignment="1"/>
    <xf numFmtId="0" fontId="22" fillId="25" borderId="0" xfId="0" applyFont="1" applyFill="1" applyBorder="1" applyAlignment="1">
      <alignment horizontal="center"/>
    </xf>
    <xf numFmtId="165" fontId="22" fillId="25" borderId="0" xfId="0" applyNumberFormat="1" applyFont="1" applyFill="1" applyBorder="1" applyAlignment="1">
      <alignment horizontal="center"/>
    </xf>
    <xf numFmtId="0" fontId="58" fillId="27" borderId="0" xfId="0" applyFont="1" applyFill="1" applyAlignment="1"/>
    <xf numFmtId="0" fontId="17" fillId="27" borderId="0" xfId="8" applyFont="1" applyFill="1" applyBorder="1" applyAlignment="1">
      <alignment horizontal="center"/>
    </xf>
    <xf numFmtId="0" fontId="22" fillId="27" borderId="0" xfId="8" applyFont="1" applyFill="1" applyBorder="1" applyAlignment="1">
      <alignment horizontal="center"/>
    </xf>
    <xf numFmtId="0" fontId="18" fillId="25" borderId="0" xfId="0" applyFont="1" applyFill="1" applyBorder="1" applyAlignment="1"/>
    <xf numFmtId="0" fontId="0" fillId="25" borderId="0" xfId="0" applyFill="1" applyAlignment="1">
      <alignment horizontal="center"/>
    </xf>
    <xf numFmtId="0" fontId="0" fillId="27" borderId="0" xfId="0" applyFill="1" applyAlignment="1">
      <alignment horizontal="center"/>
    </xf>
    <xf numFmtId="0" fontId="5" fillId="27" borderId="0" xfId="0" applyFont="1" applyFill="1" applyBorder="1" applyAlignment="1"/>
    <xf numFmtId="167" fontId="10" fillId="27" borderId="0" xfId="10" applyNumberFormat="1" applyFont="1" applyFill="1" applyAlignment="1"/>
    <xf numFmtId="167" fontId="1" fillId="27" borderId="0" xfId="10" applyNumberFormat="1" applyFont="1" applyFill="1" applyAlignment="1"/>
    <xf numFmtId="167" fontId="58" fillId="27" borderId="0" xfId="10" applyNumberFormat="1" applyFont="1" applyFill="1" applyAlignment="1"/>
    <xf numFmtId="0" fontId="18" fillId="27" borderId="0" xfId="0" applyFont="1" applyFill="1" applyAlignment="1"/>
    <xf numFmtId="0" fontId="18" fillId="27" borderId="0" xfId="0" applyFont="1" applyFill="1" applyBorder="1" applyAlignment="1">
      <alignment wrapText="1"/>
    </xf>
    <xf numFmtId="2" fontId="18" fillId="27" borderId="0" xfId="0" applyNumberFormat="1" applyFont="1" applyFill="1" applyBorder="1" applyAlignment="1">
      <alignment horizontal="center" vertical="top" wrapText="1"/>
    </xf>
    <xf numFmtId="0" fontId="18" fillId="27" borderId="0" xfId="0" applyFont="1" applyFill="1" applyBorder="1" applyAlignment="1">
      <alignment vertical="top" wrapText="1"/>
    </xf>
    <xf numFmtId="0" fontId="8" fillId="27" borderId="0" xfId="0" applyFont="1" applyFill="1" applyBorder="1" applyAlignment="1">
      <alignment wrapText="1"/>
    </xf>
    <xf numFmtId="0" fontId="18" fillId="27" borderId="0" xfId="0" applyFont="1" applyFill="1" applyBorder="1" applyAlignment="1"/>
    <xf numFmtId="167" fontId="0" fillId="0" borderId="0" xfId="0" applyNumberFormat="1" applyAlignment="1"/>
    <xf numFmtId="167" fontId="1" fillId="0" borderId="0" xfId="10" applyNumberFormat="1" applyFont="1" applyFill="1" applyAlignment="1"/>
    <xf numFmtId="0" fontId="0" fillId="27" borderId="2" xfId="0" applyFill="1" applyBorder="1" applyAlignment="1"/>
    <xf numFmtId="0" fontId="31" fillId="3" borderId="115" xfId="0" applyFont="1" applyFill="1" applyBorder="1" applyAlignment="1" applyProtection="1">
      <protection locked="0"/>
    </xf>
    <xf numFmtId="0" fontId="51" fillId="3" borderId="9" xfId="0" applyFont="1" applyFill="1" applyBorder="1" applyAlignment="1">
      <alignment horizontal="center"/>
    </xf>
    <xf numFmtId="14" fontId="8" fillId="0" borderId="0" xfId="0" applyNumberFormat="1" applyFont="1" applyFill="1" applyAlignment="1">
      <alignment vertical="center"/>
    </xf>
    <xf numFmtId="0" fontId="0" fillId="0" borderId="0" xfId="0" applyAlignment="1">
      <alignment vertical="center"/>
    </xf>
    <xf numFmtId="0" fontId="0" fillId="0" borderId="0" xfId="0" applyNumberFormat="1" applyFill="1" applyAlignment="1">
      <alignment wrapText="1"/>
    </xf>
    <xf numFmtId="0" fontId="0" fillId="0" borderId="0" xfId="0" applyAlignment="1">
      <alignment wrapText="1"/>
    </xf>
    <xf numFmtId="166" fontId="5" fillId="5" borderId="2" xfId="0" applyNumberFormat="1" applyFont="1" applyFill="1" applyBorder="1" applyAlignment="1">
      <alignment horizontal="center"/>
    </xf>
    <xf numFmtId="0" fontId="8" fillId="0" borderId="2" xfId="0" applyFont="1" applyBorder="1" applyAlignment="1">
      <alignment horizontal="center"/>
    </xf>
    <xf numFmtId="0" fontId="11" fillId="5" borderId="5" xfId="0" applyFont="1" applyFill="1" applyBorder="1" applyAlignment="1">
      <alignment horizontal="center"/>
    </xf>
    <xf numFmtId="0" fontId="0" fillId="0" borderId="5" xfId="0" applyBorder="1" applyAlignment="1">
      <alignment horizontal="center"/>
    </xf>
    <xf numFmtId="0" fontId="0" fillId="0" borderId="0" xfId="0" applyFill="1" applyAlignment="1">
      <alignment wrapText="1"/>
    </xf>
    <xf numFmtId="0" fontId="10" fillId="0" borderId="0" xfId="0" applyNumberFormat="1" applyFont="1" applyFill="1" applyAlignment="1">
      <alignment wrapText="1"/>
    </xf>
    <xf numFmtId="0" fontId="10" fillId="0" borderId="0" xfId="0" applyFont="1" applyAlignment="1">
      <alignment horizontal="justify"/>
    </xf>
    <xf numFmtId="0" fontId="0" fillId="0" borderId="0" xfId="0" applyAlignment="1"/>
    <xf numFmtId="0" fontId="5" fillId="7" borderId="0" xfId="0" applyFont="1" applyFill="1" applyAlignment="1" applyProtection="1">
      <alignment horizontal="center" vertical="center"/>
    </xf>
    <xf numFmtId="0" fontId="0" fillId="3" borderId="0" xfId="0" applyFill="1" applyAlignment="1" applyProtection="1">
      <alignment horizontal="center" vertical="center"/>
    </xf>
    <xf numFmtId="10" fontId="8" fillId="21" borderId="31" xfId="0" applyNumberFormat="1" applyFont="1" applyFill="1" applyBorder="1" applyAlignment="1" applyProtection="1">
      <alignment horizontal="center"/>
      <protection locked="0"/>
    </xf>
    <xf numFmtId="10" fontId="8" fillId="20" borderId="95" xfId="0" applyNumberFormat="1" applyFont="1" applyFill="1" applyBorder="1" applyAlignment="1" applyProtection="1">
      <alignment horizontal="center"/>
      <protection locked="0"/>
    </xf>
    <xf numFmtId="0" fontId="8" fillId="3" borderId="7" xfId="0" applyFont="1" applyFill="1" applyBorder="1" applyAlignment="1">
      <alignment horizontal="right"/>
    </xf>
    <xf numFmtId="0" fontId="34" fillId="3" borderId="5" xfId="0" applyFont="1" applyFill="1" applyBorder="1" applyAlignment="1" applyProtection="1">
      <alignment horizontal="left" vertical="center" wrapText="1"/>
    </xf>
    <xf numFmtId="0" fontId="0" fillId="3" borderId="5" xfId="0" applyFill="1" applyBorder="1" applyAlignment="1" applyProtection="1">
      <alignment horizontal="left" vertical="center" wrapText="1"/>
    </xf>
    <xf numFmtId="0" fontId="34" fillId="3" borderId="2" xfId="0" applyFont="1" applyFill="1" applyBorder="1" applyAlignment="1" applyProtection="1">
      <alignment horizontal="left" vertical="center" wrapText="1"/>
    </xf>
    <xf numFmtId="0" fontId="0" fillId="3" borderId="2" xfId="0" applyFill="1" applyBorder="1" applyAlignment="1" applyProtection="1">
      <alignment wrapText="1"/>
    </xf>
    <xf numFmtId="0" fontId="17" fillId="14" borderId="12" xfId="0" applyFont="1" applyFill="1" applyBorder="1" applyAlignment="1">
      <alignment wrapText="1"/>
    </xf>
    <xf numFmtId="0" fontId="22" fillId="14" borderId="12" xfId="0" applyFont="1" applyFill="1" applyBorder="1" applyAlignment="1">
      <alignment wrapText="1"/>
    </xf>
    <xf numFmtId="0" fontId="22" fillId="0" borderId="12" xfId="0" applyFont="1" applyBorder="1" applyAlignment="1">
      <alignment wrapText="1"/>
    </xf>
    <xf numFmtId="0" fontId="49" fillId="3" borderId="45" xfId="0" applyFont="1" applyFill="1" applyBorder="1" applyAlignment="1" applyProtection="1">
      <alignment horizontal="left" vertical="center" wrapText="1"/>
    </xf>
    <xf numFmtId="0" fontId="0" fillId="0" borderId="44" xfId="0" applyBorder="1" applyAlignment="1"/>
    <xf numFmtId="0" fontId="3" fillId="0" borderId="0" xfId="0" applyFont="1" applyFill="1" applyBorder="1" applyAlignment="1" applyProtection="1">
      <alignment horizontal="center" wrapText="1"/>
      <protection locked="0"/>
    </xf>
    <xf numFmtId="0" fontId="3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0" xfId="0" applyFill="1" applyBorder="1" applyAlignment="1" applyProtection="1"/>
    <xf numFmtId="0" fontId="17" fillId="14" borderId="21" xfId="0" applyFont="1" applyFill="1" applyBorder="1" applyAlignment="1"/>
    <xf numFmtId="0" fontId="0" fillId="0" borderId="0" xfId="0" applyBorder="1" applyAlignment="1"/>
    <xf numFmtId="0" fontId="5" fillId="20" borderId="94" xfId="0" applyFont="1" applyFill="1" applyBorder="1" applyAlignment="1" applyProtection="1">
      <alignment horizontal="center" vertical="center"/>
      <protection locked="0"/>
    </xf>
    <xf numFmtId="0" fontId="18" fillId="20" borderId="40" xfId="0" applyFont="1" applyFill="1" applyBorder="1" applyAlignment="1" applyProtection="1">
      <alignment horizontal="center" vertical="center"/>
      <protection locked="0"/>
    </xf>
    <xf numFmtId="0" fontId="5" fillId="21" borderId="31" xfId="0" applyFont="1" applyFill="1" applyBorder="1" applyAlignment="1" applyProtection="1">
      <alignment horizontal="center"/>
      <protection locked="0"/>
    </xf>
    <xf numFmtId="0" fontId="8" fillId="20" borderId="95" xfId="0" applyFont="1" applyFill="1" applyBorder="1" applyAlignment="1" applyProtection="1">
      <alignment horizontal="center"/>
      <protection locked="0"/>
    </xf>
    <xf numFmtId="0" fontId="0" fillId="3" borderId="5" xfId="0" applyFill="1" applyBorder="1" applyAlignment="1" applyProtection="1"/>
    <xf numFmtId="0" fontId="6" fillId="14" borderId="0" xfId="0" applyFont="1" applyFill="1" applyAlignment="1" applyProtection="1"/>
    <xf numFmtId="0" fontId="11" fillId="14" borderId="4" xfId="0" applyFont="1" applyFill="1" applyBorder="1" applyAlignment="1" applyProtection="1">
      <alignment horizontal="left" vertical="center"/>
    </xf>
    <xf numFmtId="0" fontId="0" fillId="14" borderId="5" xfId="0" applyFill="1" applyBorder="1" applyAlignment="1" applyProtection="1">
      <alignment horizontal="left" vertical="center"/>
    </xf>
    <xf numFmtId="0" fontId="0" fillId="14" borderId="6" xfId="0" applyFill="1" applyBorder="1" applyAlignment="1" applyProtection="1">
      <alignment horizontal="left" vertical="center"/>
    </xf>
    <xf numFmtId="0" fontId="0" fillId="14" borderId="7" xfId="0" applyFill="1" applyBorder="1" applyAlignment="1" applyProtection="1">
      <alignment horizontal="left" vertical="center"/>
    </xf>
    <xf numFmtId="0" fontId="0" fillId="14" borderId="2" xfId="0" applyFill="1" applyBorder="1" applyAlignment="1" applyProtection="1">
      <alignment horizontal="left" vertical="center"/>
    </xf>
    <xf numFmtId="0" fontId="0" fillId="14" borderId="8" xfId="0" applyFill="1" applyBorder="1" applyAlignment="1" applyProtection="1">
      <alignment horizontal="left" vertical="center"/>
    </xf>
    <xf numFmtId="0" fontId="14" fillId="0" borderId="31" xfId="0" applyFont="1" applyBorder="1" applyAlignment="1" applyProtection="1">
      <alignment horizontal="center" wrapText="1"/>
      <protection locked="0"/>
    </xf>
    <xf numFmtId="0" fontId="14" fillId="0" borderId="28" xfId="0" applyFont="1" applyBorder="1" applyAlignment="1" applyProtection="1">
      <alignment horizontal="center" wrapText="1"/>
      <protection locked="0"/>
    </xf>
    <xf numFmtId="0" fontId="5" fillId="0" borderId="98" xfId="0" applyFont="1" applyBorder="1" applyAlignment="1" applyProtection="1">
      <alignment horizontal="center" wrapText="1"/>
    </xf>
    <xf numFmtId="0" fontId="0" fillId="0" borderId="98" xfId="0" applyBorder="1" applyAlignment="1">
      <alignment horizontal="center" wrapText="1"/>
    </xf>
    <xf numFmtId="0" fontId="8" fillId="0" borderId="98" xfId="0" applyFont="1" applyBorder="1" applyAlignment="1" applyProtection="1">
      <alignment horizontal="center" wrapText="1"/>
    </xf>
    <xf numFmtId="0" fontId="0" fillId="0" borderId="98" xfId="0" applyBorder="1" applyAlignment="1" applyProtection="1">
      <alignment horizontal="center" wrapText="1"/>
      <protection locked="0"/>
    </xf>
    <xf numFmtId="0" fontId="5" fillId="0" borderId="96" xfId="0" applyFont="1" applyBorder="1" applyAlignment="1" applyProtection="1">
      <alignment horizontal="center" wrapText="1"/>
    </xf>
    <xf numFmtId="0" fontId="0" fillId="0" borderId="97" xfId="0" applyBorder="1" applyAlignment="1">
      <alignment horizontal="center" wrapText="1"/>
    </xf>
    <xf numFmtId="0" fontId="11" fillId="0" borderId="0" xfId="0" applyFont="1" applyBorder="1" applyAlignment="1" applyProtection="1">
      <alignment vertical="center"/>
      <protection locked="0"/>
    </xf>
    <xf numFmtId="0" fontId="11" fillId="0" borderId="0" xfId="0" applyFont="1" applyBorder="1" applyAlignment="1">
      <alignment vertical="center"/>
    </xf>
    <xf numFmtId="0" fontId="11" fillId="0" borderId="2" xfId="0" applyFont="1" applyBorder="1" applyAlignment="1">
      <alignment vertical="center"/>
    </xf>
    <xf numFmtId="0" fontId="14" fillId="14" borderId="55" xfId="0" applyFont="1" applyFill="1" applyBorder="1" applyAlignment="1" applyProtection="1">
      <alignment vertical="center"/>
    </xf>
    <xf numFmtId="0" fontId="16" fillId="14" borderId="53" xfId="0" applyFont="1" applyFill="1" applyBorder="1" applyAlignment="1" applyProtection="1">
      <alignment vertical="center"/>
    </xf>
    <xf numFmtId="0" fontId="8" fillId="3" borderId="0" xfId="0" applyFont="1" applyFill="1" applyBorder="1" applyAlignment="1" applyProtection="1">
      <alignment horizontal="right"/>
    </xf>
    <xf numFmtId="0" fontId="0" fillId="3" borderId="10" xfId="0" applyFill="1" applyBorder="1" applyAlignment="1" applyProtection="1"/>
    <xf numFmtId="0" fontId="8" fillId="3" borderId="2" xfId="0" applyFont="1" applyFill="1" applyBorder="1" applyAlignment="1" applyProtection="1">
      <alignment horizontal="right"/>
    </xf>
    <xf numFmtId="0" fontId="0" fillId="3" borderId="19" xfId="0" applyFill="1" applyBorder="1" applyAlignment="1" applyProtection="1"/>
    <xf numFmtId="0" fontId="15" fillId="3" borderId="4" xfId="0" applyFont="1" applyFill="1" applyBorder="1" applyAlignment="1" applyProtection="1">
      <alignment vertical="center"/>
    </xf>
    <xf numFmtId="0" fontId="0" fillId="3" borderId="21" xfId="0" applyFill="1" applyBorder="1" applyAlignment="1" applyProtection="1">
      <alignment vertical="center"/>
    </xf>
    <xf numFmtId="0" fontId="0" fillId="3" borderId="7" xfId="0" applyFill="1" applyBorder="1" applyAlignment="1" applyProtection="1">
      <alignment vertical="center"/>
    </xf>
    <xf numFmtId="0" fontId="8" fillId="3" borderId="5" xfId="0" applyFont="1" applyFill="1" applyBorder="1" applyAlignment="1" applyProtection="1">
      <alignment horizontal="right"/>
    </xf>
    <xf numFmtId="0" fontId="0" fillId="3" borderId="58" xfId="0" applyFill="1" applyBorder="1" applyAlignment="1" applyProtection="1"/>
    <xf numFmtId="0" fontId="0" fillId="3" borderId="10" xfId="0" applyFill="1" applyBorder="1" applyAlignment="1" applyProtection="1">
      <alignment horizontal="right"/>
    </xf>
    <xf numFmtId="0" fontId="8" fillId="3" borderId="63"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8" fillId="2" borderId="9" xfId="0" applyFont="1" applyFill="1" applyBorder="1" applyAlignment="1" applyProtection="1">
      <alignment horizontal="center"/>
    </xf>
    <xf numFmtId="0" fontId="8" fillId="3" borderId="18" xfId="0" applyFont="1" applyFill="1" applyBorder="1" applyAlignment="1" applyProtection="1">
      <alignment horizontal="center"/>
    </xf>
    <xf numFmtId="0" fontId="8" fillId="0" borderId="2" xfId="0" applyFont="1" applyFill="1" applyBorder="1" applyAlignment="1" applyProtection="1">
      <alignment horizontal="center"/>
    </xf>
    <xf numFmtId="0" fontId="14" fillId="3" borderId="4" xfId="0" applyFont="1" applyFill="1" applyBorder="1" applyAlignment="1" applyProtection="1">
      <alignment horizontal="left" vertical="center"/>
    </xf>
    <xf numFmtId="0" fontId="0" fillId="3" borderId="21" xfId="0" applyFill="1" applyBorder="1" applyAlignment="1" applyProtection="1"/>
    <xf numFmtId="0" fontId="0" fillId="3" borderId="7" xfId="0" applyFill="1" applyBorder="1" applyAlignment="1" applyProtection="1"/>
    <xf numFmtId="0" fontId="8" fillId="0" borderId="0" xfId="0" applyFont="1" applyFill="1" applyBorder="1" applyAlignment="1" applyProtection="1">
      <alignment horizontal="center"/>
    </xf>
    <xf numFmtId="0" fontId="0" fillId="0" borderId="0" xfId="0" applyFill="1" applyBorder="1" applyAlignment="1" applyProtection="1">
      <alignment horizontal="center"/>
    </xf>
    <xf numFmtId="0" fontId="14" fillId="3" borderId="55" xfId="0" applyFont="1" applyFill="1" applyBorder="1" applyAlignment="1" applyProtection="1">
      <alignment horizontal="left" wrapText="1"/>
    </xf>
    <xf numFmtId="0" fontId="0" fillId="3" borderId="52" xfId="0" applyFill="1" applyBorder="1" applyAlignment="1" applyProtection="1">
      <alignment horizontal="left" wrapText="1"/>
    </xf>
    <xf numFmtId="0" fontId="0" fillId="3" borderId="92" xfId="0" applyFill="1" applyBorder="1" applyAlignment="1" applyProtection="1">
      <alignment horizontal="left" wrapText="1"/>
    </xf>
    <xf numFmtId="0" fontId="8" fillId="15" borderId="11" xfId="0" applyFont="1" applyFill="1" applyBorder="1" applyAlignment="1" applyProtection="1">
      <alignment horizontal="center"/>
    </xf>
    <xf numFmtId="0" fontId="0" fillId="14" borderId="12" xfId="0" applyFill="1" applyBorder="1" applyAlignment="1" applyProtection="1">
      <alignment horizontal="center"/>
    </xf>
    <xf numFmtId="0" fontId="0" fillId="14" borderId="56" xfId="0" applyFill="1" applyBorder="1" applyAlignment="1" applyProtection="1">
      <alignment horizontal="center"/>
    </xf>
    <xf numFmtId="0" fontId="8" fillId="25" borderId="0" xfId="0" applyFont="1" applyFill="1" applyBorder="1" applyAlignment="1" applyProtection="1">
      <alignment horizontal="center"/>
      <protection locked="0"/>
    </xf>
    <xf numFmtId="0" fontId="0" fillId="25" borderId="0" xfId="0" applyFill="1" applyBorder="1" applyAlignment="1">
      <alignment horizontal="center"/>
    </xf>
    <xf numFmtId="0" fontId="14" fillId="14" borderId="55" xfId="0" applyFont="1" applyFill="1" applyBorder="1" applyAlignment="1" applyProtection="1">
      <alignment horizontal="left" vertical="center" wrapText="1"/>
    </xf>
    <xf numFmtId="0" fontId="0" fillId="14" borderId="52" xfId="0" applyFill="1" applyBorder="1" applyAlignment="1" applyProtection="1">
      <alignment horizontal="left" vertical="center" wrapText="1"/>
    </xf>
    <xf numFmtId="0" fontId="0" fillId="14" borderId="67" xfId="0" applyFill="1" applyBorder="1" applyAlignment="1" applyProtection="1">
      <alignment horizontal="left" vertical="center" wrapText="1"/>
    </xf>
    <xf numFmtId="0" fontId="14" fillId="0" borderId="52" xfId="0" applyFont="1" applyFill="1" applyBorder="1" applyAlignment="1" applyProtection="1">
      <alignment horizontal="left" vertical="center" wrapText="1"/>
    </xf>
    <xf numFmtId="0" fontId="8" fillId="0" borderId="9"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15" borderId="63" xfId="0" applyFont="1" applyFill="1" applyBorder="1" applyAlignment="1" applyProtection="1">
      <alignment horizontal="center"/>
    </xf>
    <xf numFmtId="0" fontId="0" fillId="0" borderId="6" xfId="0" applyBorder="1" applyAlignment="1">
      <alignment horizontal="center"/>
    </xf>
    <xf numFmtId="0" fontId="8" fillId="15" borderId="99" xfId="0" applyFont="1" applyFill="1" applyBorder="1" applyAlignment="1" applyProtection="1">
      <alignment horizontal="center"/>
      <protection locked="0"/>
    </xf>
    <xf numFmtId="0" fontId="0" fillId="0" borderId="99" xfId="0" applyBorder="1" applyAlignment="1">
      <alignment horizontal="center"/>
    </xf>
    <xf numFmtId="0" fontId="0" fillId="0" borderId="32" xfId="0" applyBorder="1" applyAlignment="1">
      <alignment horizontal="center"/>
    </xf>
    <xf numFmtId="0" fontId="13" fillId="14" borderId="55" xfId="0" applyFont="1" applyFill="1" applyBorder="1" applyAlignment="1" applyProtection="1">
      <alignment horizontal="left" vertical="center" wrapText="1"/>
    </xf>
    <xf numFmtId="0" fontId="0" fillId="0" borderId="92" xfId="0" applyBorder="1" applyAlignment="1">
      <alignment horizontal="left"/>
    </xf>
    <xf numFmtId="0" fontId="17" fillId="14" borderId="63" xfId="0" applyFont="1" applyFill="1" applyBorder="1" applyAlignment="1" applyProtection="1">
      <alignment horizontal="center" vertical="center"/>
      <protection locked="0"/>
    </xf>
    <xf numFmtId="0" fontId="0" fillId="0" borderId="6" xfId="0" applyBorder="1" applyAlignment="1">
      <alignment vertical="center"/>
    </xf>
    <xf numFmtId="0" fontId="0" fillId="0" borderId="11" xfId="0" applyBorder="1" applyAlignment="1">
      <alignment vertical="center"/>
    </xf>
    <xf numFmtId="0" fontId="0" fillId="0" borderId="56" xfId="0" applyBorder="1" applyAlignment="1">
      <alignment vertical="center"/>
    </xf>
    <xf numFmtId="0" fontId="3" fillId="14" borderId="94" xfId="0" applyFont="1" applyFill="1" applyBorder="1" applyAlignment="1" applyProtection="1">
      <alignment horizontal="center" vertical="center" wrapText="1"/>
      <protection locked="0"/>
    </xf>
    <xf numFmtId="0" fontId="0" fillId="0" borderId="51" xfId="0" applyBorder="1" applyAlignment="1">
      <alignment horizontal="center" vertical="center"/>
    </xf>
    <xf numFmtId="0" fontId="0" fillId="0" borderId="40" xfId="0" applyBorder="1" applyAlignment="1">
      <alignment horizontal="center" vertical="center"/>
    </xf>
    <xf numFmtId="0" fontId="13" fillId="3" borderId="55" xfId="0" applyFont="1" applyFill="1" applyBorder="1" applyAlignment="1" applyProtection="1">
      <alignment horizontal="left" vertical="center" wrapText="1"/>
    </xf>
    <xf numFmtId="0" fontId="0" fillId="3" borderId="52" xfId="0" applyFill="1" applyBorder="1" applyAlignment="1" applyProtection="1">
      <alignment horizontal="left" vertical="center" wrapText="1"/>
    </xf>
    <xf numFmtId="0" fontId="0" fillId="3" borderId="92" xfId="0" applyFill="1" applyBorder="1" applyAlignment="1" applyProtection="1">
      <alignment horizontal="left" vertical="center" wrapText="1"/>
    </xf>
    <xf numFmtId="0" fontId="8" fillId="14" borderId="63" xfId="0" applyFont="1" applyFill="1" applyBorder="1" applyAlignment="1" applyProtection="1">
      <alignment horizontal="center"/>
    </xf>
    <xf numFmtId="0" fontId="0" fillId="14" borderId="6" xfId="0" applyFill="1" applyBorder="1" applyAlignment="1" applyProtection="1">
      <alignment horizontal="center"/>
    </xf>
    <xf numFmtId="0" fontId="8" fillId="7" borderId="0" xfId="0" applyFont="1" applyFill="1" applyBorder="1" applyAlignment="1" applyProtection="1">
      <alignment horizontal="center"/>
    </xf>
    <xf numFmtId="0" fontId="0" fillId="7" borderId="0" xfId="0" applyFill="1" applyBorder="1" applyAlignment="1" applyProtection="1">
      <alignment horizontal="center"/>
    </xf>
    <xf numFmtId="0" fontId="0" fillId="0" borderId="58" xfId="0" applyBorder="1" applyAlignment="1">
      <alignment horizontal="center"/>
    </xf>
    <xf numFmtId="0" fontId="0" fillId="0" borderId="52" xfId="0" applyBorder="1" applyAlignment="1">
      <alignment horizontal="left" vertical="center" wrapText="1"/>
    </xf>
    <xf numFmtId="0" fontId="0" fillId="0" borderId="92" xfId="0" applyBorder="1" applyAlignment="1">
      <alignment horizontal="left" vertical="center" wrapText="1"/>
    </xf>
    <xf numFmtId="0" fontId="8" fillId="27" borderId="2" xfId="0" applyFont="1" applyFill="1" applyBorder="1" applyAlignment="1" applyProtection="1">
      <alignment horizontal="center"/>
    </xf>
    <xf numFmtId="0" fontId="14" fillId="27" borderId="52" xfId="0" applyFont="1" applyFill="1" applyBorder="1" applyAlignment="1" applyProtection="1">
      <alignment horizontal="left" vertical="center" wrapText="1"/>
    </xf>
    <xf numFmtId="0" fontId="8" fillId="27" borderId="9" xfId="0" applyFont="1" applyFill="1" applyBorder="1" applyAlignment="1" applyProtection="1">
      <alignment horizontal="center"/>
      <protection locked="0"/>
    </xf>
    <xf numFmtId="0" fontId="8" fillId="27" borderId="0" xfId="0" applyFont="1" applyFill="1" applyBorder="1" applyAlignment="1" applyProtection="1">
      <alignment horizontal="center"/>
      <protection locked="0"/>
    </xf>
    <xf numFmtId="0" fontId="8" fillId="27" borderId="18" xfId="0" applyFont="1" applyFill="1" applyBorder="1" applyAlignment="1" applyProtection="1">
      <alignment horizontal="center"/>
      <protection locked="0"/>
    </xf>
    <xf numFmtId="0" fontId="8" fillId="27" borderId="0" xfId="0" applyFont="1" applyFill="1" applyBorder="1" applyAlignment="1" applyProtection="1">
      <alignment horizontal="center"/>
    </xf>
    <xf numFmtId="0" fontId="0" fillId="27" borderId="0" xfId="0" applyFill="1" applyBorder="1" applyAlignment="1" applyProtection="1">
      <alignment horizontal="center"/>
    </xf>
    <xf numFmtId="0" fontId="17" fillId="3" borderId="0" xfId="0" applyFont="1" applyFill="1" applyBorder="1" applyAlignment="1" applyProtection="1">
      <protection locked="0"/>
    </xf>
    <xf numFmtId="0" fontId="0" fillId="3" borderId="0" xfId="0" applyFill="1" applyBorder="1" applyAlignment="1" applyProtection="1">
      <protection locked="0"/>
    </xf>
    <xf numFmtId="0" fontId="8" fillId="3" borderId="21" xfId="0" applyFont="1" applyFill="1" applyBorder="1" applyAlignment="1" applyProtection="1">
      <alignment horizontal="right"/>
    </xf>
    <xf numFmtId="0" fontId="0" fillId="3" borderId="0" xfId="0" applyFill="1" applyBorder="1" applyAlignment="1" applyProtection="1">
      <alignment horizontal="right"/>
    </xf>
    <xf numFmtId="0" fontId="8" fillId="3" borderId="21" xfId="0" applyFont="1" applyFill="1" applyBorder="1" applyAlignment="1">
      <alignment horizontal="right"/>
    </xf>
    <xf numFmtId="0" fontId="0" fillId="3" borderId="0" xfId="0" applyFill="1" applyAlignment="1">
      <alignment horizontal="right"/>
    </xf>
    <xf numFmtId="0" fontId="8" fillId="3" borderId="0" xfId="0" applyFont="1" applyFill="1" applyBorder="1" applyAlignment="1">
      <alignment horizontal="right"/>
    </xf>
    <xf numFmtId="0" fontId="8" fillId="3" borderId="50" xfId="0" applyFont="1" applyFill="1" applyBorder="1" applyAlignment="1" applyProtection="1"/>
    <xf numFmtId="0" fontId="0" fillId="3" borderId="51" xfId="0" applyFill="1" applyBorder="1" applyAlignment="1" applyProtection="1"/>
    <xf numFmtId="0" fontId="0" fillId="3" borderId="40" xfId="0" applyFill="1" applyBorder="1" applyAlignment="1" applyProtection="1"/>
    <xf numFmtId="0" fontId="0" fillId="3" borderId="2" xfId="0" applyFill="1" applyBorder="1" applyAlignment="1">
      <alignment horizontal="right"/>
    </xf>
    <xf numFmtId="0" fontId="8" fillId="3" borderId="4" xfId="0" applyFont="1" applyFill="1" applyBorder="1" applyAlignment="1">
      <alignment horizontal="right"/>
    </xf>
    <xf numFmtId="0" fontId="0" fillId="3" borderId="5" xfId="0" applyFill="1" applyBorder="1" applyAlignment="1">
      <alignment horizontal="right"/>
    </xf>
    <xf numFmtId="0" fontId="17" fillId="14" borderId="4" xfId="0" applyFont="1" applyFill="1" applyBorder="1" applyAlignment="1" applyProtection="1"/>
    <xf numFmtId="0" fontId="0" fillId="14" borderId="5" xfId="0" applyFill="1" applyBorder="1" applyAlignment="1" applyProtection="1"/>
    <xf numFmtId="0" fontId="0" fillId="14" borderId="6" xfId="0" applyFill="1" applyBorder="1" applyAlignment="1" applyProtection="1"/>
    <xf numFmtId="2" fontId="8" fillId="3" borderId="12" xfId="0" applyNumberFormat="1" applyFont="1" applyFill="1" applyBorder="1" applyAlignment="1" applyProtection="1">
      <alignment horizontal="center"/>
      <protection locked="0"/>
    </xf>
    <xf numFmtId="2" fontId="0" fillId="3" borderId="56" xfId="0" applyNumberFormat="1" applyFill="1" applyBorder="1" applyAlignment="1" applyProtection="1">
      <protection locked="0"/>
    </xf>
    <xf numFmtId="2" fontId="8" fillId="3" borderId="9" xfId="0" applyNumberFormat="1" applyFont="1" applyFill="1" applyBorder="1" applyAlignment="1" applyProtection="1">
      <alignment horizontal="center"/>
    </xf>
    <xf numFmtId="2" fontId="8" fillId="3" borderId="18" xfId="0" applyNumberFormat="1" applyFont="1" applyFill="1" applyBorder="1" applyAlignment="1" applyProtection="1">
      <alignment horizontal="center"/>
    </xf>
    <xf numFmtId="0" fontId="17" fillId="14" borderId="39" xfId="0" applyFont="1" applyFill="1" applyBorder="1" applyAlignment="1"/>
    <xf numFmtId="0" fontId="0" fillId="14" borderId="20" xfId="0" applyFill="1" applyBorder="1" applyAlignment="1"/>
    <xf numFmtId="0" fontId="0" fillId="14" borderId="29" xfId="0" applyFill="1" applyBorder="1" applyAlignment="1"/>
    <xf numFmtId="0" fontId="8" fillId="3" borderId="50" xfId="0" applyFont="1" applyFill="1" applyBorder="1" applyAlignment="1"/>
    <xf numFmtId="0" fontId="0" fillId="3" borderId="51" xfId="0" applyFill="1" applyBorder="1" applyAlignment="1"/>
    <xf numFmtId="0" fontId="0" fillId="3" borderId="40" xfId="0" applyFill="1" applyBorder="1" applyAlignment="1"/>
    <xf numFmtId="2" fontId="8" fillId="3" borderId="0" xfId="0" applyNumberFormat="1" applyFont="1" applyFill="1" applyBorder="1" applyAlignment="1" applyProtection="1">
      <alignment horizontal="center"/>
      <protection locked="0"/>
    </xf>
    <xf numFmtId="2" fontId="0" fillId="3" borderId="18" xfId="0" applyNumberFormat="1" applyFill="1" applyBorder="1" applyAlignment="1" applyProtection="1">
      <protection locked="0"/>
    </xf>
    <xf numFmtId="2" fontId="8" fillId="3" borderId="25" xfId="0" applyNumberFormat="1" applyFont="1" applyFill="1" applyBorder="1" applyAlignment="1" applyProtection="1">
      <alignment horizontal="center"/>
    </xf>
    <xf numFmtId="2" fontId="8" fillId="3" borderId="57" xfId="0" applyNumberFormat="1" applyFont="1" applyFill="1" applyBorder="1" applyAlignment="1" applyProtection="1">
      <alignment horizontal="center"/>
    </xf>
    <xf numFmtId="0" fontId="8" fillId="3" borderId="62" xfId="0" applyFont="1" applyFill="1" applyBorder="1" applyAlignment="1">
      <alignment horizontal="right"/>
    </xf>
    <xf numFmtId="0" fontId="8" fillId="3" borderId="12" xfId="0" applyFont="1" applyFill="1" applyBorder="1" applyAlignment="1">
      <alignment horizontal="right"/>
    </xf>
    <xf numFmtId="2" fontId="8" fillId="7" borderId="100" xfId="0" applyNumberFormat="1" applyFont="1" applyFill="1" applyBorder="1" applyAlignment="1" applyProtection="1">
      <alignment horizontal="center"/>
    </xf>
    <xf numFmtId="2" fontId="0" fillId="7" borderId="101" xfId="0" applyNumberFormat="1" applyFill="1" applyBorder="1" applyAlignment="1" applyProtection="1"/>
    <xf numFmtId="0" fontId="8" fillId="7" borderId="50" xfId="0" applyFont="1" applyFill="1" applyBorder="1" applyAlignment="1" applyProtection="1"/>
    <xf numFmtId="0" fontId="0" fillId="7" borderId="51" xfId="0" applyFill="1" applyBorder="1" applyAlignment="1" applyProtection="1"/>
    <xf numFmtId="0" fontId="0" fillId="7" borderId="40" xfId="0" applyFill="1" applyBorder="1" applyAlignment="1" applyProtection="1"/>
    <xf numFmtId="0" fontId="8" fillId="3" borderId="62" xfId="0" applyFont="1" applyFill="1" applyBorder="1" applyAlignment="1" applyProtection="1">
      <alignment horizontal="right"/>
    </xf>
    <xf numFmtId="0" fontId="0" fillId="3" borderId="12" xfId="0" applyFill="1" applyBorder="1" applyAlignment="1" applyProtection="1">
      <alignment horizontal="right"/>
    </xf>
    <xf numFmtId="2" fontId="8" fillId="3" borderId="11" xfId="0" applyNumberFormat="1" applyFont="1" applyFill="1" applyBorder="1" applyAlignment="1" applyProtection="1">
      <alignment horizontal="center"/>
    </xf>
    <xf numFmtId="2" fontId="8" fillId="3" borderId="56" xfId="0" applyNumberFormat="1" applyFont="1" applyFill="1" applyBorder="1" applyAlignment="1" applyProtection="1">
      <alignment horizontal="center"/>
    </xf>
    <xf numFmtId="0" fontId="8" fillId="22" borderId="50" xfId="0" applyFont="1" applyFill="1" applyBorder="1" applyAlignment="1">
      <alignment wrapText="1"/>
    </xf>
    <xf numFmtId="0" fontId="18" fillId="22" borderId="51" xfId="0" applyFont="1" applyFill="1" applyBorder="1" applyAlignment="1">
      <alignment wrapText="1"/>
    </xf>
    <xf numFmtId="0" fontId="18" fillId="22" borderId="40" xfId="0" applyFont="1" applyFill="1" applyBorder="1" applyAlignment="1">
      <alignment wrapText="1"/>
    </xf>
    <xf numFmtId="0" fontId="8" fillId="5" borderId="4" xfId="0" applyFont="1" applyFill="1" applyBorder="1" applyAlignment="1"/>
    <xf numFmtId="0" fontId="8" fillId="5" borderId="5" xfId="0" applyFont="1" applyFill="1" applyBorder="1" applyAlignment="1"/>
    <xf numFmtId="0" fontId="8" fillId="5" borderId="6" xfId="0" applyFont="1" applyFill="1" applyBorder="1" applyAlignment="1"/>
    <xf numFmtId="0" fontId="8" fillId="0" borderId="45" xfId="0" applyFont="1" applyFill="1" applyBorder="1" applyAlignment="1">
      <alignment wrapText="1"/>
    </xf>
    <xf numFmtId="0" fontId="18" fillId="0" borderId="44" xfId="0" applyFont="1" applyFill="1" applyBorder="1" applyAlignment="1">
      <alignment wrapText="1"/>
    </xf>
    <xf numFmtId="0" fontId="18" fillId="0" borderId="31" xfId="0" applyFont="1" applyFill="1" applyBorder="1" applyAlignment="1">
      <alignment wrapText="1"/>
    </xf>
    <xf numFmtId="0" fontId="18" fillId="0" borderId="46" xfId="0" applyFont="1" applyFill="1" applyBorder="1" applyAlignment="1">
      <alignment wrapText="1"/>
    </xf>
    <xf numFmtId="0" fontId="8" fillId="0" borderId="102" xfId="0" applyFont="1" applyFill="1" applyBorder="1" applyAlignment="1"/>
    <xf numFmtId="0" fontId="18" fillId="0" borderId="99" xfId="0" applyFont="1" applyFill="1" applyBorder="1" applyAlignment="1"/>
    <xf numFmtId="0" fontId="18" fillId="0" borderId="94" xfId="0" applyFont="1" applyFill="1" applyBorder="1" applyAlignment="1"/>
    <xf numFmtId="0" fontId="18" fillId="0" borderId="32" xfId="0" applyFont="1" applyFill="1" applyBorder="1" applyAlignment="1"/>
    <xf numFmtId="0" fontId="8" fillId="0" borderId="45" xfId="0" applyFont="1" applyBorder="1" applyAlignment="1">
      <alignment wrapText="1"/>
    </xf>
    <xf numFmtId="0" fontId="18" fillId="0" borderId="44" xfId="0" applyFont="1" applyBorder="1" applyAlignment="1">
      <alignment wrapText="1"/>
    </xf>
    <xf numFmtId="0" fontId="18" fillId="0" borderId="31" xfId="0" applyFont="1" applyBorder="1" applyAlignment="1">
      <alignment wrapText="1"/>
    </xf>
    <xf numFmtId="0" fontId="18" fillId="0" borderId="46" xfId="0" applyFont="1" applyBorder="1" applyAlignment="1">
      <alignment wrapText="1"/>
    </xf>
    <xf numFmtId="0" fontId="18" fillId="0" borderId="91" xfId="0" applyFont="1" applyFill="1" applyBorder="1" applyAlignment="1">
      <alignment horizontal="left" vertical="center" wrapText="1"/>
    </xf>
    <xf numFmtId="0" fontId="18" fillId="0" borderId="59" xfId="0" applyFont="1" applyFill="1" applyBorder="1" applyAlignment="1">
      <alignment horizontal="left" vertical="center" wrapText="1"/>
    </xf>
    <xf numFmtId="0" fontId="18" fillId="0" borderId="77" xfId="0" applyFont="1" applyFill="1" applyBorder="1" applyAlignment="1">
      <alignment horizontal="left" vertical="center" wrapText="1"/>
    </xf>
    <xf numFmtId="0" fontId="8" fillId="0" borderId="84" xfId="0" applyFont="1" applyFill="1" applyBorder="1" applyAlignment="1">
      <alignment horizontal="center"/>
    </xf>
    <xf numFmtId="0" fontId="8" fillId="0" borderId="53" xfId="0" applyFont="1" applyFill="1" applyBorder="1" applyAlignment="1">
      <alignment horizontal="center"/>
    </xf>
    <xf numFmtId="0" fontId="8" fillId="0" borderId="91" xfId="0" applyFont="1" applyFill="1" applyBorder="1" applyAlignment="1">
      <alignment horizontal="center"/>
    </xf>
    <xf numFmtId="0" fontId="0" fillId="0" borderId="77" xfId="0" applyBorder="1" applyAlignment="1">
      <alignment horizontal="center"/>
    </xf>
    <xf numFmtId="0" fontId="8" fillId="0" borderId="31" xfId="0" applyFont="1" applyFill="1" applyBorder="1" applyAlignment="1">
      <alignment horizontal="center"/>
    </xf>
    <xf numFmtId="0" fontId="0" fillId="0" borderId="28" xfId="0" applyBorder="1" applyAlignment="1">
      <alignment horizontal="center"/>
    </xf>
    <xf numFmtId="0" fontId="3" fillId="32" borderId="94" xfId="0" applyNumberFormat="1" applyFont="1" applyFill="1" applyBorder="1" applyAlignment="1">
      <alignment horizontal="center"/>
    </xf>
    <xf numFmtId="0" fontId="6" fillId="32" borderId="51" xfId="0" applyFont="1" applyFill="1" applyBorder="1" applyAlignment="1"/>
    <xf numFmtId="0" fontId="6" fillId="32" borderId="40" xfId="0" applyFont="1" applyFill="1" applyBorder="1" applyAlignment="1"/>
    <xf numFmtId="0" fontId="17" fillId="9" borderId="11" xfId="0" applyFont="1" applyFill="1" applyBorder="1" applyAlignment="1" applyProtection="1">
      <alignment horizontal="center"/>
      <protection locked="0"/>
    </xf>
    <xf numFmtId="0" fontId="17" fillId="9" borderId="12" xfId="0" applyFont="1" applyFill="1" applyBorder="1" applyAlignment="1" applyProtection="1">
      <protection locked="0"/>
    </xf>
    <xf numFmtId="0" fontId="17" fillId="9" borderId="56" xfId="0" applyFont="1" applyFill="1" applyBorder="1" applyAlignment="1" applyProtection="1">
      <protection locked="0"/>
    </xf>
    <xf numFmtId="0" fontId="17" fillId="0" borderId="11" xfId="0" applyFont="1" applyFill="1" applyBorder="1" applyAlignment="1">
      <alignment horizontal="right"/>
    </xf>
    <xf numFmtId="0" fontId="8" fillId="0" borderId="12" xfId="0" applyFont="1" applyFill="1" applyBorder="1" applyAlignment="1">
      <alignment horizontal="right"/>
    </xf>
    <xf numFmtId="0" fontId="17" fillId="3" borderId="21" xfId="0" applyFont="1" applyFill="1" applyBorder="1" applyAlignment="1">
      <alignment horizontal="right"/>
    </xf>
    <xf numFmtId="0" fontId="0" fillId="0" borderId="0" xfId="0" applyAlignment="1">
      <alignment horizontal="right"/>
    </xf>
    <xf numFmtId="0" fontId="3" fillId="33" borderId="31" xfId="0" applyFont="1" applyFill="1" applyBorder="1" applyAlignment="1">
      <alignment horizontal="center"/>
    </xf>
    <xf numFmtId="0" fontId="0" fillId="33" borderId="23" xfId="0" applyFill="1" applyBorder="1" applyAlignment="1">
      <alignment horizontal="center"/>
    </xf>
    <xf numFmtId="0" fontId="0" fillId="33" borderId="111" xfId="0" applyFill="1" applyBorder="1" applyAlignment="1"/>
    <xf numFmtId="0" fontId="3" fillId="33" borderId="103" xfId="0" applyFont="1" applyFill="1" applyBorder="1" applyAlignment="1">
      <alignment horizontal="center"/>
    </xf>
    <xf numFmtId="0" fontId="0" fillId="33" borderId="23" xfId="0" applyFill="1" applyBorder="1" applyAlignment="1"/>
    <xf numFmtId="0" fontId="0" fillId="33" borderId="95" xfId="0" applyFill="1" applyBorder="1" applyAlignment="1"/>
    <xf numFmtId="0" fontId="17" fillId="33" borderId="11" xfId="0" applyFont="1" applyFill="1" applyBorder="1" applyAlignment="1">
      <alignment horizontal="center"/>
    </xf>
    <xf numFmtId="0" fontId="0" fillId="33" borderId="12" xfId="0" applyFill="1" applyBorder="1" applyAlignment="1">
      <alignment horizontal="center"/>
    </xf>
    <xf numFmtId="0" fontId="0" fillId="33" borderId="78" xfId="0" applyFill="1" applyBorder="1" applyAlignment="1"/>
    <xf numFmtId="0" fontId="17" fillId="33" borderId="103" xfId="0" applyFont="1" applyFill="1" applyBorder="1" applyAlignment="1">
      <alignment horizontal="center"/>
    </xf>
    <xf numFmtId="0" fontId="17" fillId="33" borderId="94" xfId="0" applyFont="1" applyFill="1" applyBorder="1" applyAlignment="1">
      <alignment horizontal="center"/>
    </xf>
    <xf numFmtId="0" fontId="0" fillId="33" borderId="51" xfId="0" applyFill="1" applyBorder="1" applyAlignment="1"/>
    <xf numFmtId="0" fontId="0" fillId="33" borderId="40" xfId="0" applyFill="1" applyBorder="1" applyAlignment="1"/>
    <xf numFmtId="0" fontId="11" fillId="3" borderId="104" xfId="0" applyFont="1" applyFill="1" applyBorder="1" applyAlignment="1">
      <alignment horizontal="right" vertical="center"/>
    </xf>
    <xf numFmtId="0" fontId="11" fillId="3" borderId="27" xfId="0" applyFont="1" applyFill="1" applyBorder="1" applyAlignment="1">
      <alignment horizontal="right" vertical="center"/>
    </xf>
    <xf numFmtId="0" fontId="0" fillId="3" borderId="105" xfId="0" applyFill="1" applyBorder="1" applyAlignment="1">
      <alignment horizontal="right" vertical="center"/>
    </xf>
    <xf numFmtId="0" fontId="0" fillId="3" borderId="106" xfId="0" applyFill="1" applyBorder="1" applyAlignment="1">
      <alignment horizontal="right" vertical="center"/>
    </xf>
    <xf numFmtId="0" fontId="17" fillId="33" borderId="16" xfId="0" applyFont="1" applyFill="1" applyBorder="1" applyAlignment="1">
      <alignment horizontal="center" vertical="center" wrapText="1"/>
    </xf>
    <xf numFmtId="0" fontId="0" fillId="31" borderId="72" xfId="0" applyFill="1" applyBorder="1" applyAlignment="1">
      <alignment horizontal="center" vertical="center" wrapText="1"/>
    </xf>
    <xf numFmtId="0" fontId="3" fillId="33" borderId="16" xfId="0" applyFont="1" applyFill="1" applyBorder="1" applyAlignment="1">
      <alignment horizontal="center" vertical="center" wrapText="1"/>
    </xf>
    <xf numFmtId="0" fontId="17" fillId="33" borderId="16" xfId="0" applyFont="1" applyFill="1" applyBorder="1" applyAlignment="1">
      <alignment horizontal="center" vertical="center"/>
    </xf>
    <xf numFmtId="0" fontId="0" fillId="31" borderId="72" xfId="0" applyFill="1" applyBorder="1" applyAlignment="1">
      <alignment horizontal="center" vertical="center"/>
    </xf>
    <xf numFmtId="0" fontId="17" fillId="30" borderId="16" xfId="0" applyFont="1" applyFill="1" applyBorder="1" applyAlignment="1">
      <alignment horizontal="center" vertical="top"/>
    </xf>
    <xf numFmtId="0" fontId="17" fillId="30" borderId="15" xfId="0" applyFont="1" applyFill="1" applyBorder="1" applyAlignment="1">
      <alignment horizontal="center" vertical="top"/>
    </xf>
    <xf numFmtId="2" fontId="3" fillId="31" borderId="31" xfId="0" applyNumberFormat="1" applyFont="1" applyFill="1" applyBorder="1" applyAlignment="1">
      <alignment horizontal="center"/>
    </xf>
    <xf numFmtId="2" fontId="3" fillId="31" borderId="28" xfId="0" applyNumberFormat="1" applyFont="1" applyFill="1" applyBorder="1" applyAlignment="1">
      <alignment horizontal="center"/>
    </xf>
    <xf numFmtId="0" fontId="3" fillId="27" borderId="113" xfId="0" applyFont="1" applyFill="1" applyBorder="1" applyAlignment="1">
      <alignment horizontal="center" vertical="center"/>
    </xf>
    <xf numFmtId="0" fontId="3" fillId="27" borderId="114" xfId="0" applyFont="1" applyFill="1" applyBorder="1" applyAlignment="1">
      <alignment horizontal="center" vertical="center"/>
    </xf>
    <xf numFmtId="0" fontId="17" fillId="7" borderId="61" xfId="8" applyFont="1" applyFill="1" applyBorder="1" applyAlignment="1">
      <alignment horizontal="center" vertical="center"/>
    </xf>
    <xf numFmtId="0" fontId="17" fillId="7" borderId="14" xfId="8" applyFont="1" applyFill="1" applyBorder="1" applyAlignment="1">
      <alignment horizontal="center" vertical="center"/>
    </xf>
    <xf numFmtId="2" fontId="6" fillId="3" borderId="61" xfId="0" applyNumberFormat="1" applyFont="1" applyFill="1" applyBorder="1" applyAlignment="1">
      <alignment horizontal="center" vertical="center"/>
    </xf>
    <xf numFmtId="2" fontId="6" fillId="3" borderId="14" xfId="0" applyNumberFormat="1" applyFont="1" applyFill="1" applyBorder="1" applyAlignment="1">
      <alignment horizontal="center" vertical="center"/>
    </xf>
    <xf numFmtId="2" fontId="6" fillId="3" borderId="30" xfId="0" applyNumberFormat="1" applyFont="1" applyFill="1" applyBorder="1" applyAlignment="1">
      <alignment horizontal="center" vertical="center"/>
    </xf>
    <xf numFmtId="2" fontId="6" fillId="3" borderId="76" xfId="0" applyNumberFormat="1" applyFont="1" applyFill="1" applyBorder="1" applyAlignment="1">
      <alignment horizontal="center" vertical="center"/>
    </xf>
    <xf numFmtId="2" fontId="6" fillId="3" borderId="59" xfId="0" applyNumberFormat="1" applyFont="1" applyFill="1" applyBorder="1" applyAlignment="1">
      <alignment horizontal="center" vertical="center"/>
    </xf>
    <xf numFmtId="0" fontId="17" fillId="7" borderId="55" xfId="8" applyFont="1" applyFill="1" applyBorder="1" applyAlignment="1">
      <alignment horizontal="center" vertical="center"/>
    </xf>
    <xf numFmtId="0" fontId="0" fillId="7" borderId="52" xfId="0" applyFill="1" applyBorder="1" applyAlignment="1">
      <alignment horizontal="center" vertical="center"/>
    </xf>
    <xf numFmtId="0" fontId="0" fillId="7" borderId="53" xfId="0" applyFill="1" applyBorder="1" applyAlignment="1">
      <alignment horizontal="center" vertical="center"/>
    </xf>
    <xf numFmtId="0" fontId="0" fillId="3" borderId="25" xfId="0" applyFill="1" applyBorder="1" applyAlignment="1">
      <alignment horizontal="center"/>
    </xf>
    <xf numFmtId="0" fontId="0" fillId="3" borderId="26" xfId="0" applyFill="1" applyBorder="1" applyAlignment="1">
      <alignment horizontal="center"/>
    </xf>
    <xf numFmtId="0" fontId="0" fillId="3" borderId="27" xfId="0" applyFill="1" applyBorder="1" applyAlignment="1">
      <alignment horizontal="center"/>
    </xf>
    <xf numFmtId="0" fontId="8" fillId="3" borderId="50" xfId="0" applyFont="1" applyFill="1" applyBorder="1" applyAlignment="1">
      <alignment horizontal="center"/>
    </xf>
    <xf numFmtId="0" fontId="8" fillId="3" borderId="51" xfId="0" applyFont="1" applyFill="1" applyBorder="1" applyAlignment="1">
      <alignment horizontal="center"/>
    </xf>
    <xf numFmtId="0" fontId="8" fillId="3" borderId="107" xfId="0" applyFont="1" applyFill="1" applyBorder="1" applyAlignment="1">
      <alignment horizontal="center"/>
    </xf>
    <xf numFmtId="0" fontId="0" fillId="6" borderId="104" xfId="0" applyFill="1" applyBorder="1" applyAlignment="1">
      <alignment horizontal="center" vertical="center"/>
    </xf>
    <xf numFmtId="0" fontId="0" fillId="6" borderId="21" xfId="0" applyFill="1" applyBorder="1" applyAlignment="1">
      <alignment horizontal="center" vertical="center"/>
    </xf>
    <xf numFmtId="0" fontId="0" fillId="6" borderId="108" xfId="0" applyFill="1" applyBorder="1" applyAlignment="1">
      <alignment horizontal="center" vertical="center"/>
    </xf>
    <xf numFmtId="0" fontId="0" fillId="6" borderId="109" xfId="0" applyFill="1" applyBorder="1" applyAlignment="1">
      <alignment horizontal="center" vertical="center"/>
    </xf>
    <xf numFmtId="0" fontId="0" fillId="6" borderId="7" xfId="0" applyFill="1" applyBorder="1" applyAlignment="1">
      <alignment horizontal="center" vertical="center"/>
    </xf>
    <xf numFmtId="0" fontId="43" fillId="0" borderId="44" xfId="0" applyFont="1" applyBorder="1" applyAlignment="1">
      <alignment horizontal="center" vertical="center"/>
    </xf>
    <xf numFmtId="0" fontId="43" fillId="0" borderId="31" xfId="0" applyFont="1" applyBorder="1" applyAlignment="1">
      <alignment horizontal="center" vertical="center"/>
    </xf>
    <xf numFmtId="0" fontId="43" fillId="0" borderId="28" xfId="0" applyFont="1" applyBorder="1" applyAlignment="1">
      <alignment horizontal="center" vertical="center"/>
    </xf>
    <xf numFmtId="0" fontId="43" fillId="0" borderId="44" xfId="0" applyFont="1" applyBorder="1" applyAlignment="1">
      <alignment horizontal="center" wrapText="1"/>
    </xf>
    <xf numFmtId="0" fontId="43" fillId="0" borderId="44" xfId="0" applyFont="1" applyBorder="1" applyAlignment="1">
      <alignment horizontal="center"/>
    </xf>
    <xf numFmtId="0" fontId="43" fillId="0" borderId="44" xfId="0" applyFont="1" applyBorder="1" applyAlignment="1">
      <alignment horizontal="center" vertical="center" wrapText="1"/>
    </xf>
    <xf numFmtId="0" fontId="42" fillId="0" borderId="44" xfId="0" applyFont="1" applyBorder="1" applyAlignment="1">
      <alignment horizontal="center" vertical="center"/>
    </xf>
    <xf numFmtId="0" fontId="42" fillId="0" borderId="0" xfId="0" applyFont="1" applyBorder="1" applyAlignment="1"/>
    <xf numFmtId="0" fontId="43" fillId="0" borderId="44" xfId="0" applyFont="1" applyBorder="1" applyAlignment="1">
      <alignment vertical="center" wrapText="1"/>
    </xf>
    <xf numFmtId="0" fontId="42" fillId="0" borderId="44" xfId="0" applyFont="1" applyBorder="1" applyAlignment="1">
      <alignment vertical="center" wrapText="1"/>
    </xf>
    <xf numFmtId="0" fontId="43" fillId="0" borderId="31" xfId="0" applyFont="1" applyBorder="1" applyAlignment="1">
      <alignment horizontal="center"/>
    </xf>
    <xf numFmtId="0" fontId="43" fillId="0" borderId="23" xfId="0" applyFont="1" applyBorder="1" applyAlignment="1">
      <alignment horizontal="center"/>
    </xf>
    <xf numFmtId="0" fontId="42" fillId="0" borderId="23" xfId="0" applyFont="1" applyBorder="1" applyAlignment="1">
      <alignment horizontal="center"/>
    </xf>
    <xf numFmtId="0" fontId="42" fillId="0" borderId="23" xfId="0" applyFont="1" applyBorder="1" applyAlignment="1"/>
    <xf numFmtId="0" fontId="47" fillId="0" borderId="23" xfId="0" applyFont="1" applyBorder="1" applyAlignment="1"/>
    <xf numFmtId="0" fontId="47" fillId="0" borderId="28" xfId="0" applyFont="1" applyBorder="1" applyAlignment="1"/>
    <xf numFmtId="0" fontId="44" fillId="23" borderId="0" xfId="0" applyFont="1" applyFill="1" applyAlignment="1"/>
    <xf numFmtId="0" fontId="44" fillId="8" borderId="0" xfId="0" applyFont="1" applyFill="1" applyAlignment="1"/>
    <xf numFmtId="0" fontId="42" fillId="0" borderId="26" xfId="0" applyFont="1" applyBorder="1" applyAlignment="1"/>
    <xf numFmtId="0" fontId="43" fillId="0" borderId="44" xfId="0" applyFont="1" applyBorder="1" applyAlignment="1">
      <alignment wrapText="1"/>
    </xf>
    <xf numFmtId="0" fontId="42" fillId="0" borderId="44" xfId="0" applyFont="1" applyBorder="1" applyAlignment="1">
      <alignment wrapText="1"/>
    </xf>
    <xf numFmtId="0" fontId="42" fillId="0" borderId="44" xfId="0" applyFont="1" applyBorder="1" applyAlignment="1">
      <alignment horizontal="center"/>
    </xf>
    <xf numFmtId="0" fontId="42" fillId="0" borderId="44" xfId="0" applyFont="1" applyBorder="1" applyAlignment="1"/>
    <xf numFmtId="0" fontId="42" fillId="0" borderId="44" xfId="0" applyFont="1" applyBorder="1" applyAlignment="1">
      <alignment vertical="center"/>
    </xf>
    <xf numFmtId="2" fontId="42" fillId="0" borderId="44" xfId="0" applyNumberFormat="1" applyFont="1" applyBorder="1" applyAlignment="1">
      <alignment horizontal="center" vertical="center"/>
    </xf>
    <xf numFmtId="0" fontId="0" fillId="0" borderId="44" xfId="0" applyBorder="1" applyAlignment="1">
      <alignment horizontal="center" vertical="center"/>
    </xf>
    <xf numFmtId="0" fontId="43" fillId="0" borderId="31" xfId="0" applyFont="1" applyBorder="1" applyAlignment="1">
      <alignment horizontal="center" wrapText="1"/>
    </xf>
    <xf numFmtId="0" fontId="42" fillId="0" borderId="23" xfId="0" applyFont="1" applyBorder="1" applyAlignment="1">
      <alignment horizontal="center" wrapText="1"/>
    </xf>
    <xf numFmtId="0" fontId="42" fillId="0" borderId="23" xfId="0" applyFont="1" applyBorder="1" applyAlignment="1">
      <alignment wrapText="1"/>
    </xf>
    <xf numFmtId="0" fontId="5" fillId="0" borderId="28" xfId="0" applyFont="1" applyBorder="1" applyAlignment="1">
      <alignment horizontal="center" vertical="center"/>
    </xf>
    <xf numFmtId="2" fontId="42" fillId="0" borderId="16" xfId="0"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4" xfId="0" applyBorder="1" applyAlignment="1">
      <alignment horizontal="center"/>
    </xf>
    <xf numFmtId="0" fontId="43" fillId="0" borderId="16"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5" fillId="0" borderId="23" xfId="0" applyFont="1" applyBorder="1" applyAlignment="1">
      <alignment horizontal="center" vertical="center"/>
    </xf>
    <xf numFmtId="0" fontId="43" fillId="0" borderId="31" xfId="0" applyFont="1" applyBorder="1" applyAlignment="1">
      <alignment horizontal="center" vertical="center" wrapText="1"/>
    </xf>
    <xf numFmtId="0" fontId="43" fillId="0" borderId="28" xfId="0" applyFont="1" applyBorder="1" applyAlignment="1">
      <alignment horizontal="center" vertical="center" wrapText="1"/>
    </xf>
    <xf numFmtId="2" fontId="42" fillId="0" borderId="44" xfId="0" applyNumberFormat="1" applyFont="1" applyBorder="1" applyAlignment="1">
      <alignment vertical="center"/>
    </xf>
    <xf numFmtId="0" fontId="0" fillId="0" borderId="44" xfId="0" applyBorder="1" applyAlignment="1">
      <alignment vertical="center"/>
    </xf>
    <xf numFmtId="0" fontId="43" fillId="0" borderId="44" xfId="0" applyFont="1" applyBorder="1" applyAlignment="1">
      <alignment vertical="center"/>
    </xf>
    <xf numFmtId="0" fontId="44" fillId="14" borderId="0" xfId="0" applyFont="1" applyFill="1" applyAlignment="1"/>
    <xf numFmtId="0" fontId="44" fillId="5" borderId="44" xfId="0" applyFont="1" applyFill="1" applyBorder="1" applyAlignment="1">
      <alignment vertical="center" wrapText="1"/>
    </xf>
    <xf numFmtId="0" fontId="44" fillId="0" borderId="44" xfId="0" applyFont="1" applyBorder="1" applyAlignment="1">
      <alignment vertical="center" wrapText="1"/>
    </xf>
    <xf numFmtId="0" fontId="44" fillId="22" borderId="44" xfId="0" applyFont="1" applyFill="1" applyBorder="1" applyAlignment="1">
      <alignment wrapText="1"/>
    </xf>
    <xf numFmtId="0" fontId="44" fillId="0" borderId="44" xfId="0" applyFont="1" applyBorder="1" applyAlignment="1">
      <alignment wrapText="1"/>
    </xf>
    <xf numFmtId="0" fontId="0" fillId="0" borderId="31" xfId="0" applyBorder="1" applyAlignment="1">
      <alignment vertical="center"/>
    </xf>
    <xf numFmtId="0" fontId="44" fillId="5" borderId="0" xfId="0" applyFont="1" applyFill="1" applyAlignment="1">
      <alignment wrapText="1"/>
    </xf>
    <xf numFmtId="0" fontId="5" fillId="5" borderId="0" xfId="0" applyFont="1" applyFill="1" applyAlignment="1"/>
    <xf numFmtId="0" fontId="44" fillId="24" borderId="26" xfId="0" applyFont="1" applyFill="1" applyBorder="1" applyAlignment="1">
      <alignment vertical="top" wrapText="1"/>
    </xf>
    <xf numFmtId="0" fontId="44" fillId="22" borderId="26" xfId="0" applyFont="1" applyFill="1" applyBorder="1" applyAlignment="1">
      <alignment wrapText="1"/>
    </xf>
    <xf numFmtId="0" fontId="5" fillId="0" borderId="44" xfId="0" applyFont="1" applyBorder="1" applyAlignment="1">
      <alignment horizontal="center" vertical="center"/>
    </xf>
    <xf numFmtId="0" fontId="0" fillId="0" borderId="23" xfId="0" applyBorder="1" applyAlignment="1">
      <alignment wrapText="1"/>
    </xf>
    <xf numFmtId="0" fontId="0" fillId="0" borderId="28" xfId="0" applyBorder="1" applyAlignment="1">
      <alignment wrapText="1"/>
    </xf>
    <xf numFmtId="0" fontId="42" fillId="0" borderId="44" xfId="0" applyFont="1" applyBorder="1" applyAlignment="1">
      <alignment horizontal="center" vertical="center" wrapText="1"/>
    </xf>
    <xf numFmtId="0" fontId="0" fillId="0" borderId="44" xfId="0" applyBorder="1" applyAlignment="1" applyProtection="1">
      <protection locked="0"/>
    </xf>
    <xf numFmtId="0" fontId="0" fillId="3" borderId="44" xfId="0" applyFill="1" applyBorder="1" applyAlignment="1" applyProtection="1">
      <protection locked="0"/>
    </xf>
    <xf numFmtId="0" fontId="8" fillId="9" borderId="44" xfId="0" applyFont="1" applyFill="1" applyBorder="1" applyAlignment="1" applyProtection="1">
      <protection locked="0"/>
    </xf>
    <xf numFmtId="0" fontId="17" fillId="7" borderId="100" xfId="0" applyFont="1" applyFill="1" applyBorder="1" applyAlignment="1" applyProtection="1">
      <alignment horizontal="center"/>
      <protection locked="0"/>
    </xf>
    <xf numFmtId="2" fontId="3" fillId="9" borderId="44" xfId="0" applyNumberFormat="1" applyFont="1" applyFill="1" applyBorder="1" applyAlignment="1" applyProtection="1">
      <alignment horizontal="center" vertical="center"/>
      <protection locked="0"/>
    </xf>
    <xf numFmtId="0" fontId="33" fillId="3" borderId="7" xfId="0" applyFont="1" applyFill="1" applyBorder="1" applyAlignment="1" applyProtection="1">
      <alignment horizontal="right" vertical="center" wrapText="1"/>
    </xf>
    <xf numFmtId="0" fontId="33" fillId="3" borderId="54" xfId="0" applyFont="1" applyFill="1" applyBorder="1" applyAlignment="1" applyProtection="1">
      <alignment horizontal="right" vertical="center" wrapText="1"/>
    </xf>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 2" xfId="10"/>
    <cellStyle name="Normal_PCNB_seed treatment_080904" xfId="8"/>
    <cellStyle name="Total" xfId="9" builtinId="25" customBuiltin="1"/>
  </cellStyles>
  <dxfs count="37">
    <dxf>
      <font>
        <condense val="0"/>
        <extend val="0"/>
        <color indexed="22"/>
      </font>
      <fill>
        <patternFill>
          <bgColor indexed="22"/>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font>
        <strike val="0"/>
        <color theme="0"/>
      </font>
      <fill>
        <patternFill>
          <bgColor theme="0"/>
        </patternFill>
      </fill>
    </dxf>
    <dxf>
      <border>
        <left/>
        <vertical/>
        <horizontal/>
      </border>
    </dxf>
    <dxf>
      <font>
        <color theme="0"/>
      </font>
      <border>
        <right/>
        <vertical/>
        <horizontal/>
      </border>
    </dxf>
    <dxf>
      <fill>
        <patternFill>
          <bgColor theme="0"/>
        </patternFill>
      </fill>
      <border>
        <left/>
        <right/>
        <top/>
        <bottom/>
        <vertical/>
        <horizontal/>
      </border>
    </dxf>
    <dxf>
      <font>
        <condense val="0"/>
        <extend val="0"/>
        <color indexed="9"/>
      </font>
    </dxf>
    <dxf>
      <font>
        <condense val="0"/>
        <extend val="0"/>
        <color auto="1"/>
      </font>
      <fill>
        <patternFill>
          <bgColor indexed="10"/>
        </patternFill>
      </fill>
    </dxf>
    <dxf>
      <font>
        <strike val="0"/>
        <condense val="0"/>
        <extend val="0"/>
        <color indexed="9"/>
      </font>
      <fill>
        <patternFill patternType="solid">
          <bgColor indexed="9"/>
        </patternFill>
      </fill>
      <border>
        <left/>
        <right/>
        <top/>
        <bottom/>
      </border>
    </dxf>
    <dxf>
      <font>
        <strike val="0"/>
        <condense val="0"/>
        <extend val="0"/>
        <color indexed="9"/>
      </font>
      <border>
        <left/>
        <right/>
        <top/>
        <bottom/>
      </border>
    </dxf>
    <dxf>
      <font>
        <condense val="0"/>
        <extend val="0"/>
        <color indexed="9"/>
      </font>
    </dxf>
    <dxf>
      <font>
        <condense val="0"/>
        <extend val="0"/>
        <color auto="1"/>
      </font>
      <fill>
        <patternFill>
          <bgColor indexed="10"/>
        </patternFill>
      </fill>
    </dxf>
    <dxf>
      <fill>
        <patternFill>
          <bgColor indexed="35"/>
        </patternFill>
      </fill>
    </dxf>
    <dxf>
      <font>
        <condense val="0"/>
        <extend val="0"/>
        <color indexed="9"/>
      </font>
    </dxf>
    <dxf>
      <fill>
        <patternFill>
          <bgColor indexed="35"/>
        </patternFill>
      </fill>
    </dxf>
    <dxf>
      <font>
        <condense val="0"/>
        <extend val="0"/>
        <color indexed="9"/>
      </font>
    </dxf>
    <dxf>
      <fill>
        <patternFill>
          <bgColor indexed="35"/>
        </patternFill>
      </fill>
    </dxf>
    <dxf>
      <font>
        <condense val="0"/>
        <extend val="0"/>
        <color indexed="9"/>
      </font>
    </dxf>
    <dxf>
      <fill>
        <patternFill>
          <bgColor indexed="35"/>
        </patternFill>
      </fill>
    </dxf>
    <dxf>
      <font>
        <condense val="0"/>
        <extend val="0"/>
        <color indexed="9"/>
      </font>
    </dxf>
    <dxf>
      <font>
        <condense val="0"/>
        <extend val="0"/>
        <color indexed="9"/>
      </font>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border>
        <left/>
        <right/>
        <top/>
        <bottom/>
      </border>
    </dxf>
    <dxf>
      <font>
        <condense val="0"/>
        <extend val="0"/>
        <color auto="1"/>
      </font>
      <fill>
        <patternFill patternType="solid">
          <fgColor indexed="29"/>
          <bgColor indexed="41"/>
        </patternFill>
      </fill>
    </dxf>
    <dxf>
      <font>
        <condense val="0"/>
        <extend val="0"/>
        <color indexed="9"/>
      </font>
      <border>
        <left/>
        <right/>
        <top/>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condense val="0"/>
        <extend val="0"/>
        <color auto="1"/>
      </font>
      <fill>
        <patternFill>
          <bgColor indexed="3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FF"/>
      <color rgb="FFCC00FF"/>
      <color rgb="FF3366FF"/>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sng" strike="noStrike" baseline="0">
                <a:solidFill>
                  <a:srgbClr val="000000"/>
                </a:solidFill>
                <a:latin typeface="Arial"/>
                <a:ea typeface="Arial"/>
                <a:cs typeface="Arial"/>
              </a:defRPr>
            </a:pPr>
            <a:r>
              <a:rPr lang="en-US"/>
              <a:t>Terrestrial Application Residues</a:t>
            </a:r>
          </a:p>
        </c:rich>
      </c:tx>
      <c:layout>
        <c:manualLayout>
          <c:xMode val="edge"/>
          <c:yMode val="edge"/>
          <c:x val="0.37015053265400688"/>
          <c:y val="2.7345811281786602E-2"/>
        </c:manualLayout>
      </c:layout>
      <c:spPr>
        <a:noFill/>
        <a:ln w="25400">
          <a:noFill/>
        </a:ln>
      </c:spPr>
    </c:title>
    <c:plotArea>
      <c:layout>
        <c:manualLayout>
          <c:layoutTarget val="inner"/>
          <c:xMode val="edge"/>
          <c:yMode val="edge"/>
          <c:x val="0.13286722360359987"/>
          <c:y val="0.18884139958737697"/>
          <c:w val="0.73007042864293914"/>
          <c:h val="0.53862717382306802"/>
        </c:manualLayout>
      </c:layout>
      <c:lineChart>
        <c:grouping val="standard"/>
        <c:ser>
          <c:idx val="0"/>
          <c:order val="0"/>
          <c:tx>
            <c:strRef>
              <c:f>'upper bound Kenaga'!$A$27:$A$27</c:f>
              <c:strCache>
                <c:ptCount val="1"/>
                <c:pt idx="0">
                  <c:v>Short Grass </c:v>
                </c:pt>
              </c:strCache>
            </c:strRef>
          </c:tx>
          <c:spPr>
            <a:ln w="12700">
              <a:solidFill>
                <a:srgbClr val="000080"/>
              </a:solidFill>
              <a:prstDash val="solid"/>
            </a:ln>
          </c:spPr>
          <c:marker>
            <c:symbol val="none"/>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Kenaga'!$R$21:$R$391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
          <c:order val="1"/>
          <c:tx>
            <c:strRef>
              <c:f>'upper bound Kenaga'!$A$28:$A$28</c:f>
              <c:strCache>
                <c:ptCount val="1"/>
                <c:pt idx="0">
                  <c:v>Tall Grass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Kenaga'!$U$21:$U$391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2"/>
          <c:order val="2"/>
          <c:tx>
            <c:strRef>
              <c:f>'upper bound Kenaga'!$A$29:$A$29</c:f>
              <c:strCache>
                <c:ptCount val="1"/>
                <c:pt idx="0">
                  <c:v>Broadleaf plants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Kenaga'!$X$21:$X$391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3"/>
          <c:order val="3"/>
          <c:tx>
            <c:strRef>
              <c:f>'upper bound Kenaga'!$A$30:$A$30</c:f>
              <c:strCache>
                <c:ptCount val="1"/>
                <c:pt idx="0">
                  <c:v>Fruits/pods/seeds</c:v>
                </c:pt>
              </c:strCache>
            </c:strRef>
          </c:tx>
          <c:spPr>
            <a:ln w="12700">
              <a:solidFill>
                <a:srgbClr val="00FFFF"/>
              </a:solidFill>
              <a:prstDash val="solid"/>
            </a:ln>
          </c:spPr>
          <c:marker>
            <c:symbol val="x"/>
            <c:size val="5"/>
            <c:spPr>
              <a:noFill/>
              <a:ln>
                <a:solidFill>
                  <a:srgbClr val="00FFFF"/>
                </a:solidFill>
                <a:prstDash val="solid"/>
              </a:ln>
            </c:spPr>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Kenaga'!$AA$21:$AA$391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4"/>
          <c:order val="4"/>
          <c:tx>
            <c:strRef>
              <c:f>'upper bound Kenaga'!$B$12:$C$12</c:f>
              <c:strCache>
                <c:ptCount val="1"/>
                <c:pt idx="0">
                  <c:v>no</c:v>
                </c:pt>
              </c:strCache>
            </c:strRef>
          </c:tx>
          <c:spPr>
            <a:ln w="25400">
              <a:solidFill>
                <a:srgbClr val="800080"/>
              </a:solidFill>
              <a:prstDash val="sysDash"/>
            </a:ln>
          </c:spPr>
          <c:marker>
            <c:symbol val="none"/>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Kenaga'!$AE$21:$AE$391</c:f>
              <c:numCache>
                <c:formatCode>General</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5"/>
          <c:order val="5"/>
          <c:tx>
            <c:strRef>
              <c:f>'upper bound Kenaga'!$A$31</c:f>
              <c:strCache>
                <c:ptCount val="1"/>
                <c:pt idx="0">
                  <c:v>Arthropods</c:v>
                </c:pt>
              </c:strCache>
            </c:strRef>
          </c:tx>
          <c:marker>
            <c:symbol val="none"/>
          </c:marker>
          <c:val>
            <c:numRef>
              <c:f>'upper bound Kenaga'!$AD$21:$AD$391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marker val="1"/>
        <c:axId val="126013440"/>
        <c:axId val="126015744"/>
      </c:lineChart>
      <c:dateAx>
        <c:axId val="126013440"/>
        <c:scaling>
          <c:orientation val="minMax"/>
        </c:scaling>
        <c:axPos val="b"/>
        <c:title>
          <c:tx>
            <c:rich>
              <a:bodyPr/>
              <a:lstStyle/>
              <a:p>
                <a:pPr>
                  <a:defRPr sz="1000" b="0" i="0" u="none" strike="noStrike" baseline="0">
                    <a:solidFill>
                      <a:srgbClr val="000000"/>
                    </a:solidFill>
                    <a:latin typeface="Arial"/>
                    <a:ea typeface="Arial"/>
                    <a:cs typeface="Arial"/>
                  </a:defRPr>
                </a:pPr>
                <a:r>
                  <a:rPr lang="en-US"/>
                  <a:t>Days</a:t>
                </a:r>
              </a:p>
            </c:rich>
          </c:tx>
          <c:layout>
            <c:manualLayout>
              <c:xMode val="edge"/>
              <c:yMode val="edge"/>
              <c:x val="0.45928033525046497"/>
              <c:y val="0.81300479920221058"/>
            </c:manualLayout>
          </c:layout>
          <c:spPr>
            <a:noFill/>
            <a:ln w="25400">
              <a:noFill/>
            </a:ln>
          </c:spPr>
        </c:title>
        <c:numFmt formatCode="General" sourceLinked="0"/>
        <c:majorTickMark val="cross"/>
        <c:tickLblPos val="nextTo"/>
        <c:spPr>
          <a:ln w="3175">
            <a:solidFill>
              <a:srgbClr val="000000"/>
            </a:solidFill>
            <a:prstDash val="solid"/>
          </a:ln>
        </c:spPr>
        <c:txPr>
          <a:bodyPr rot="-2700000" vert="horz"/>
          <a:lstStyle/>
          <a:p>
            <a:pPr>
              <a:defRPr sz="1125" b="0" i="0" u="none" strike="noStrike" baseline="0">
                <a:solidFill>
                  <a:srgbClr val="000000"/>
                </a:solidFill>
                <a:latin typeface="Arial"/>
                <a:ea typeface="Arial"/>
                <a:cs typeface="Arial"/>
              </a:defRPr>
            </a:pPr>
            <a:endParaRPr lang="en-US"/>
          </a:p>
        </c:txPr>
        <c:crossAx val="126015744"/>
        <c:crosses val="autoZero"/>
        <c:lblOffset val="365"/>
        <c:baseTimeUnit val="days"/>
        <c:minorUnit val="30"/>
      </c:dateAx>
      <c:valAx>
        <c:axId val="126015744"/>
        <c:scaling>
          <c:orientation val="minMax"/>
        </c:scaling>
        <c:axPos val="l"/>
        <c:title>
          <c:tx>
            <c:rich>
              <a:bodyPr/>
              <a:lstStyle/>
              <a:p>
                <a:pPr>
                  <a:defRPr sz="1000" b="0" i="0" u="none" strike="noStrike" baseline="0">
                    <a:solidFill>
                      <a:srgbClr val="000000"/>
                    </a:solidFill>
                    <a:latin typeface="Arial"/>
                    <a:ea typeface="Arial"/>
                    <a:cs typeface="Arial"/>
                  </a:defRPr>
                </a:pPr>
                <a:r>
                  <a:rPr lang="en-US"/>
                  <a:t>Concentration (mg ai/kg dietary item)</a:t>
                </a:r>
              </a:p>
            </c:rich>
          </c:tx>
          <c:layout>
            <c:manualLayout>
              <c:xMode val="edge"/>
              <c:yMode val="edge"/>
              <c:x val="1.9923134608174367E-2"/>
              <c:y val="0.30563039456133523"/>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013440"/>
        <c:crosses val="autoZero"/>
        <c:crossBetween val="midCat"/>
      </c:valAx>
      <c:spPr>
        <a:noFill/>
        <a:ln w="25400">
          <a:noFill/>
        </a:ln>
      </c:spPr>
    </c:plotArea>
    <c:legend>
      <c:legendPos val="b"/>
      <c:layout>
        <c:manualLayout>
          <c:xMode val="edge"/>
          <c:yMode val="edge"/>
          <c:x val="0.12850841117605591"/>
          <c:y val="0.85431117944030088"/>
          <c:w val="0.83413041159746015"/>
          <c:h val="5.8227134536942803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dispBlanksAs val="gap"/>
  </c:chart>
  <c:spPr>
    <a:solidFill>
      <a:srgbClr val="FFFFFF"/>
    </a:solidFill>
    <a:ln w="3175">
      <a:solidFill>
        <a:srgbClr val="000000"/>
      </a:solidFill>
      <a:prstDash val="solid"/>
    </a:ln>
  </c:spPr>
  <c:txPr>
    <a:bodyPr/>
    <a:lstStyle/>
    <a:p>
      <a:pPr>
        <a:defRPr sz="1000" b="0" i="0" u="sng"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sng" strike="noStrike" baseline="0">
                <a:solidFill>
                  <a:srgbClr val="000000"/>
                </a:solidFill>
                <a:latin typeface="Arial"/>
                <a:ea typeface="Arial"/>
                <a:cs typeface="Arial"/>
              </a:defRPr>
            </a:pPr>
            <a:r>
              <a:rPr lang="en-US"/>
              <a:t>Terrestrial Application Residues</a:t>
            </a:r>
          </a:p>
        </c:rich>
      </c:tx>
      <c:layout>
        <c:manualLayout>
          <c:xMode val="edge"/>
          <c:yMode val="edge"/>
          <c:x val="0.37015053265400688"/>
          <c:y val="2.7345811281786602E-2"/>
        </c:manualLayout>
      </c:layout>
      <c:spPr>
        <a:noFill/>
        <a:ln w="25400">
          <a:noFill/>
        </a:ln>
      </c:spPr>
    </c:title>
    <c:plotArea>
      <c:layout>
        <c:manualLayout>
          <c:layoutTarget val="inner"/>
          <c:xMode val="edge"/>
          <c:yMode val="edge"/>
          <c:x val="0.13286722360359987"/>
          <c:y val="0.18884139958737714"/>
          <c:w val="0.73007042864293914"/>
          <c:h val="0.53862717382306802"/>
        </c:manualLayout>
      </c:layout>
      <c:lineChart>
        <c:grouping val="standard"/>
        <c:ser>
          <c:idx val="0"/>
          <c:order val="0"/>
          <c:tx>
            <c:strRef>
              <c:f>'upper bound Kenaga'!$A$27</c:f>
              <c:strCache>
                <c:ptCount val="1"/>
                <c:pt idx="0">
                  <c:v>Short Grass </c:v>
                </c:pt>
              </c:strCache>
            </c:strRef>
          </c:tx>
          <c:spPr>
            <a:ln w="12700">
              <a:solidFill>
                <a:srgbClr val="000080"/>
              </a:solidFill>
              <a:prstDash val="solid"/>
            </a:ln>
          </c:spPr>
          <c:marker>
            <c:symbol val="none"/>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Kenaga'!$R$21:$R$391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
          <c:order val="1"/>
          <c:tx>
            <c:strRef>
              <c:f>'upper bound Kenaga'!$A$28</c:f>
              <c:strCache>
                <c:ptCount val="1"/>
                <c:pt idx="0">
                  <c:v>Tall Grass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Kenaga'!$U$21:$U$391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2"/>
          <c:order val="2"/>
          <c:tx>
            <c:strRef>
              <c:f>'upper bound Kenaga'!$A$29</c:f>
              <c:strCache>
                <c:ptCount val="1"/>
                <c:pt idx="0">
                  <c:v>Broadleaf plants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Kenaga'!$X$21:$X$391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3"/>
          <c:order val="3"/>
          <c:tx>
            <c:strRef>
              <c:f>'upper bound Kenaga'!$A$30</c:f>
              <c:strCache>
                <c:ptCount val="1"/>
                <c:pt idx="0">
                  <c:v>Fruits/pods/seeds</c:v>
                </c:pt>
              </c:strCache>
            </c:strRef>
          </c:tx>
          <c:spPr>
            <a:ln w="12700">
              <a:solidFill>
                <a:srgbClr val="00FFFF"/>
              </a:solidFill>
              <a:prstDash val="solid"/>
            </a:ln>
          </c:spPr>
          <c:marker>
            <c:symbol val="x"/>
            <c:size val="5"/>
            <c:spPr>
              <a:noFill/>
              <a:ln>
                <a:solidFill>
                  <a:srgbClr val="00FFFF"/>
                </a:solidFill>
                <a:prstDash val="solid"/>
              </a:ln>
            </c:spPr>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Kenaga'!$AA$21:$AA$391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4"/>
          <c:order val="4"/>
          <c:tx>
            <c:strRef>
              <c:f>'upper bound Kenaga'!$B$12:$C$12</c:f>
              <c:strCache>
                <c:ptCount val="1"/>
                <c:pt idx="0">
                  <c:v>no</c:v>
                </c:pt>
              </c:strCache>
            </c:strRef>
          </c:tx>
          <c:spPr>
            <a:ln w="25400">
              <a:solidFill>
                <a:srgbClr val="800080"/>
              </a:solidFill>
              <a:prstDash val="sysDash"/>
            </a:ln>
          </c:spPr>
          <c:marker>
            <c:symbol val="none"/>
          </c:marker>
          <c:cat>
            <c:numRef>
              <c:f>'upper bound Kenaga'!$M$21:$M$126</c:f>
              <c:numCache>
                <c:formatCode>General</c:formatCode>
                <c:ptCount val="10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numCache>
            </c:numRef>
          </c:cat>
          <c:val>
            <c:numRef>
              <c:f>'upper bound Kenaga'!$AE$21:$AE$391</c:f>
              <c:numCache>
                <c:formatCode>General</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5"/>
          <c:order val="5"/>
          <c:tx>
            <c:strRef>
              <c:f>'upper bound Kenaga'!$A$31</c:f>
              <c:strCache>
                <c:ptCount val="1"/>
                <c:pt idx="0">
                  <c:v>Arthropods</c:v>
                </c:pt>
              </c:strCache>
            </c:strRef>
          </c:tx>
          <c:marker>
            <c:symbol val="none"/>
          </c:marker>
          <c:val>
            <c:numRef>
              <c:f>'upper bound Kenaga'!$AD$21:$AD$391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marker val="1"/>
        <c:axId val="126983552"/>
        <c:axId val="126998016"/>
      </c:lineChart>
      <c:dateAx>
        <c:axId val="126983552"/>
        <c:scaling>
          <c:orientation val="minMax"/>
        </c:scaling>
        <c:axPos val="b"/>
        <c:title>
          <c:tx>
            <c:rich>
              <a:bodyPr/>
              <a:lstStyle/>
              <a:p>
                <a:pPr>
                  <a:defRPr sz="1000" b="0" i="0" u="none" strike="noStrike" baseline="0">
                    <a:solidFill>
                      <a:srgbClr val="000000"/>
                    </a:solidFill>
                    <a:latin typeface="Arial"/>
                    <a:ea typeface="Arial"/>
                    <a:cs typeface="Arial"/>
                  </a:defRPr>
                </a:pPr>
                <a:r>
                  <a:rPr lang="en-US"/>
                  <a:t>Days</a:t>
                </a:r>
              </a:p>
            </c:rich>
          </c:tx>
          <c:layout>
            <c:manualLayout>
              <c:xMode val="edge"/>
              <c:yMode val="edge"/>
              <c:x val="0.45928031054941681"/>
              <c:y val="0.89919659222924997"/>
            </c:manualLayout>
          </c:layout>
          <c:spPr>
            <a:noFill/>
            <a:ln w="25400">
              <a:noFill/>
            </a:ln>
          </c:spPr>
        </c:title>
        <c:numFmt formatCode="General" sourceLinked="0"/>
        <c:majorTickMark val="cross"/>
        <c:tickLblPos val="nextTo"/>
        <c:spPr>
          <a:ln w="3175">
            <a:solidFill>
              <a:srgbClr val="000000"/>
            </a:solidFill>
            <a:prstDash val="solid"/>
          </a:ln>
        </c:spPr>
        <c:txPr>
          <a:bodyPr rot="-2700000" vert="horz"/>
          <a:lstStyle/>
          <a:p>
            <a:pPr>
              <a:defRPr sz="1125" b="0" i="0" u="none" strike="noStrike" baseline="0">
                <a:solidFill>
                  <a:srgbClr val="000000"/>
                </a:solidFill>
                <a:latin typeface="Arial"/>
                <a:ea typeface="Arial"/>
                <a:cs typeface="Arial"/>
              </a:defRPr>
            </a:pPr>
            <a:endParaRPr lang="en-US"/>
          </a:p>
        </c:txPr>
        <c:crossAx val="126998016"/>
        <c:crosses val="autoZero"/>
        <c:lblOffset val="365"/>
        <c:baseTimeUnit val="days"/>
        <c:minorUnit val="30"/>
      </c:dateAx>
      <c:valAx>
        <c:axId val="126998016"/>
        <c:scaling>
          <c:orientation val="minMax"/>
        </c:scaling>
        <c:axPos val="l"/>
        <c:title>
          <c:tx>
            <c:rich>
              <a:bodyPr/>
              <a:lstStyle/>
              <a:p>
                <a:pPr>
                  <a:defRPr sz="1000" b="0" i="0" u="none" strike="noStrike" baseline="0">
                    <a:solidFill>
                      <a:srgbClr val="000000"/>
                    </a:solidFill>
                    <a:latin typeface="Arial"/>
                    <a:ea typeface="Arial"/>
                    <a:cs typeface="Arial"/>
                  </a:defRPr>
                </a:pPr>
                <a:r>
                  <a:rPr lang="en-US"/>
                  <a:t>Concentration (mg ai/kg dietary item)</a:t>
                </a:r>
              </a:p>
            </c:rich>
          </c:tx>
          <c:layout>
            <c:manualLayout>
              <c:xMode val="edge"/>
              <c:yMode val="edge"/>
              <c:x val="1.9923134608174367E-2"/>
              <c:y val="0.30563039456133523"/>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983552"/>
        <c:crosses val="autoZero"/>
        <c:crossBetween val="midCat"/>
      </c:valAx>
      <c:spPr>
        <a:noFill/>
        <a:ln w="25400">
          <a:noFill/>
        </a:ln>
      </c:spPr>
    </c:plotArea>
    <c:legend>
      <c:legendPos val="b"/>
      <c:layout>
        <c:manualLayout>
          <c:xMode val="edge"/>
          <c:yMode val="edge"/>
          <c:x val="0.13247270561768015"/>
          <c:y val="0.95281597177402"/>
          <c:w val="0.83148757140652019"/>
          <c:h val="3.5359924271765486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dispBlanksAs val="gap"/>
  </c:chart>
  <c:spPr>
    <a:solidFill>
      <a:srgbClr val="FFFFFF"/>
    </a:solidFill>
    <a:ln w="3175">
      <a:solidFill>
        <a:srgbClr val="000000"/>
      </a:solidFill>
      <a:prstDash val="solid"/>
    </a:ln>
  </c:spPr>
  <c:txPr>
    <a:bodyPr/>
    <a:lstStyle/>
    <a:p>
      <a:pPr>
        <a:defRPr sz="1000" b="0" i="0" u="sng"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sng" strike="noStrike" baseline="0">
                <a:solidFill>
                  <a:srgbClr val="000000"/>
                </a:solidFill>
                <a:latin typeface="Arial"/>
                <a:ea typeface="Arial"/>
                <a:cs typeface="Arial"/>
              </a:defRPr>
            </a:pPr>
            <a:r>
              <a:rPr lang="en-US"/>
              <a:t>Terrestrial Residues (upper bound estimates)
vs
Avian LOCs  (as dietary concentrations)</a:t>
            </a:r>
          </a:p>
        </c:rich>
      </c:tx>
      <c:layout>
        <c:manualLayout>
          <c:xMode val="edge"/>
          <c:yMode val="edge"/>
          <c:x val="0.36434717960725194"/>
          <c:y val="2.5066441782088063E-2"/>
        </c:manualLayout>
      </c:layout>
      <c:spPr>
        <a:noFill/>
        <a:ln w="25400">
          <a:noFill/>
        </a:ln>
      </c:spPr>
    </c:title>
    <c:plotArea>
      <c:layout>
        <c:manualLayout>
          <c:layoutTarget val="inner"/>
          <c:xMode val="edge"/>
          <c:yMode val="edge"/>
          <c:x val="7.6622361219702895E-2"/>
          <c:y val="0.11165978658774048"/>
          <c:w val="0.74566559461758286"/>
          <c:h val="0.75613412772072686"/>
        </c:manualLayout>
      </c:layout>
      <c:lineChart>
        <c:grouping val="standard"/>
        <c:ser>
          <c:idx val="0"/>
          <c:order val="0"/>
          <c:tx>
            <c:strRef>
              <c:f>'upper bound Kenaga'!$A$27:$A$27</c:f>
              <c:strCache>
                <c:ptCount val="1"/>
                <c:pt idx="0">
                  <c:v>Short Grass </c:v>
                </c:pt>
              </c:strCache>
            </c:strRef>
          </c:tx>
          <c:spPr>
            <a:ln w="3175">
              <a:solidFill>
                <a:srgbClr val="000080"/>
              </a:solidFill>
              <a:prstDash val="solid"/>
            </a:ln>
          </c:spPr>
          <c:marker>
            <c:symbol val="triangle"/>
            <c:size val="5"/>
            <c:spPr>
              <a:solidFill>
                <a:srgbClr val="333399"/>
              </a:solidFill>
              <a:ln>
                <a:solidFill>
                  <a:srgbClr val="333399"/>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Kenaga'!$R$21:$R$391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
          <c:order val="1"/>
          <c:tx>
            <c:strRef>
              <c:f>'upper bound Kenaga'!$A$28:$A$28</c:f>
              <c:strCache>
                <c:ptCount val="1"/>
                <c:pt idx="0">
                  <c:v>Tall Grass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Kenaga'!$U$21:$U$391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2"/>
          <c:order val="2"/>
          <c:tx>
            <c:strRef>
              <c:f>'upper bound Kenaga'!$A$29:$A$29</c:f>
              <c:strCache>
                <c:ptCount val="1"/>
                <c:pt idx="0">
                  <c:v>Broadleaf plants</c:v>
                </c:pt>
              </c:strCache>
            </c:strRef>
          </c:tx>
          <c:spPr>
            <a:ln w="12700">
              <a:solidFill>
                <a:srgbClr val="339933"/>
              </a:solidFill>
              <a:prstDash val="solid"/>
            </a:ln>
          </c:spPr>
          <c:marker>
            <c:symbol val="diamond"/>
            <c:size val="5"/>
            <c:spPr>
              <a:solidFill>
                <a:srgbClr val="339933"/>
              </a:solidFill>
              <a:ln>
                <a:solidFill>
                  <a:srgbClr val="339933"/>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Kenaga'!$X$21:$X$391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3"/>
          <c:order val="3"/>
          <c:tx>
            <c:strRef>
              <c:f>'upper bound Kenaga'!$A$30:$A$30</c:f>
              <c:strCache>
                <c:ptCount val="1"/>
                <c:pt idx="0">
                  <c:v>Fruits/pods/seeds</c:v>
                </c:pt>
              </c:strCache>
            </c:strRef>
          </c:tx>
          <c:spPr>
            <a:ln w="12700">
              <a:solidFill>
                <a:srgbClr val="7030A0"/>
              </a:solidFill>
              <a:prstDash val="solid"/>
            </a:ln>
          </c:spPr>
          <c:marker>
            <c:symbol val="x"/>
            <c:size val="6"/>
            <c:spPr>
              <a:noFill/>
              <a:ln>
                <a:solidFill>
                  <a:srgbClr val="7030A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Kenaga'!$AA$21:$AA$391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7"/>
          <c:order val="4"/>
          <c:tx>
            <c:strRef>
              <c:f>'upper bound Kenaga'!$A$31</c:f>
              <c:strCache>
                <c:ptCount val="1"/>
                <c:pt idx="0">
                  <c:v>Arthropods</c:v>
                </c:pt>
              </c:strCache>
            </c:strRef>
          </c:tx>
          <c:spPr>
            <a:ln>
              <a:solidFill>
                <a:schemeClr val="accent6">
                  <a:lumMod val="75000"/>
                </a:schemeClr>
              </a:solidFill>
            </a:ln>
          </c:spPr>
          <c:marker>
            <c:symbol val="circle"/>
            <c:size val="5"/>
            <c:spPr>
              <a:solidFill>
                <a:schemeClr val="accent6">
                  <a:lumMod val="75000"/>
                </a:schemeClr>
              </a:solidFill>
              <a:ln>
                <a:solidFill>
                  <a:srgbClr val="F79646">
                    <a:lumMod val="75000"/>
                  </a:srgbClr>
                </a:solidFill>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Kenaga'!$AD$21:$AD$391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5"/>
          <c:order val="5"/>
          <c:tx>
            <c:v>Avian Acute Non-endangered LOC</c:v>
          </c:tx>
          <c:spPr>
            <a:ln w="25400">
              <a:solidFill>
                <a:srgbClr val="FF0000"/>
              </a:solidFill>
              <a:prstDash val="solid"/>
            </a:ln>
          </c:spPr>
          <c:marker>
            <c:symbol val="none"/>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Graphs!$AB$4:$AB$373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6"/>
          <c:order val="6"/>
          <c:tx>
            <c:v>Avian Chronic LOC</c:v>
          </c:tx>
          <c:spPr>
            <a:ln w="28575">
              <a:noFill/>
            </a:ln>
          </c:spPr>
          <c:marker>
            <c:symbol val="circle"/>
            <c:size val="3"/>
            <c:spPr>
              <a:solidFill>
                <a:srgbClr val="FF0000"/>
              </a:solidFill>
              <a:ln w="6350">
                <a:solidFill>
                  <a:srgbClr val="FF000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Graphs!$AD$4:$AD$373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4"/>
          <c:order val="7"/>
          <c:tx>
            <c:v>Avian Acute Endangered LOC</c:v>
          </c:tx>
          <c:spPr>
            <a:ln w="25400">
              <a:solidFill>
                <a:srgbClr val="FF0000"/>
              </a:solidFill>
              <a:prstDash val="sysDash"/>
            </a:ln>
          </c:spPr>
          <c:marker>
            <c:symbol val="none"/>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Graphs!$AC$4:$AC$373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marker val="1"/>
        <c:axId val="127680896"/>
        <c:axId val="127682816"/>
      </c:lineChart>
      <c:catAx>
        <c:axId val="127680896"/>
        <c:scaling>
          <c:orientation val="minMax"/>
        </c:scaling>
        <c:axPos val="b"/>
        <c:title>
          <c:tx>
            <c:rich>
              <a:bodyPr/>
              <a:lstStyle/>
              <a:p>
                <a:pPr>
                  <a:defRPr sz="1000" b="0" i="0" u="none" strike="noStrike" baseline="0">
                    <a:solidFill>
                      <a:srgbClr val="000000"/>
                    </a:solidFill>
                    <a:latin typeface="Arial"/>
                    <a:ea typeface="Arial"/>
                    <a:cs typeface="Arial"/>
                  </a:defRPr>
                </a:pPr>
                <a:r>
                  <a:rPr lang="en-US"/>
                  <a:t>Days</a:t>
                </a:r>
              </a:p>
            </c:rich>
          </c:tx>
          <c:layout>
            <c:manualLayout>
              <c:xMode val="edge"/>
              <c:yMode val="edge"/>
              <c:x val="0.41594995461248097"/>
              <c:y val="0.9365749712019385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682816"/>
        <c:crosses val="autoZero"/>
        <c:lblAlgn val="ctr"/>
        <c:lblOffset val="100"/>
        <c:tickLblSkip val="20"/>
        <c:tickMarkSkip val="10"/>
      </c:catAx>
      <c:valAx>
        <c:axId val="127682816"/>
        <c:scaling>
          <c:orientation val="minMax"/>
        </c:scaling>
        <c:axPos val="l"/>
        <c:title>
          <c:tx>
            <c:rich>
              <a:bodyPr/>
              <a:lstStyle/>
              <a:p>
                <a:pPr>
                  <a:defRPr sz="1000" b="0" i="0" u="none" strike="noStrike" baseline="0">
                    <a:solidFill>
                      <a:srgbClr val="000000"/>
                    </a:solidFill>
                    <a:latin typeface="Arial"/>
                    <a:ea typeface="Arial"/>
                    <a:cs typeface="Arial"/>
                  </a:defRPr>
                </a:pPr>
                <a:r>
                  <a:rPr lang="en-US"/>
                  <a:t>Concentration (mg ai/kg dietary item)</a:t>
                </a:r>
              </a:p>
            </c:rich>
          </c:tx>
          <c:layout>
            <c:manualLayout>
              <c:xMode val="edge"/>
              <c:yMode val="edge"/>
              <c:x val="1.3291601460615561E-2"/>
              <c:y val="0.38169415086210851"/>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7680896"/>
        <c:crosses val="autoZero"/>
        <c:crossBetween val="midCat"/>
      </c:valAx>
      <c:spPr>
        <a:noFill/>
        <a:ln w="25400">
          <a:noFill/>
        </a:ln>
      </c:spPr>
    </c:plotArea>
    <c:legend>
      <c:legendPos val="b"/>
      <c:layout>
        <c:manualLayout>
          <c:xMode val="edge"/>
          <c:yMode val="edge"/>
          <c:x val="0.10007820618666799"/>
          <c:y val="0.94113242829512433"/>
          <c:w val="0.72467396974439224"/>
          <c:h val="4.6926738720397577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dispBlanksAs val="gap"/>
  </c:chart>
  <c:spPr>
    <a:solidFill>
      <a:srgbClr val="FFFFFF"/>
    </a:solidFill>
    <a:ln w="3175">
      <a:solidFill>
        <a:srgbClr val="000000"/>
      </a:solidFill>
      <a:prstDash val="solid"/>
    </a:ln>
  </c:spPr>
  <c:txPr>
    <a:bodyPr/>
    <a:lstStyle/>
    <a:p>
      <a:pPr>
        <a:defRPr sz="1000" b="0" i="0" u="sng"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sng" strike="noStrike" baseline="0">
                <a:solidFill>
                  <a:srgbClr val="000000"/>
                </a:solidFill>
                <a:latin typeface="Arial"/>
                <a:ea typeface="Arial"/>
                <a:cs typeface="Arial"/>
              </a:defRPr>
            </a:pPr>
            <a:r>
              <a:rPr lang="en-US"/>
              <a:t>Terrestrial Residues (upper bound estimates)
vs
Mammalian Herbivore/Insectivore LOCs (as dietary concentrations</a:t>
            </a:r>
          </a:p>
        </c:rich>
      </c:tx>
      <c:layout>
        <c:manualLayout>
          <c:xMode val="edge"/>
          <c:yMode val="edge"/>
          <c:x val="0.27677873338546538"/>
          <c:y val="2.5930069086191814E-2"/>
        </c:manualLayout>
      </c:layout>
      <c:spPr>
        <a:noFill/>
        <a:ln w="25400">
          <a:noFill/>
        </a:ln>
      </c:spPr>
    </c:title>
    <c:plotArea>
      <c:layout>
        <c:manualLayout>
          <c:layoutTarget val="inner"/>
          <c:xMode val="edge"/>
          <c:yMode val="edge"/>
          <c:x val="7.6622361219702895E-2"/>
          <c:y val="0.11161217587373169"/>
          <c:w val="0.79176439927025799"/>
          <c:h val="0.7001127395715897"/>
        </c:manualLayout>
      </c:layout>
      <c:lineChart>
        <c:grouping val="standard"/>
        <c:ser>
          <c:idx val="0"/>
          <c:order val="0"/>
          <c:tx>
            <c:strRef>
              <c:f>'upper bound Kenaga'!$A$27:$A$27</c:f>
              <c:strCache>
                <c:ptCount val="1"/>
                <c:pt idx="0">
                  <c:v>Short Grass </c:v>
                </c:pt>
              </c:strCache>
            </c:strRef>
          </c:tx>
          <c:spPr>
            <a:ln w="12700">
              <a:solidFill>
                <a:srgbClr val="000080"/>
              </a:solidFill>
              <a:prstDash val="solid"/>
            </a:ln>
          </c:spPr>
          <c:marker>
            <c:symbol val="triangle"/>
            <c:size val="5"/>
            <c:spPr>
              <a:solidFill>
                <a:srgbClr val="000080"/>
              </a:solidFill>
              <a:ln>
                <a:solidFill>
                  <a:srgbClr val="00008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Kenaga'!$R$21:$R$391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
          <c:order val="1"/>
          <c:tx>
            <c:strRef>
              <c:f>'upper bound Kenaga'!$A$28:$A$28</c:f>
              <c:strCache>
                <c:ptCount val="1"/>
                <c:pt idx="0">
                  <c:v>Tall Grass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Kenaga'!$U$21:$U$391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2"/>
          <c:order val="2"/>
          <c:tx>
            <c:strRef>
              <c:f>'upper bound Kenaga'!$A$29:$A$29</c:f>
              <c:strCache>
                <c:ptCount val="1"/>
                <c:pt idx="0">
                  <c:v>Broadleaf plants</c:v>
                </c:pt>
              </c:strCache>
            </c:strRef>
          </c:tx>
          <c:spPr>
            <a:ln w="12700">
              <a:solidFill>
                <a:srgbClr val="339933"/>
              </a:solidFill>
              <a:prstDash val="solid"/>
            </a:ln>
          </c:spPr>
          <c:marker>
            <c:symbol val="diamond"/>
            <c:size val="5"/>
            <c:spPr>
              <a:solidFill>
                <a:srgbClr val="339933"/>
              </a:solidFill>
              <a:ln>
                <a:solidFill>
                  <a:srgbClr val="339933"/>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Kenaga'!$X$21:$X$391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3"/>
          <c:order val="3"/>
          <c:tx>
            <c:strRef>
              <c:f>'upper bound Kenaga'!$A$30:$A$30</c:f>
              <c:strCache>
                <c:ptCount val="1"/>
                <c:pt idx="0">
                  <c:v>Fruits/pods/seeds</c:v>
                </c:pt>
              </c:strCache>
            </c:strRef>
          </c:tx>
          <c:spPr>
            <a:ln w="12700">
              <a:solidFill>
                <a:srgbClr val="7030A0"/>
              </a:solidFill>
              <a:prstDash val="solid"/>
            </a:ln>
          </c:spPr>
          <c:marker>
            <c:symbol val="x"/>
            <c:size val="6"/>
            <c:spPr>
              <a:noFill/>
              <a:ln>
                <a:solidFill>
                  <a:srgbClr val="7030A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Kenaga'!$AA$21:$AA$391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1"/>
          <c:order val="4"/>
          <c:tx>
            <c:strRef>
              <c:f>'upper bound Kenaga'!$A$31</c:f>
              <c:strCache>
                <c:ptCount val="1"/>
                <c:pt idx="0">
                  <c:v>Arthropods</c:v>
                </c:pt>
              </c:strCache>
            </c:strRef>
          </c:tx>
          <c:marker>
            <c:symbol val="circle"/>
            <c:size val="5"/>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Kenaga'!$AD$21:$AD$391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4"/>
          <c:order val="5"/>
          <c:tx>
            <c:v>Chronic LOC</c:v>
          </c:tx>
          <c:spPr>
            <a:ln w="28575">
              <a:noFill/>
            </a:ln>
          </c:spPr>
          <c:marker>
            <c:symbol val="circle"/>
            <c:size val="2"/>
            <c:spPr>
              <a:solidFill>
                <a:srgbClr val="FF0000"/>
              </a:solidFill>
              <a:ln w="6350">
                <a:solidFill>
                  <a:srgbClr val="C0000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Graphs!$AQ$4:$AQ$373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5"/>
          <c:order val="6"/>
          <c:tx>
            <c:v>15 g Mammal Acute LOC</c:v>
          </c:tx>
          <c:spPr>
            <a:ln w="12700">
              <a:solidFill>
                <a:srgbClr val="FF0000"/>
              </a:solidFill>
              <a:prstDash val="solid"/>
            </a:ln>
          </c:spPr>
          <c:marker>
            <c:symbol val="none"/>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Graphs!$AE$4:$AE$373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6"/>
          <c:order val="7"/>
          <c:tx>
            <c:v>35 g Mammal Acute LOC</c:v>
          </c:tx>
          <c:spPr>
            <a:ln w="25400">
              <a:solidFill>
                <a:srgbClr val="FF0000"/>
              </a:solidFill>
              <a:prstDash val="solid"/>
            </a:ln>
          </c:spPr>
          <c:marker>
            <c:symbol val="none"/>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Graphs!$AF$4:$AF$373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7"/>
          <c:order val="8"/>
          <c:tx>
            <c:v>1000 g Mammal Acute LOC</c:v>
          </c:tx>
          <c:spPr>
            <a:ln w="28575">
              <a:noFill/>
            </a:ln>
          </c:spPr>
          <c:marker>
            <c:symbol val="dot"/>
            <c:size val="2"/>
            <c:spPr>
              <a:solidFill>
                <a:srgbClr val="FF0000"/>
              </a:solidFill>
              <a:ln>
                <a:solidFill>
                  <a:srgbClr val="FF000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Graphs!$AG$4:$AG$373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8"/>
          <c:order val="9"/>
          <c:tx>
            <c:v>15 g Endangered Mammal Acute LOC</c:v>
          </c:tx>
          <c:spPr>
            <a:ln w="28575">
              <a:noFill/>
            </a:ln>
          </c:spPr>
          <c:marker>
            <c:symbol val="square"/>
            <c:size val="2"/>
            <c:spPr>
              <a:noFill/>
              <a:ln w="3175">
                <a:solidFill>
                  <a:schemeClr val="tx1"/>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Graphs!$AK$4:$AK$373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9"/>
          <c:order val="10"/>
          <c:tx>
            <c:v>35 g Endangered Mammal Acute LOC</c:v>
          </c:tx>
          <c:spPr>
            <a:ln w="28575">
              <a:noFill/>
            </a:ln>
          </c:spPr>
          <c:marker>
            <c:symbol val="triangle"/>
            <c:size val="2"/>
            <c:spPr>
              <a:noFill/>
              <a:ln>
                <a:solidFill>
                  <a:schemeClr val="tx1"/>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Graphs!$AL$4:$AL$373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10"/>
          <c:order val="11"/>
          <c:tx>
            <c:v>1000 g Endangered Mammal Acute LOC</c:v>
          </c:tx>
          <c:spPr>
            <a:ln w="28575">
              <a:noFill/>
            </a:ln>
          </c:spPr>
          <c:marker>
            <c:symbol val="circle"/>
            <c:size val="2"/>
            <c:spPr>
              <a:noFill/>
              <a:ln>
                <a:solidFill>
                  <a:schemeClr val="tx1"/>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Graphs!$AM$4:$AM$373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marker val="1"/>
        <c:axId val="126038016"/>
        <c:axId val="126038784"/>
      </c:lineChart>
      <c:catAx>
        <c:axId val="126038016"/>
        <c:scaling>
          <c:orientation val="minMax"/>
        </c:scaling>
        <c:axPos val="b"/>
        <c:title>
          <c:tx>
            <c:rich>
              <a:bodyPr/>
              <a:lstStyle/>
              <a:p>
                <a:pPr>
                  <a:defRPr sz="1000" b="0" i="0" u="none" strike="noStrike" baseline="0">
                    <a:solidFill>
                      <a:srgbClr val="000000"/>
                    </a:solidFill>
                    <a:latin typeface="Arial"/>
                    <a:ea typeface="Arial"/>
                    <a:cs typeface="Arial"/>
                  </a:defRPr>
                </a:pPr>
                <a:r>
                  <a:rPr lang="en-US"/>
                  <a:t>Days</a:t>
                </a:r>
              </a:p>
            </c:rich>
          </c:tx>
          <c:layout>
            <c:manualLayout>
              <c:xMode val="edge"/>
              <c:yMode val="edge"/>
              <c:x val="0.41594996090696368"/>
              <c:y val="0.9368658400458566"/>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038784"/>
        <c:crosses val="autoZero"/>
        <c:auto val="1"/>
        <c:lblAlgn val="ctr"/>
        <c:lblOffset val="100"/>
        <c:tickLblSkip val="20"/>
        <c:tickMarkSkip val="10"/>
      </c:catAx>
      <c:valAx>
        <c:axId val="126038784"/>
        <c:scaling>
          <c:orientation val="minMax"/>
        </c:scaling>
        <c:axPos val="l"/>
        <c:title>
          <c:tx>
            <c:rich>
              <a:bodyPr/>
              <a:lstStyle/>
              <a:p>
                <a:pPr>
                  <a:defRPr sz="1000" b="0" i="0" u="none" strike="noStrike" baseline="0">
                    <a:solidFill>
                      <a:srgbClr val="000000"/>
                    </a:solidFill>
                    <a:latin typeface="Arial"/>
                    <a:ea typeface="Arial"/>
                    <a:cs typeface="Arial"/>
                  </a:defRPr>
                </a:pPr>
                <a:r>
                  <a:rPr lang="en-US"/>
                  <a:t>Concentration (mg ai/kg dietary item)</a:t>
                </a:r>
              </a:p>
            </c:rich>
          </c:tx>
          <c:layout>
            <c:manualLayout>
              <c:xMode val="edge"/>
              <c:yMode val="edge"/>
              <c:x val="1.3291634089132203E-2"/>
              <c:y val="0.38331456843757494"/>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6038016"/>
        <c:crosses val="autoZero"/>
        <c:crossBetween val="midCat"/>
      </c:valAx>
      <c:spPr>
        <a:noFill/>
        <a:ln w="25400">
          <a:noFill/>
        </a:ln>
      </c:spPr>
    </c:plotArea>
    <c:legend>
      <c:legendPos val="b"/>
      <c:layout>
        <c:manualLayout>
          <c:xMode val="edge"/>
          <c:yMode val="edge"/>
          <c:x val="6.2548866301798275E-2"/>
          <c:y val="0.91770006335415821"/>
          <c:w val="0.79301554076655156"/>
          <c:h val="7.0697476231480094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dispBlanksAs val="gap"/>
  </c:chart>
  <c:spPr>
    <a:solidFill>
      <a:srgbClr val="FFFFFF"/>
    </a:solidFill>
    <a:ln w="3175">
      <a:solidFill>
        <a:srgbClr val="000000"/>
      </a:solidFill>
      <a:prstDash val="solid"/>
    </a:ln>
  </c:spPr>
  <c:txPr>
    <a:bodyPr/>
    <a:lstStyle/>
    <a:p>
      <a:pPr>
        <a:defRPr sz="1000" b="0" i="0" u="sng"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sng" strike="noStrike" baseline="0">
                <a:solidFill>
                  <a:srgbClr val="000000"/>
                </a:solidFill>
                <a:latin typeface="Arial"/>
                <a:ea typeface="Arial"/>
                <a:cs typeface="Arial"/>
              </a:defRPr>
            </a:pPr>
            <a:r>
              <a:rPr lang="en-US"/>
              <a:t>Terrestrial Residues (upper bound estimates)
vs
Mammalian Granivore LOCs (as dietary concentrations)</a:t>
            </a:r>
          </a:p>
        </c:rich>
      </c:tx>
      <c:layout>
        <c:manualLayout>
          <c:xMode val="edge"/>
          <c:yMode val="edge"/>
          <c:x val="0.30869712602539079"/>
          <c:y val="2.6008321540452604E-2"/>
        </c:manualLayout>
      </c:layout>
      <c:spPr>
        <a:noFill/>
        <a:ln w="25400">
          <a:noFill/>
        </a:ln>
      </c:spPr>
    </c:title>
    <c:plotArea>
      <c:layout>
        <c:manualLayout>
          <c:layoutTarget val="inner"/>
          <c:xMode val="edge"/>
          <c:yMode val="edge"/>
          <c:x val="7.6782528057392024E-2"/>
          <c:y val="0.11081810511994603"/>
          <c:w val="0.78769530767902385"/>
          <c:h val="0.71811071073742849"/>
        </c:manualLayout>
      </c:layout>
      <c:lineChart>
        <c:grouping val="standard"/>
        <c:ser>
          <c:idx val="0"/>
          <c:order val="0"/>
          <c:tx>
            <c:strRef>
              <c:f>'upper bound Kenaga'!$A$27:$A$27</c:f>
              <c:strCache>
                <c:ptCount val="1"/>
                <c:pt idx="0">
                  <c:v>Short Grass </c:v>
                </c:pt>
              </c:strCache>
            </c:strRef>
          </c:tx>
          <c:spPr>
            <a:ln w="12700">
              <a:solidFill>
                <a:srgbClr val="000080"/>
              </a:solidFill>
              <a:prstDash val="solid"/>
            </a:ln>
          </c:spPr>
          <c:marker>
            <c:symbol val="triangle"/>
            <c:size val="5"/>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Kenaga'!$R$21:$R$391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
          <c:order val="1"/>
          <c:tx>
            <c:strRef>
              <c:f>'upper bound Kenaga'!$A$28:$A$28</c:f>
              <c:strCache>
                <c:ptCount val="1"/>
                <c:pt idx="0">
                  <c:v>Tall Grass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Kenaga'!$U$21:$U$391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2"/>
          <c:order val="2"/>
          <c:tx>
            <c:strRef>
              <c:f>'upper bound Kenaga'!$A$29:$A$29</c:f>
              <c:strCache>
                <c:ptCount val="1"/>
                <c:pt idx="0">
                  <c:v>Broadleaf plants</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Kenaga'!$X$21:$X$391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3"/>
          <c:order val="3"/>
          <c:tx>
            <c:strRef>
              <c:f>'upper bound Kenaga'!$A$30:$A$30</c:f>
              <c:strCache>
                <c:ptCount val="1"/>
                <c:pt idx="0">
                  <c:v>Fruits/pods/seeds</c:v>
                </c:pt>
              </c:strCache>
            </c:strRef>
          </c:tx>
          <c:spPr>
            <a:ln w="12700">
              <a:solidFill>
                <a:srgbClr val="7030A0"/>
              </a:solidFill>
              <a:prstDash val="solid"/>
            </a:ln>
          </c:spPr>
          <c:marker>
            <c:symbol val="x"/>
            <c:size val="6"/>
            <c:spPr>
              <a:noFill/>
              <a:ln>
                <a:solidFill>
                  <a:srgbClr val="7030A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Kenaga'!$AA$21:$AA$391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11"/>
          <c:order val="4"/>
          <c:tx>
            <c:strRef>
              <c:f>'upper bound Kenaga'!$A$31</c:f>
              <c:strCache>
                <c:ptCount val="1"/>
                <c:pt idx="0">
                  <c:v>Arthropods</c:v>
                </c:pt>
              </c:strCache>
            </c:strRef>
          </c:tx>
          <c:marker>
            <c:symbol val="circle"/>
            <c:size val="5"/>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'upper bound Kenaga'!$AD$21:$AD$391</c:f>
              <c:numCache>
                <c:formatCode>0.00</c:formatCode>
                <c:ptCount val="3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numCache>
            </c:numRef>
          </c:val>
        </c:ser>
        <c:ser>
          <c:idx val="4"/>
          <c:order val="5"/>
          <c:tx>
            <c:v>Chronic LOC</c:v>
          </c:tx>
          <c:spPr>
            <a:ln w="28575">
              <a:noFill/>
            </a:ln>
          </c:spPr>
          <c:marker>
            <c:symbol val="circle"/>
            <c:size val="2"/>
            <c:spPr>
              <a:solidFill>
                <a:srgbClr val="FF0000"/>
              </a:solidFill>
              <a:ln w="3175">
                <a:solidFill>
                  <a:srgbClr val="C0000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Graphs!$AQ$4:$AQ$373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5"/>
          <c:order val="6"/>
          <c:tx>
            <c:v>15 g Mammal Acute LOC</c:v>
          </c:tx>
          <c:spPr>
            <a:ln w="12700">
              <a:solidFill>
                <a:srgbClr val="FF0000"/>
              </a:solidFill>
              <a:prstDash val="solid"/>
            </a:ln>
          </c:spPr>
          <c:marker>
            <c:symbol val="none"/>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Graphs!$AH$4:$AH$373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6"/>
          <c:order val="7"/>
          <c:tx>
            <c:v>35 g Mammal Acute LOC</c:v>
          </c:tx>
          <c:spPr>
            <a:ln w="25400">
              <a:solidFill>
                <a:srgbClr val="FF0000"/>
              </a:solidFill>
              <a:prstDash val="solid"/>
            </a:ln>
          </c:spPr>
          <c:marker>
            <c:symbol val="none"/>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Graphs!$AI$4:$AI$373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7"/>
          <c:order val="8"/>
          <c:tx>
            <c:v>1000 g Mammal Acute LOC</c:v>
          </c:tx>
          <c:spPr>
            <a:ln w="28575">
              <a:noFill/>
            </a:ln>
          </c:spPr>
          <c:marker>
            <c:symbol val="dot"/>
            <c:size val="6"/>
            <c:spPr>
              <a:solidFill>
                <a:srgbClr val="FF0000"/>
              </a:solidFill>
              <a:ln>
                <a:solidFill>
                  <a:srgbClr val="FF0000"/>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Graphs!$AJ$4:$AJ$373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8"/>
          <c:order val="9"/>
          <c:tx>
            <c:v>15 g Endangered Mammal Acute LOC</c:v>
          </c:tx>
          <c:spPr>
            <a:ln w="28575">
              <a:noFill/>
            </a:ln>
          </c:spPr>
          <c:marker>
            <c:symbol val="square"/>
            <c:size val="2"/>
            <c:spPr>
              <a:noFill/>
              <a:ln w="3175">
                <a:solidFill>
                  <a:schemeClr val="tx1"/>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Graphs!$AN$4:$AN$373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9"/>
          <c:order val="10"/>
          <c:tx>
            <c:v>35 g Endangered Mammal Acute LOC</c:v>
          </c:tx>
          <c:spPr>
            <a:ln w="28575">
              <a:noFill/>
            </a:ln>
          </c:spPr>
          <c:marker>
            <c:symbol val="triangle"/>
            <c:size val="2"/>
            <c:spPr>
              <a:noFill/>
              <a:ln w="3175">
                <a:solidFill>
                  <a:schemeClr val="tx1"/>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Graphs!$AO$4:$AO$373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ser>
          <c:idx val="10"/>
          <c:order val="11"/>
          <c:tx>
            <c:v>1000 g Endangered Mammal Acute LOC</c:v>
          </c:tx>
          <c:spPr>
            <a:ln w="28575">
              <a:noFill/>
            </a:ln>
          </c:spPr>
          <c:marker>
            <c:symbol val="circle"/>
            <c:size val="2"/>
            <c:spPr>
              <a:noFill/>
              <a:ln>
                <a:solidFill>
                  <a:schemeClr val="tx1"/>
                </a:solidFill>
                <a:prstDash val="solid"/>
              </a:ln>
            </c:spPr>
          </c:marker>
          <c:cat>
            <c:numRef>
              <c:f>'upper bound Kenaga'!$M$21:$M$391</c:f>
              <c:numCache>
                <c:formatCode>General</c:formatCode>
                <c:ptCount val="37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pt idx="361">
                  <c:v>361</c:v>
                </c:pt>
                <c:pt idx="362">
                  <c:v>362</c:v>
                </c:pt>
                <c:pt idx="363">
                  <c:v>363</c:v>
                </c:pt>
                <c:pt idx="364">
                  <c:v>364</c:v>
                </c:pt>
                <c:pt idx="365">
                  <c:v>365</c:v>
                </c:pt>
                <c:pt idx="366">
                  <c:v>366</c:v>
                </c:pt>
                <c:pt idx="367">
                  <c:v>367</c:v>
                </c:pt>
                <c:pt idx="368">
                  <c:v>368</c:v>
                </c:pt>
                <c:pt idx="369">
                  <c:v>369</c:v>
                </c:pt>
                <c:pt idx="370">
                  <c:v>370</c:v>
                </c:pt>
              </c:numCache>
            </c:numRef>
          </c:cat>
          <c:val>
            <c:numRef>
              <c:f>Graphs!$AP$4:$AP$373</c:f>
              <c:numCache>
                <c:formatCode>0</c:formatCode>
                <c:ptCount val="37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numCache>
            </c:numRef>
          </c:val>
        </c:ser>
        <c:marker val="1"/>
        <c:axId val="128231680"/>
        <c:axId val="128250624"/>
      </c:lineChart>
      <c:catAx>
        <c:axId val="128231680"/>
        <c:scaling>
          <c:orientation val="minMax"/>
        </c:scaling>
        <c:axPos val="b"/>
        <c:title>
          <c:tx>
            <c:rich>
              <a:bodyPr/>
              <a:lstStyle/>
              <a:p>
                <a:pPr>
                  <a:defRPr sz="1000" b="0" i="0" u="none" strike="noStrike" baseline="0">
                    <a:solidFill>
                      <a:srgbClr val="000000"/>
                    </a:solidFill>
                    <a:latin typeface="Arial"/>
                    <a:ea typeface="Arial"/>
                    <a:cs typeface="Arial"/>
                  </a:defRPr>
                </a:pPr>
                <a:r>
                  <a:rPr lang="en-US"/>
                  <a:t>Days</a:t>
                </a:r>
              </a:p>
            </c:rich>
          </c:tx>
          <c:layout>
            <c:manualLayout>
              <c:xMode val="edge"/>
              <c:yMode val="edge"/>
              <c:x val="0.4160359226256593"/>
              <c:y val="0.93629993831417602"/>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8250624"/>
        <c:crosses val="autoZero"/>
        <c:auto val="1"/>
        <c:lblAlgn val="ctr"/>
        <c:lblOffset val="100"/>
        <c:tickLblSkip val="20"/>
        <c:tickMarkSkip val="10"/>
      </c:catAx>
      <c:valAx>
        <c:axId val="128250624"/>
        <c:scaling>
          <c:orientation val="minMax"/>
        </c:scaling>
        <c:axPos val="l"/>
        <c:title>
          <c:tx>
            <c:rich>
              <a:bodyPr/>
              <a:lstStyle/>
              <a:p>
                <a:pPr>
                  <a:defRPr sz="1000" b="0" i="0" u="none" strike="noStrike" baseline="0">
                    <a:solidFill>
                      <a:srgbClr val="000000"/>
                    </a:solidFill>
                    <a:latin typeface="Arial"/>
                    <a:ea typeface="Arial"/>
                    <a:cs typeface="Arial"/>
                  </a:defRPr>
                </a:pPr>
                <a:r>
                  <a:rPr lang="en-US"/>
                  <a:t>Concentration (mg ai/kg dietary item)</a:t>
                </a:r>
              </a:p>
            </c:rich>
          </c:tx>
          <c:layout>
            <c:manualLayout>
              <c:xMode val="edge"/>
              <c:yMode val="edge"/>
              <c:x val="1.3319428331646633E-2"/>
              <c:y val="0.3822094415617403"/>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8231680"/>
        <c:crosses val="autoZero"/>
        <c:crossBetween val="midCat"/>
      </c:valAx>
      <c:spPr>
        <a:noFill/>
        <a:ln w="25400">
          <a:noFill/>
        </a:ln>
      </c:spPr>
    </c:plotArea>
    <c:legend>
      <c:legendPos val="b"/>
      <c:layout>
        <c:manualLayout>
          <c:xMode val="edge"/>
          <c:yMode val="edge"/>
          <c:x val="6.5030072651576884E-2"/>
          <c:y val="0.91481476105809367"/>
          <c:w val="0.79487999736710591"/>
          <c:h val="7.0857244539347913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dispBlanksAs val="gap"/>
  </c:chart>
  <c:spPr>
    <a:solidFill>
      <a:srgbClr val="FFFFFF"/>
    </a:solidFill>
    <a:ln w="3175">
      <a:solidFill>
        <a:srgbClr val="000000"/>
      </a:solidFill>
      <a:prstDash val="solid"/>
    </a:ln>
  </c:spPr>
  <c:txPr>
    <a:bodyPr/>
    <a:lstStyle/>
    <a:p>
      <a:pPr>
        <a:defRPr sz="1000" b="0" i="0" u="sng"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485774</xdr:colOff>
      <xdr:row>185</xdr:row>
      <xdr:rowOff>0</xdr:rowOff>
    </xdr:from>
    <xdr:to>
      <xdr:col>7</xdr:col>
      <xdr:colOff>857249</xdr:colOff>
      <xdr:row>229</xdr:row>
      <xdr:rowOff>95250</xdr:rowOff>
    </xdr:to>
    <xdr:graphicFrame macro="">
      <xdr:nvGraphicFramePr>
        <xdr:cNvPr id="11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809625</xdr:colOff>
      <xdr:row>0</xdr:row>
      <xdr:rowOff>85725</xdr:rowOff>
    </xdr:from>
    <xdr:to>
      <xdr:col>20</xdr:col>
      <xdr:colOff>485775</xdr:colOff>
      <xdr:row>5</xdr:row>
      <xdr:rowOff>152400</xdr:rowOff>
    </xdr:to>
    <xdr:sp macro="" textlink="">
      <xdr:nvSpPr>
        <xdr:cNvPr id="21506" name="Text Box 2"/>
        <xdr:cNvSpPr txBox="1">
          <a:spLocks noChangeArrowheads="1"/>
        </xdr:cNvSpPr>
      </xdr:nvSpPr>
      <xdr:spPr bwMode="auto">
        <a:xfrm>
          <a:off x="533400" y="85725"/>
          <a:ext cx="8401050" cy="8763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36576" tIns="27432" rIns="0" bIns="0" anchor="t" upright="1"/>
        <a:lstStyle/>
        <a:p>
          <a:pPr algn="l" rtl="0">
            <a:defRPr sz="1000"/>
          </a:pPr>
          <a:r>
            <a:rPr lang="en-US" sz="1400" b="1" i="0" u="none" strike="noStrike" baseline="0">
              <a:solidFill>
                <a:srgbClr val="000000"/>
              </a:solidFill>
              <a:latin typeface="Arial"/>
              <a:cs typeface="Arial"/>
            </a:rPr>
            <a:t>This worksheet is designed so that the individual tables may be easily cut and pasted directly into Microsoft Word documents with minimal formatting changes.  This sheet is password protected; however, formatting changes (e.g. changing significant digits) are allowed.  </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0.78227</cdr:x>
      <cdr:y>0.00803</cdr:y>
    </cdr:from>
    <cdr:to>
      <cdr:x>0.97447</cdr:x>
      <cdr:y>0.06262</cdr:y>
    </cdr:to>
    <cdr:sp macro="" textlink="">
      <cdr:nvSpPr>
        <cdr:cNvPr id="6145" name="Text Box 1"/>
        <cdr:cNvSpPr txBox="1">
          <a:spLocks xmlns:a="http://schemas.openxmlformats.org/drawingml/2006/main" noChangeArrowheads="1"/>
        </cdr:cNvSpPr>
      </cdr:nvSpPr>
      <cdr:spPr bwMode="auto">
        <a:xfrm xmlns:a="http://schemas.openxmlformats.org/drawingml/2006/main">
          <a:off x="7089680" y="50800"/>
          <a:ext cx="1782223" cy="2379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50" b="0" i="0" u="sng" strike="noStrike" baseline="0">
              <a:solidFill>
                <a:srgbClr val="000000"/>
              </a:solidFill>
              <a:latin typeface="Arial"/>
              <a:cs typeface="Arial"/>
            </a:rPr>
            <a:t>For Risk Discussion Purposes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485775</xdr:colOff>
      <xdr:row>185</xdr:row>
      <xdr:rowOff>0</xdr:rowOff>
    </xdr:from>
    <xdr:to>
      <xdr:col>7</xdr:col>
      <xdr:colOff>314325</xdr:colOff>
      <xdr:row>220</xdr:row>
      <xdr:rowOff>142875</xdr:rowOff>
    </xdr:to>
    <xdr:graphicFrame macro="">
      <xdr:nvGraphicFramePr>
        <xdr:cNvPr id="1178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0.78227</cdr:x>
      <cdr:y>0.00803</cdr:y>
    </cdr:from>
    <cdr:to>
      <cdr:x>0.97447</cdr:x>
      <cdr:y>0.06262</cdr:y>
    </cdr:to>
    <cdr:sp macro="" textlink="">
      <cdr:nvSpPr>
        <cdr:cNvPr id="6145" name="Text Box 1"/>
        <cdr:cNvSpPr txBox="1">
          <a:spLocks xmlns:a="http://schemas.openxmlformats.org/drawingml/2006/main" noChangeArrowheads="1"/>
        </cdr:cNvSpPr>
      </cdr:nvSpPr>
      <cdr:spPr bwMode="auto">
        <a:xfrm xmlns:a="http://schemas.openxmlformats.org/drawingml/2006/main">
          <a:off x="7089680" y="50800"/>
          <a:ext cx="1782223" cy="23793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950" b="0" i="0" u="sng" strike="noStrike" baseline="0">
              <a:solidFill>
                <a:srgbClr val="000000"/>
              </a:solidFill>
              <a:latin typeface="Arial"/>
              <a:cs typeface="Arial"/>
            </a:rPr>
            <a:t>For Risk Discussion Purposes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104775</xdr:colOff>
      <xdr:row>0</xdr:row>
      <xdr:rowOff>142876</xdr:rowOff>
    </xdr:from>
    <xdr:to>
      <xdr:col>4</xdr:col>
      <xdr:colOff>0</xdr:colOff>
      <xdr:row>5</xdr:row>
      <xdr:rowOff>133351</xdr:rowOff>
    </xdr:to>
    <xdr:sp macro="" textlink="">
      <xdr:nvSpPr>
        <xdr:cNvPr id="22529" name="Text Box 1"/>
        <xdr:cNvSpPr txBox="1">
          <a:spLocks noChangeArrowheads="1"/>
        </xdr:cNvSpPr>
      </xdr:nvSpPr>
      <xdr:spPr bwMode="auto">
        <a:xfrm>
          <a:off x="104775" y="142876"/>
          <a:ext cx="8953500" cy="800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analysis below calculates the number of granules needed to be consumed by a bird and mammal to achieve a dose that would exceed the LD50 and trigger the LOC of 0.1 and 0.5. In addition, the minimum foraging area with sufficient number of granules to achieve a dose that exceeds the LD50, 1/2 the LD50, or 1/10th the LD50 is estimated by assuming that a bird consumes 100%, 50%, and 10% of the available granules.  This analysis may be used to characterize the LD50/square foot calculation presented in the "LD50 ft-2" worksheet.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20</xdr:col>
      <xdr:colOff>9525</xdr:colOff>
      <xdr:row>50</xdr:row>
      <xdr:rowOff>85725</xdr:rowOff>
    </xdr:to>
    <xdr:graphicFrame macro="">
      <xdr:nvGraphicFramePr>
        <xdr:cNvPr id="21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51</xdr:row>
      <xdr:rowOff>0</xdr:rowOff>
    </xdr:from>
    <xdr:to>
      <xdr:col>19</xdr:col>
      <xdr:colOff>600075</xdr:colOff>
      <xdr:row>102</xdr:row>
      <xdr:rowOff>28575</xdr:rowOff>
    </xdr:to>
    <xdr:graphicFrame macro="">
      <xdr:nvGraphicFramePr>
        <xdr:cNvPr id="21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38100</xdr:colOff>
      <xdr:row>103</xdr:row>
      <xdr:rowOff>19050</xdr:rowOff>
    </xdr:from>
    <xdr:to>
      <xdr:col>20</xdr:col>
      <xdr:colOff>0</xdr:colOff>
      <xdr:row>154</xdr:row>
      <xdr:rowOff>28575</xdr:rowOff>
    </xdr:to>
    <xdr:graphicFrame macro="">
      <xdr:nvGraphicFramePr>
        <xdr:cNvPr id="217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wsDr>
</file>

<file path=xl/drawings/drawing7.xml><?xml version="1.0" encoding="utf-8"?>
<c:userShapes xmlns:c="http://schemas.openxmlformats.org/drawingml/2006/chart">
  <cdr:relSizeAnchor xmlns:cdr="http://schemas.openxmlformats.org/drawingml/2006/chartDrawing">
    <cdr:from>
      <cdr:x>0.30751</cdr:x>
      <cdr:y>0.9</cdr:y>
    </cdr:from>
    <cdr:to>
      <cdr:x>0.66432</cdr:x>
      <cdr:y>0.93194</cdr:y>
    </cdr:to>
    <cdr:sp macro="" textlink="">
      <cdr:nvSpPr>
        <cdr:cNvPr id="2" name="TextBox 1"/>
        <cdr:cNvSpPr txBox="1"/>
      </cdr:nvSpPr>
      <cdr:spPr>
        <a:xfrm xmlns:a="http://schemas.openxmlformats.org/drawingml/2006/main">
          <a:off x="3743325" y="7515225"/>
          <a:ext cx="43434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a:latin typeface="Arial" pitchFamily="34" charset="0"/>
              <a:cs typeface="Arial" pitchFamily="34" charset="0"/>
            </a:rPr>
            <a:t>Time</a:t>
          </a:r>
          <a:r>
            <a:rPr lang="en-US" sz="1000" baseline="0">
              <a:latin typeface="Arial" pitchFamily="34" charset="0"/>
              <a:cs typeface="Arial" pitchFamily="34" charset="0"/>
            </a:rPr>
            <a:t> (days)</a:t>
          </a:r>
          <a:endParaRPr lang="en-US" sz="1000">
            <a:latin typeface="Arial" pitchFamily="34" charset="0"/>
            <a:cs typeface="Arial"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0.002</cdr:x>
      <cdr:y>0.00289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0.34923</cdr:x>
      <cdr:y>0.86885</cdr:y>
    </cdr:from>
    <cdr:to>
      <cdr:x>0.638</cdr:x>
      <cdr:y>0.90041</cdr:y>
    </cdr:to>
    <cdr:sp macro="" textlink="">
      <cdr:nvSpPr>
        <cdr:cNvPr id="3" name="TextBox 2"/>
        <cdr:cNvSpPr txBox="1"/>
      </cdr:nvSpPr>
      <cdr:spPr>
        <a:xfrm xmlns:a="http://schemas.openxmlformats.org/drawingml/2006/main">
          <a:off x="4254500" y="7340600"/>
          <a:ext cx="35179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Time</a:t>
          </a:r>
          <a:r>
            <a:rPr lang="en-US" sz="1100" baseline="0">
              <a:latin typeface="+mn-lt"/>
              <a:ea typeface="+mn-ea"/>
              <a:cs typeface="+mn-cs"/>
            </a:rPr>
            <a:t> (days)</a:t>
          </a:r>
          <a:endParaRPr lang="en-US" sz="1100">
            <a:latin typeface="+mn-lt"/>
            <a:ea typeface="+mn-ea"/>
            <a:cs typeface="+mn-cs"/>
          </a:endParaRPr>
        </a:p>
        <a:p xmlns:a="http://schemas.openxmlformats.org/drawingml/2006/main">
          <a:endParaRPr lang="en-US" sz="1100"/>
        </a:p>
      </cdr:txBody>
    </cdr:sp>
  </cdr:relSizeAnchor>
</c:userShapes>
</file>

<file path=xl/drawings/drawing9.xml><?xml version="1.0" encoding="utf-8"?>
<c:userShapes xmlns:c="http://schemas.openxmlformats.org/drawingml/2006/chart">
  <cdr:relSizeAnchor xmlns:cdr="http://schemas.openxmlformats.org/drawingml/2006/chartDrawing">
    <cdr:from>
      <cdr:x>0.33438</cdr:x>
      <cdr:y>0.87307</cdr:y>
    </cdr:from>
    <cdr:to>
      <cdr:x>0.69488</cdr:x>
      <cdr:y>0.90169</cdr:y>
    </cdr:to>
    <cdr:sp macro="" textlink="">
      <cdr:nvSpPr>
        <cdr:cNvPr id="2" name="TextBox 1"/>
        <cdr:cNvSpPr txBox="1"/>
      </cdr:nvSpPr>
      <cdr:spPr>
        <a:xfrm xmlns:a="http://schemas.openxmlformats.org/drawingml/2006/main">
          <a:off x="4064000" y="7359650"/>
          <a:ext cx="4381500" cy="241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100">
              <a:latin typeface="+mn-lt"/>
              <a:ea typeface="+mn-ea"/>
              <a:cs typeface="+mn-cs"/>
            </a:rPr>
            <a:t>Time</a:t>
          </a:r>
          <a:r>
            <a:rPr lang="en-US" sz="1100" baseline="0">
              <a:latin typeface="+mn-lt"/>
              <a:ea typeface="+mn-ea"/>
              <a:cs typeface="+mn-cs"/>
            </a:rPr>
            <a:t> (days)</a:t>
          </a:r>
          <a:endParaRPr lang="en-US" sz="1100">
            <a:latin typeface="+mn-lt"/>
            <a:ea typeface="+mn-ea"/>
            <a:cs typeface="+mn-cs"/>
          </a:endParaRPr>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41"/>
  </sheetPr>
  <dimension ref="A1:W178"/>
  <sheetViews>
    <sheetView showGridLines="0" zoomScale="86" zoomScaleNormal="90" workbookViewId="0"/>
  </sheetViews>
  <sheetFormatPr defaultRowHeight="12.75"/>
  <cols>
    <col min="1" max="1" width="16.28515625" customWidth="1"/>
    <col min="2" max="2" width="7.7109375" customWidth="1"/>
    <col min="3" max="3" width="7.85546875" customWidth="1"/>
    <col min="4" max="11" width="8.42578125" customWidth="1"/>
    <col min="12" max="12" width="10.140625" customWidth="1"/>
    <col min="13" max="255" width="8.42578125" customWidth="1"/>
  </cols>
  <sheetData>
    <row r="1" spans="1:11" ht="18">
      <c r="B1" s="28"/>
      <c r="C1" s="29"/>
      <c r="D1" s="816" t="s">
        <v>611</v>
      </c>
      <c r="E1" s="817"/>
      <c r="F1" s="817"/>
      <c r="G1" s="817"/>
      <c r="H1" s="817"/>
      <c r="I1" s="817"/>
      <c r="J1" s="29"/>
      <c r="K1" s="30"/>
    </row>
    <row r="2" spans="1:11" ht="13.5" thickBot="1">
      <c r="B2" s="31"/>
      <c r="C2" s="32"/>
      <c r="D2" s="814">
        <v>41431</v>
      </c>
      <c r="E2" s="815"/>
      <c r="F2" s="815"/>
      <c r="G2" s="815"/>
      <c r="H2" s="815"/>
      <c r="I2" s="815"/>
      <c r="J2" s="32"/>
      <c r="K2" s="33"/>
    </row>
    <row r="4" spans="1:11">
      <c r="B4" t="s">
        <v>175</v>
      </c>
    </row>
    <row r="5" spans="1:11">
      <c r="B5" t="s">
        <v>222</v>
      </c>
    </row>
    <row r="6" spans="1:11">
      <c r="B6" t="s">
        <v>329</v>
      </c>
    </row>
    <row r="8" spans="1:11">
      <c r="B8" s="96" t="s">
        <v>245</v>
      </c>
      <c r="C8" s="97"/>
      <c r="D8" s="97"/>
      <c r="E8" s="97"/>
      <c r="F8" s="97"/>
      <c r="G8" s="97"/>
      <c r="H8" s="97"/>
      <c r="I8" s="98"/>
    </row>
    <row r="9" spans="1:11">
      <c r="B9" s="750" t="s">
        <v>582</v>
      </c>
      <c r="C9" s="35"/>
      <c r="D9" s="35"/>
      <c r="E9" s="35"/>
      <c r="F9" s="35"/>
      <c r="G9" s="35"/>
      <c r="H9" s="100"/>
      <c r="I9" s="41"/>
    </row>
    <row r="10" spans="1:11">
      <c r="B10" s="99" t="s">
        <v>176</v>
      </c>
      <c r="C10" s="35"/>
      <c r="D10" s="35"/>
      <c r="E10" s="35"/>
      <c r="F10" s="35"/>
      <c r="G10" s="35"/>
      <c r="H10" s="748"/>
      <c r="I10" s="100"/>
    </row>
    <row r="11" spans="1:11">
      <c r="B11" s="101" t="s">
        <v>177</v>
      </c>
      <c r="C11" s="102"/>
      <c r="D11" s="102"/>
      <c r="E11" s="102"/>
      <c r="F11" s="102"/>
      <c r="G11" s="102"/>
      <c r="H11" s="102"/>
      <c r="I11" s="103"/>
    </row>
    <row r="12" spans="1:11">
      <c r="B12" s="95"/>
    </row>
    <row r="14" spans="1:11">
      <c r="B14" s="20" t="s">
        <v>49</v>
      </c>
    </row>
    <row r="15" spans="1:11" ht="25.5">
      <c r="A15" s="224" t="s">
        <v>336</v>
      </c>
      <c r="B15" s="94" t="s">
        <v>284</v>
      </c>
    </row>
    <row r="16" spans="1:11">
      <c r="B16" s="94"/>
      <c r="C16" t="s">
        <v>399</v>
      </c>
    </row>
    <row r="17" spans="1:23">
      <c r="B17" s="94"/>
      <c r="C17" t="s">
        <v>283</v>
      </c>
    </row>
    <row r="18" spans="1:23">
      <c r="B18" s="94" t="s">
        <v>201</v>
      </c>
    </row>
    <row r="19" spans="1:23">
      <c r="B19" s="94" t="s">
        <v>244</v>
      </c>
    </row>
    <row r="20" spans="1:23">
      <c r="B20" s="94" t="s">
        <v>400</v>
      </c>
    </row>
    <row r="21" spans="1:23">
      <c r="B21" s="94" t="s">
        <v>202</v>
      </c>
    </row>
    <row r="22" spans="1:23">
      <c r="B22" s="94" t="s">
        <v>203</v>
      </c>
    </row>
    <row r="23" spans="1:23">
      <c r="B23" s="94" t="s">
        <v>204</v>
      </c>
    </row>
    <row r="24" spans="1:23">
      <c r="B24" s="94" t="s">
        <v>205</v>
      </c>
    </row>
    <row r="25" spans="1:23">
      <c r="A25" s="224" t="s">
        <v>335</v>
      </c>
      <c r="B25" s="94" t="s">
        <v>281</v>
      </c>
    </row>
    <row r="26" spans="1:23">
      <c r="C26" t="s">
        <v>282</v>
      </c>
    </row>
    <row r="27" spans="1:23" ht="38.25">
      <c r="A27" s="223" t="s">
        <v>334</v>
      </c>
      <c r="B27" s="65" t="s">
        <v>337</v>
      </c>
      <c r="C27" s="65"/>
      <c r="D27" s="65"/>
      <c r="E27" s="65"/>
      <c r="F27" s="65"/>
      <c r="G27" s="65"/>
      <c r="H27" s="65"/>
      <c r="I27" s="65"/>
      <c r="J27" s="65"/>
      <c r="K27" s="65"/>
      <c r="L27" s="65"/>
      <c r="M27" s="65"/>
      <c r="N27" s="65"/>
      <c r="O27" s="65"/>
      <c r="P27" s="65"/>
      <c r="Q27" s="65"/>
      <c r="R27" s="65"/>
      <c r="S27" s="65"/>
      <c r="T27" s="65"/>
      <c r="U27" s="65"/>
      <c r="V27" s="65"/>
      <c r="W27" s="65"/>
    </row>
    <row r="28" spans="1:23">
      <c r="A28" s="65"/>
      <c r="B28" s="65" t="s">
        <v>304</v>
      </c>
      <c r="C28" s="65"/>
      <c r="D28" s="65"/>
      <c r="E28" s="65"/>
      <c r="F28" s="65"/>
      <c r="G28" s="65"/>
      <c r="H28" s="65"/>
      <c r="I28" s="65"/>
      <c r="J28" s="65"/>
      <c r="K28" s="65"/>
      <c r="L28" s="65"/>
      <c r="M28" s="65"/>
      <c r="N28" s="65"/>
      <c r="O28" s="65"/>
      <c r="P28" s="65"/>
      <c r="Q28" s="65"/>
      <c r="R28" s="65"/>
      <c r="S28" s="65"/>
      <c r="T28" s="65"/>
      <c r="U28" s="65"/>
      <c r="V28" s="65"/>
      <c r="W28" s="65"/>
    </row>
    <row r="29" spans="1:23">
      <c r="A29" s="65"/>
      <c r="B29" s="65" t="s">
        <v>338</v>
      </c>
      <c r="C29" s="65"/>
      <c r="D29" s="65"/>
      <c r="E29" s="65"/>
      <c r="F29" s="65"/>
      <c r="G29" s="65"/>
      <c r="H29" s="65"/>
      <c r="I29" s="65"/>
      <c r="J29" s="65"/>
      <c r="K29" s="65"/>
      <c r="L29" s="65"/>
      <c r="M29" s="65"/>
      <c r="N29" s="65"/>
      <c r="O29" s="65"/>
      <c r="P29" s="65"/>
      <c r="Q29" s="65"/>
      <c r="R29" s="65"/>
      <c r="S29" s="65"/>
      <c r="T29" s="65"/>
      <c r="U29" s="65"/>
      <c r="V29" s="65"/>
      <c r="W29" s="65"/>
    </row>
    <row r="30" spans="1:23">
      <c r="A30" s="65"/>
      <c r="B30" s="65"/>
      <c r="C30" s="65" t="s">
        <v>305</v>
      </c>
      <c r="D30" s="65"/>
      <c r="E30" s="65"/>
      <c r="F30" s="65"/>
      <c r="G30" s="65"/>
      <c r="H30" s="65"/>
      <c r="I30" s="65"/>
      <c r="J30" s="65"/>
      <c r="K30" s="65"/>
      <c r="L30" s="65"/>
      <c r="M30" s="65"/>
      <c r="N30" s="65"/>
      <c r="O30" s="65"/>
      <c r="P30" s="65"/>
      <c r="Q30" s="65"/>
      <c r="R30" s="65"/>
      <c r="S30" s="65"/>
      <c r="T30" s="65"/>
      <c r="U30" s="65"/>
      <c r="V30" s="65"/>
      <c r="W30" s="65"/>
    </row>
    <row r="31" spans="1:23" ht="40.5" customHeight="1">
      <c r="A31" s="65"/>
      <c r="B31" s="812" t="s">
        <v>333</v>
      </c>
      <c r="C31" s="818"/>
      <c r="D31" s="818"/>
      <c r="E31" s="818"/>
      <c r="F31" s="818"/>
      <c r="G31" s="818"/>
      <c r="H31" s="818"/>
      <c r="I31" s="818"/>
      <c r="J31" s="818"/>
      <c r="K31" s="818"/>
      <c r="L31" s="818"/>
      <c r="M31" s="818"/>
      <c r="N31" s="818"/>
      <c r="O31" s="818"/>
      <c r="P31" s="818"/>
      <c r="Q31" s="818"/>
      <c r="R31" s="818"/>
      <c r="S31" s="818"/>
      <c r="T31" s="818"/>
      <c r="U31" s="818"/>
      <c r="V31" s="818"/>
      <c r="W31" s="65"/>
    </row>
    <row r="32" spans="1:23" ht="24" customHeight="1">
      <c r="A32" s="229" t="s">
        <v>355</v>
      </c>
      <c r="B32" s="819" t="s">
        <v>356</v>
      </c>
      <c r="C32" s="813"/>
      <c r="D32" s="813"/>
      <c r="E32" s="813"/>
      <c r="F32" s="813"/>
      <c r="G32" s="813"/>
      <c r="H32" s="813"/>
      <c r="I32" s="813"/>
      <c r="J32" s="813"/>
      <c r="K32" s="813"/>
      <c r="L32" s="813"/>
      <c r="M32" s="813"/>
      <c r="N32" s="813"/>
      <c r="O32" s="813"/>
      <c r="P32" s="813"/>
      <c r="Q32" s="813"/>
      <c r="R32" s="813"/>
      <c r="S32" s="813"/>
      <c r="T32" s="813"/>
      <c r="U32" s="813"/>
      <c r="V32" s="225"/>
      <c r="W32" s="65"/>
    </row>
    <row r="33" spans="1:23" ht="28.5" customHeight="1">
      <c r="A33" s="810" t="s">
        <v>398</v>
      </c>
      <c r="B33" s="812" t="s">
        <v>401</v>
      </c>
      <c r="C33" s="813"/>
      <c r="D33" s="813"/>
      <c r="E33" s="813"/>
      <c r="F33" s="813"/>
      <c r="G33" s="813"/>
      <c r="H33" s="813"/>
      <c r="I33" s="813"/>
      <c r="J33" s="813"/>
      <c r="K33" s="813"/>
      <c r="L33" s="813"/>
      <c r="M33" s="813"/>
      <c r="N33" s="813"/>
      <c r="O33" s="813"/>
      <c r="P33" s="813"/>
      <c r="Q33" s="813"/>
      <c r="R33" s="813"/>
      <c r="S33" s="813"/>
      <c r="T33" s="813"/>
      <c r="U33" s="813"/>
      <c r="V33" s="225"/>
      <c r="W33" s="65"/>
    </row>
    <row r="34" spans="1:23" s="722" customFormat="1" ht="28.5" customHeight="1">
      <c r="A34" s="810"/>
      <c r="B34" s="812"/>
      <c r="C34" s="813"/>
      <c r="D34" s="813"/>
      <c r="E34" s="813"/>
      <c r="F34" s="813"/>
      <c r="G34" s="813"/>
      <c r="H34" s="813"/>
      <c r="I34" s="813"/>
      <c r="J34" s="813"/>
      <c r="K34" s="813"/>
      <c r="L34" s="813"/>
      <c r="M34" s="813"/>
      <c r="N34" s="813"/>
      <c r="O34" s="813"/>
      <c r="P34" s="813"/>
      <c r="Q34" s="813"/>
      <c r="R34" s="813"/>
      <c r="S34" s="813"/>
      <c r="T34" s="813"/>
      <c r="U34" s="813"/>
      <c r="V34" s="721"/>
      <c r="W34" s="65"/>
    </row>
    <row r="35" spans="1:23" ht="51" customHeight="1">
      <c r="A35" s="811"/>
      <c r="B35" s="813"/>
      <c r="C35" s="813"/>
      <c r="D35" s="813"/>
      <c r="E35" s="813"/>
      <c r="F35" s="813"/>
      <c r="G35" s="813"/>
      <c r="H35" s="813"/>
      <c r="I35" s="813"/>
      <c r="J35" s="813"/>
      <c r="K35" s="813"/>
      <c r="L35" s="813"/>
      <c r="M35" s="813"/>
      <c r="N35" s="813"/>
      <c r="O35" s="813"/>
      <c r="P35" s="813"/>
      <c r="Q35" s="813"/>
      <c r="R35" s="813"/>
      <c r="S35" s="813"/>
      <c r="T35" s="813"/>
      <c r="U35" s="813"/>
      <c r="V35" s="225"/>
      <c r="W35" s="65"/>
    </row>
    <row r="36" spans="1:23" ht="30.75" customHeight="1">
      <c r="B36" s="20" t="s">
        <v>178</v>
      </c>
    </row>
    <row r="37" spans="1:23">
      <c r="B37" s="152" t="s">
        <v>285</v>
      </c>
    </row>
    <row r="38" spans="1:23">
      <c r="B38" s="747" t="s">
        <v>592</v>
      </c>
      <c r="F38" s="675"/>
      <c r="G38" s="675"/>
      <c r="H38" s="675"/>
      <c r="I38" s="675"/>
      <c r="J38" s="675"/>
    </row>
    <row r="40" spans="1:23" s="722" customFormat="1">
      <c r="A40" s="766" t="s">
        <v>604</v>
      </c>
      <c r="B40" s="820" t="s">
        <v>577</v>
      </c>
      <c r="C40" s="821"/>
      <c r="D40" s="821"/>
      <c r="E40" s="821"/>
      <c r="F40" s="821"/>
      <c r="G40" s="821"/>
      <c r="H40" s="821"/>
      <c r="I40" s="821"/>
      <c r="J40" s="821"/>
      <c r="K40" s="821"/>
      <c r="L40" s="821"/>
      <c r="M40" s="821"/>
      <c r="N40" s="821"/>
      <c r="O40" s="821"/>
    </row>
    <row r="41" spans="1:23" s="722" customFormat="1">
      <c r="A41" s="747"/>
      <c r="B41" s="820" t="s">
        <v>578</v>
      </c>
      <c r="C41" s="821"/>
      <c r="D41" s="821"/>
      <c r="E41" s="821"/>
      <c r="F41" s="821"/>
      <c r="G41" s="821"/>
      <c r="H41" s="821"/>
      <c r="I41" s="821"/>
      <c r="J41" s="821"/>
      <c r="K41" s="821"/>
      <c r="L41" s="821"/>
      <c r="M41" s="821"/>
      <c r="N41" s="821"/>
      <c r="O41" s="821"/>
    </row>
    <row r="42" spans="1:23" s="722" customFormat="1">
      <c r="A42" s="747"/>
      <c r="B42" s="820" t="s">
        <v>579</v>
      </c>
      <c r="C42" s="821"/>
      <c r="D42" s="821"/>
      <c r="E42" s="821"/>
      <c r="F42" s="821"/>
      <c r="G42" s="821"/>
      <c r="H42" s="821"/>
      <c r="I42" s="821"/>
      <c r="J42" s="821"/>
      <c r="K42" s="821"/>
      <c r="L42" s="821"/>
      <c r="M42" s="821"/>
      <c r="N42" s="821"/>
      <c r="O42" s="821"/>
    </row>
    <row r="43" spans="1:23" s="722" customFormat="1">
      <c r="A43" s="747"/>
      <c r="B43" s="820" t="s">
        <v>580</v>
      </c>
      <c r="C43" s="821"/>
      <c r="D43" s="821"/>
      <c r="E43" s="821"/>
      <c r="F43" s="821"/>
      <c r="G43" s="821"/>
      <c r="H43" s="821"/>
      <c r="I43" s="821"/>
      <c r="J43" s="821"/>
      <c r="K43" s="821"/>
      <c r="L43" s="821"/>
      <c r="M43" s="821"/>
      <c r="N43" s="821"/>
      <c r="O43" s="821"/>
    </row>
    <row r="44" spans="1:23" s="722" customFormat="1">
      <c r="A44" s="747"/>
      <c r="B44" s="820" t="s">
        <v>581</v>
      </c>
      <c r="C44" s="821"/>
      <c r="D44" s="821"/>
      <c r="E44" s="821"/>
      <c r="F44" s="821"/>
      <c r="G44" s="821"/>
      <c r="H44" s="821"/>
      <c r="I44" s="821"/>
      <c r="J44" s="821"/>
      <c r="K44" s="821"/>
      <c r="L44" s="821"/>
      <c r="M44" s="821"/>
      <c r="N44" s="821"/>
      <c r="O44" s="821"/>
    </row>
    <row r="46" spans="1:23" s="772" customFormat="1">
      <c r="A46" s="766" t="s">
        <v>605</v>
      </c>
      <c r="B46" s="111" t="s">
        <v>606</v>
      </c>
    </row>
    <row r="47" spans="1:23" s="772" customFormat="1">
      <c r="A47" s="766"/>
      <c r="B47" s="111" t="s">
        <v>607</v>
      </c>
    </row>
    <row r="48" spans="1:23" s="774" customFormat="1">
      <c r="A48" s="766"/>
      <c r="B48" s="111"/>
    </row>
    <row r="49" spans="1:3" s="774" customFormat="1">
      <c r="A49" s="766" t="s">
        <v>624</v>
      </c>
      <c r="B49" s="111" t="s">
        <v>609</v>
      </c>
    </row>
    <row r="50" spans="1:3" s="774" customFormat="1">
      <c r="A50" s="766"/>
      <c r="B50" s="111" t="s">
        <v>610</v>
      </c>
    </row>
    <row r="51" spans="1:3" s="772" customFormat="1"/>
    <row r="52" spans="1:3">
      <c r="B52" s="20" t="s">
        <v>69</v>
      </c>
    </row>
    <row r="53" spans="1:3">
      <c r="B53" s="111" t="s">
        <v>576</v>
      </c>
    </row>
    <row r="54" spans="1:3">
      <c r="C54" s="111" t="s">
        <v>568</v>
      </c>
    </row>
    <row r="55" spans="1:3">
      <c r="C55" s="111" t="s">
        <v>567</v>
      </c>
    </row>
    <row r="56" spans="1:3">
      <c r="B56" s="94" t="s">
        <v>190</v>
      </c>
    </row>
    <row r="57" spans="1:3">
      <c r="C57" t="s">
        <v>189</v>
      </c>
    </row>
    <row r="58" spans="1:3">
      <c r="B58" t="s">
        <v>71</v>
      </c>
    </row>
    <row r="59" spans="1:3">
      <c r="C59" t="s">
        <v>72</v>
      </c>
    </row>
    <row r="60" spans="1:3">
      <c r="C60" t="s">
        <v>73</v>
      </c>
    </row>
    <row r="61" spans="1:3">
      <c r="B61" t="s">
        <v>223</v>
      </c>
    </row>
    <row r="62" spans="1:3">
      <c r="C62" t="s">
        <v>74</v>
      </c>
    </row>
    <row r="63" spans="1:3">
      <c r="C63" t="s">
        <v>75</v>
      </c>
    </row>
    <row r="64" spans="1:3">
      <c r="C64" t="s">
        <v>76</v>
      </c>
    </row>
    <row r="65" spans="2:3">
      <c r="B65" t="s">
        <v>186</v>
      </c>
    </row>
    <row r="66" spans="2:3">
      <c r="C66" t="s">
        <v>183</v>
      </c>
    </row>
    <row r="67" spans="2:3">
      <c r="B67" t="s">
        <v>217</v>
      </c>
    </row>
    <row r="68" spans="2:3">
      <c r="C68" t="s">
        <v>218</v>
      </c>
    </row>
    <row r="69" spans="2:3">
      <c r="B69" t="s">
        <v>193</v>
      </c>
    </row>
    <row r="70" spans="2:3">
      <c r="C70" t="s">
        <v>70</v>
      </c>
    </row>
    <row r="71" spans="2:3">
      <c r="B71" t="s">
        <v>192</v>
      </c>
    </row>
    <row r="72" spans="2:3">
      <c r="C72" t="s">
        <v>191</v>
      </c>
    </row>
    <row r="73" spans="2:3">
      <c r="B73" t="s">
        <v>98</v>
      </c>
    </row>
    <row r="101" spans="2:5">
      <c r="B101" s="2"/>
      <c r="C101" s="2"/>
      <c r="D101" s="2"/>
      <c r="E101" s="2"/>
    </row>
    <row r="102" spans="2:5">
      <c r="B102" s="2"/>
      <c r="C102" s="2"/>
      <c r="D102" s="2"/>
      <c r="E102" s="2"/>
    </row>
    <row r="103" spans="2:5">
      <c r="B103" s="2"/>
      <c r="C103" s="2"/>
      <c r="D103" s="2"/>
      <c r="E103" s="2"/>
    </row>
    <row r="104" spans="2:5">
      <c r="B104" s="2"/>
      <c r="C104" s="2"/>
      <c r="D104" s="2"/>
      <c r="E104" s="2"/>
    </row>
    <row r="111" spans="2:5">
      <c r="B111" s="20"/>
    </row>
    <row r="115" spans="2:10">
      <c r="B115" s="35"/>
      <c r="C115" s="35"/>
      <c r="D115" s="35"/>
      <c r="E115" s="35"/>
      <c r="F115" s="35"/>
      <c r="G115" s="35"/>
      <c r="H115" s="35"/>
      <c r="I115" s="35"/>
      <c r="J115" s="35"/>
    </row>
    <row r="116" spans="2:10">
      <c r="B116" s="35"/>
      <c r="C116" s="4"/>
      <c r="D116" s="34"/>
      <c r="E116" s="4"/>
      <c r="F116" s="35"/>
      <c r="G116" s="35"/>
      <c r="H116" s="35"/>
      <c r="I116" s="35"/>
      <c r="J116" s="35"/>
    </row>
    <row r="117" spans="2:10">
      <c r="B117" s="35"/>
      <c r="C117" s="35"/>
      <c r="D117" s="35"/>
      <c r="E117" s="35"/>
      <c r="F117" s="35"/>
      <c r="G117" s="35"/>
      <c r="H117" s="35"/>
      <c r="I117" s="35"/>
      <c r="J117" s="35"/>
    </row>
    <row r="118" spans="2:10">
      <c r="B118" s="35"/>
      <c r="C118" s="35"/>
      <c r="D118" s="35"/>
      <c r="E118" s="35"/>
      <c r="F118" s="35"/>
      <c r="G118" s="35"/>
      <c r="H118" s="35"/>
      <c r="I118" s="35"/>
      <c r="J118" s="35"/>
    </row>
    <row r="119" spans="2:10">
      <c r="B119" s="35"/>
      <c r="C119" s="35"/>
      <c r="D119" s="35"/>
      <c r="E119" s="35"/>
      <c r="F119" s="35"/>
      <c r="G119" s="35"/>
      <c r="H119" s="35"/>
      <c r="I119" s="35"/>
      <c r="J119" s="35"/>
    </row>
    <row r="120" spans="2:10">
      <c r="B120" s="35"/>
      <c r="C120" s="104"/>
      <c r="D120" s="104"/>
      <c r="E120" s="104"/>
      <c r="F120" s="105"/>
      <c r="G120" s="35"/>
      <c r="H120" s="35"/>
      <c r="I120" s="35"/>
      <c r="J120" s="35"/>
    </row>
    <row r="121" spans="2:10">
      <c r="B121" s="35"/>
      <c r="C121" s="104"/>
      <c r="D121" s="106"/>
      <c r="E121" s="106"/>
      <c r="F121" s="107"/>
      <c r="G121" s="108"/>
      <c r="H121" s="35"/>
      <c r="I121" s="35"/>
      <c r="J121" s="35"/>
    </row>
    <row r="122" spans="2:10">
      <c r="B122" s="35"/>
      <c r="C122" s="104"/>
      <c r="D122" s="106"/>
      <c r="E122" s="106"/>
      <c r="F122" s="107"/>
      <c r="G122" s="108"/>
      <c r="H122" s="35"/>
      <c r="I122" s="35"/>
      <c r="J122" s="35"/>
    </row>
    <row r="123" spans="2:10">
      <c r="B123" s="35"/>
      <c r="C123" s="24"/>
      <c r="D123" s="106"/>
      <c r="E123" s="106"/>
      <c r="F123" s="107"/>
      <c r="G123" s="108"/>
      <c r="H123" s="35"/>
      <c r="I123" s="35"/>
      <c r="J123" s="35"/>
    </row>
    <row r="124" spans="2:10">
      <c r="B124" s="35"/>
      <c r="C124" s="35"/>
      <c r="D124" s="35"/>
      <c r="E124" s="35"/>
      <c r="F124" s="35"/>
      <c r="G124" s="35"/>
      <c r="H124" s="35"/>
      <c r="I124" s="35"/>
      <c r="J124" s="35"/>
    </row>
    <row r="125" spans="2:10">
      <c r="B125" s="35"/>
      <c r="C125" s="35"/>
      <c r="D125" s="35"/>
      <c r="E125" s="35"/>
      <c r="F125" s="35"/>
      <c r="G125" s="35"/>
      <c r="H125" s="35"/>
      <c r="I125" s="35"/>
      <c r="J125" s="35"/>
    </row>
    <row r="126" spans="2:10">
      <c r="B126" s="35"/>
      <c r="C126" s="35"/>
      <c r="D126" s="35"/>
      <c r="E126" s="35"/>
      <c r="F126" s="35"/>
      <c r="G126" s="35"/>
      <c r="H126" s="35"/>
      <c r="I126" s="35"/>
      <c r="J126" s="35"/>
    </row>
    <row r="127" spans="2:10">
      <c r="B127" s="35"/>
      <c r="C127" s="35"/>
      <c r="D127" s="35"/>
      <c r="E127" s="35"/>
      <c r="F127" s="35"/>
      <c r="G127" s="35"/>
      <c r="H127" s="35"/>
      <c r="I127" s="35"/>
      <c r="J127" s="35"/>
    </row>
    <row r="128" spans="2:10">
      <c r="B128" s="35"/>
      <c r="C128" s="35"/>
      <c r="D128" s="35"/>
      <c r="E128" s="35"/>
      <c r="F128" s="35"/>
      <c r="G128" s="35"/>
      <c r="H128" s="35"/>
      <c r="I128" s="35"/>
      <c r="J128" s="35"/>
    </row>
    <row r="129" spans="2:10">
      <c r="B129" s="35"/>
      <c r="C129" s="35"/>
      <c r="D129" s="35"/>
      <c r="E129" s="35"/>
      <c r="F129" s="35"/>
      <c r="G129" s="35"/>
      <c r="H129" s="35"/>
      <c r="I129" s="35"/>
      <c r="J129" s="35"/>
    </row>
    <row r="130" spans="2:10">
      <c r="B130" s="35"/>
      <c r="C130" s="35"/>
      <c r="D130" s="35"/>
      <c r="E130" s="35"/>
      <c r="F130" s="35"/>
      <c r="G130" s="35"/>
      <c r="H130" s="35"/>
      <c r="I130" s="35"/>
      <c r="J130" s="35"/>
    </row>
    <row r="131" spans="2:10">
      <c r="B131" s="35"/>
      <c r="C131" s="35"/>
      <c r="D131" s="35"/>
      <c r="E131" s="35"/>
      <c r="F131" s="35"/>
      <c r="G131" s="35"/>
      <c r="H131" s="35"/>
      <c r="I131" s="35"/>
      <c r="J131" s="35"/>
    </row>
    <row r="132" spans="2:10">
      <c r="B132" s="35"/>
      <c r="C132" s="35"/>
      <c r="D132" s="35"/>
      <c r="E132" s="35"/>
      <c r="F132" s="35"/>
      <c r="G132" s="35"/>
      <c r="H132" s="35"/>
      <c r="I132" s="35"/>
      <c r="J132" s="35"/>
    </row>
    <row r="133" spans="2:10">
      <c r="B133" s="35"/>
      <c r="C133" s="35"/>
      <c r="D133" s="35"/>
      <c r="E133" s="35"/>
      <c r="F133" s="35"/>
      <c r="G133" s="35"/>
      <c r="H133" s="35"/>
      <c r="I133" s="35"/>
      <c r="J133" s="35"/>
    </row>
    <row r="134" spans="2:10">
      <c r="B134" s="35"/>
      <c r="C134" s="35"/>
      <c r="D134" s="35"/>
      <c r="E134" s="35"/>
      <c r="F134" s="35"/>
      <c r="G134" s="35"/>
      <c r="H134" s="35"/>
      <c r="I134" s="35"/>
      <c r="J134" s="35"/>
    </row>
    <row r="135" spans="2:10">
      <c r="B135" s="35"/>
      <c r="C135" s="35"/>
      <c r="D135" s="35"/>
      <c r="E135" s="35"/>
      <c r="F135" s="35"/>
      <c r="G135" s="35"/>
      <c r="H135" s="35"/>
      <c r="I135" s="35"/>
      <c r="J135" s="35"/>
    </row>
    <row r="136" spans="2:10">
      <c r="B136" s="35"/>
      <c r="C136" s="35"/>
      <c r="D136" s="35"/>
      <c r="E136" s="35"/>
      <c r="F136" s="35"/>
      <c r="G136" s="35"/>
      <c r="H136" s="35"/>
      <c r="I136" s="35"/>
      <c r="J136" s="35"/>
    </row>
    <row r="137" spans="2:10">
      <c r="B137" s="35"/>
      <c r="C137" s="35"/>
      <c r="D137" s="35"/>
      <c r="E137" s="35"/>
      <c r="F137" s="35"/>
      <c r="G137" s="35"/>
      <c r="H137" s="35"/>
      <c r="I137" s="35"/>
      <c r="J137" s="35"/>
    </row>
    <row r="138" spans="2:10">
      <c r="B138" s="35"/>
      <c r="C138" s="35"/>
      <c r="D138" s="35"/>
      <c r="E138" s="35"/>
      <c r="F138" s="35"/>
      <c r="G138" s="35"/>
      <c r="H138" s="35"/>
      <c r="I138" s="35"/>
      <c r="J138" s="35"/>
    </row>
    <row r="139" spans="2:10">
      <c r="B139" s="35"/>
      <c r="C139" s="35"/>
      <c r="D139" s="35"/>
      <c r="E139" s="35"/>
      <c r="F139" s="35"/>
      <c r="G139" s="35"/>
      <c r="H139" s="35"/>
      <c r="I139" s="35"/>
      <c r="J139" s="35"/>
    </row>
    <row r="140" spans="2:10">
      <c r="B140" s="35"/>
      <c r="C140" s="35"/>
      <c r="D140" s="35"/>
      <c r="E140" s="35"/>
      <c r="F140" s="35"/>
      <c r="G140" s="35"/>
      <c r="H140" s="35"/>
      <c r="I140" s="35"/>
      <c r="J140" s="35"/>
    </row>
    <row r="141" spans="2:10">
      <c r="B141" s="35"/>
      <c r="C141" s="35"/>
      <c r="D141" s="35"/>
      <c r="E141" s="35"/>
      <c r="F141" s="35"/>
      <c r="G141" s="35"/>
      <c r="H141" s="35"/>
      <c r="I141" s="35"/>
      <c r="J141" s="35"/>
    </row>
    <row r="142" spans="2:10">
      <c r="B142" s="35"/>
      <c r="C142" s="35"/>
      <c r="D142" s="35"/>
      <c r="E142" s="35"/>
      <c r="F142" s="35"/>
      <c r="G142" s="35"/>
      <c r="H142" s="35"/>
      <c r="I142" s="35"/>
      <c r="J142" s="35"/>
    </row>
    <row r="143" spans="2:10">
      <c r="B143" s="109"/>
      <c r="C143" s="35"/>
      <c r="D143" s="35"/>
      <c r="E143" s="35"/>
      <c r="F143" s="35"/>
      <c r="G143" s="35"/>
      <c r="H143" s="35"/>
      <c r="I143" s="35"/>
      <c r="J143" s="35"/>
    </row>
    <row r="144" spans="2:10">
      <c r="B144" s="35"/>
      <c r="C144" s="35"/>
      <c r="D144" s="35"/>
      <c r="E144" s="35"/>
      <c r="F144" s="35"/>
      <c r="G144" s="35"/>
      <c r="H144" s="35"/>
      <c r="I144" s="35"/>
      <c r="J144" s="35"/>
    </row>
    <row r="145" spans="2:10">
      <c r="B145" s="35"/>
      <c r="C145" s="35"/>
      <c r="D145" s="35"/>
      <c r="E145" s="35"/>
      <c r="F145" s="35"/>
      <c r="G145" s="35"/>
      <c r="H145" s="35"/>
      <c r="I145" s="35"/>
      <c r="J145" s="35"/>
    </row>
    <row r="146" spans="2:10">
      <c r="B146" s="35"/>
      <c r="C146" s="35"/>
      <c r="D146" s="35"/>
      <c r="E146" s="35"/>
      <c r="F146" s="35"/>
      <c r="G146" s="35"/>
      <c r="H146" s="35"/>
      <c r="I146" s="35"/>
      <c r="J146" s="35"/>
    </row>
    <row r="147" spans="2:10">
      <c r="B147" s="35"/>
      <c r="C147" s="35"/>
      <c r="D147" s="35"/>
      <c r="E147" s="35"/>
      <c r="F147" s="35"/>
      <c r="G147" s="35"/>
      <c r="H147" s="35"/>
      <c r="I147" s="35"/>
      <c r="J147" s="35"/>
    </row>
    <row r="148" spans="2:10">
      <c r="B148" s="35"/>
      <c r="C148" s="35"/>
      <c r="D148" s="35"/>
      <c r="E148" s="35"/>
      <c r="F148" s="35"/>
      <c r="G148" s="35"/>
      <c r="H148" s="35"/>
      <c r="I148" s="35"/>
      <c r="J148" s="35"/>
    </row>
    <row r="149" spans="2:10">
      <c r="B149" s="35"/>
      <c r="C149" s="35"/>
      <c r="D149" s="35"/>
      <c r="E149" s="35"/>
      <c r="F149" s="35"/>
      <c r="G149" s="35"/>
      <c r="H149" s="35"/>
      <c r="I149" s="35"/>
      <c r="J149" s="35"/>
    </row>
    <row r="150" spans="2:10">
      <c r="B150" s="35"/>
      <c r="C150" s="35"/>
      <c r="D150" s="35"/>
      <c r="E150" s="35"/>
      <c r="F150" s="35"/>
      <c r="G150" s="35"/>
      <c r="H150" s="35"/>
      <c r="I150" s="35"/>
      <c r="J150" s="35"/>
    </row>
    <row r="151" spans="2:10">
      <c r="B151" s="109"/>
      <c r="C151" s="35"/>
      <c r="D151" s="35"/>
      <c r="E151" s="35"/>
      <c r="F151" s="35"/>
      <c r="G151" s="35"/>
      <c r="H151" s="35"/>
      <c r="I151" s="35"/>
      <c r="J151" s="35"/>
    </row>
    <row r="152" spans="2:10">
      <c r="B152" s="35"/>
      <c r="C152" s="35"/>
      <c r="D152" s="35"/>
      <c r="E152" s="35"/>
      <c r="F152" s="35"/>
      <c r="G152" s="35"/>
      <c r="H152" s="35"/>
      <c r="I152" s="35"/>
      <c r="J152" s="35"/>
    </row>
    <row r="153" spans="2:10">
      <c r="B153" s="35"/>
      <c r="C153" s="35"/>
      <c r="D153" s="35"/>
      <c r="E153" s="35"/>
      <c r="F153" s="35"/>
      <c r="G153" s="35"/>
      <c r="H153" s="35"/>
      <c r="I153" s="35"/>
      <c r="J153" s="35"/>
    </row>
    <row r="154" spans="2:10">
      <c r="B154" s="35"/>
      <c r="C154" s="35"/>
      <c r="D154" s="35"/>
      <c r="E154" s="35"/>
      <c r="F154" s="35"/>
      <c r="G154" s="35"/>
      <c r="H154" s="35"/>
      <c r="I154" s="35"/>
      <c r="J154" s="35"/>
    </row>
    <row r="155" spans="2:10">
      <c r="B155" s="109"/>
      <c r="C155" s="35"/>
      <c r="D155" s="35"/>
      <c r="E155" s="35"/>
      <c r="F155" s="35"/>
      <c r="G155" s="35"/>
      <c r="H155" s="35"/>
      <c r="I155" s="35"/>
      <c r="J155" s="35"/>
    </row>
    <row r="156" spans="2:10">
      <c r="B156" s="109"/>
      <c r="C156" s="35"/>
      <c r="D156" s="35"/>
      <c r="E156" s="35"/>
      <c r="F156" s="35"/>
      <c r="G156" s="35"/>
      <c r="H156" s="35"/>
      <c r="I156" s="35"/>
      <c r="J156" s="35"/>
    </row>
    <row r="157" spans="2:10">
      <c r="B157" s="35"/>
      <c r="C157" s="35"/>
      <c r="D157" s="35"/>
      <c r="E157" s="35"/>
      <c r="F157" s="35"/>
      <c r="G157" s="35"/>
      <c r="H157" s="35"/>
      <c r="I157" s="35"/>
      <c r="J157" s="35"/>
    </row>
    <row r="158" spans="2:10">
      <c r="B158" s="35"/>
      <c r="C158" s="35"/>
      <c r="D158" s="35"/>
      <c r="E158" s="35"/>
      <c r="F158" s="35"/>
      <c r="G158" s="35"/>
      <c r="H158" s="35"/>
      <c r="I158" s="35"/>
      <c r="J158" s="35"/>
    </row>
    <row r="159" spans="2:10">
      <c r="B159" s="35"/>
      <c r="C159" s="35"/>
      <c r="D159" s="35"/>
      <c r="E159" s="35"/>
      <c r="F159" s="35"/>
      <c r="G159" s="35"/>
      <c r="H159" s="35"/>
      <c r="I159" s="35"/>
      <c r="J159" s="35"/>
    </row>
    <row r="160" spans="2:10">
      <c r="B160" s="35"/>
      <c r="C160" s="35"/>
      <c r="D160" s="35"/>
      <c r="E160" s="35"/>
      <c r="F160" s="35"/>
      <c r="G160" s="35"/>
      <c r="H160" s="35"/>
      <c r="I160" s="35"/>
      <c r="J160" s="35"/>
    </row>
    <row r="161" spans="2:13">
      <c r="B161" s="35"/>
      <c r="C161" s="35"/>
      <c r="D161" s="35"/>
      <c r="E161" s="35"/>
      <c r="F161" s="35"/>
      <c r="G161" s="35"/>
      <c r="H161" s="35"/>
      <c r="I161" s="35"/>
      <c r="J161" s="35"/>
    </row>
    <row r="162" spans="2:13">
      <c r="B162" s="35"/>
      <c r="C162" s="35"/>
      <c r="D162" s="35"/>
      <c r="E162" s="35"/>
      <c r="F162" s="35"/>
      <c r="G162" s="35"/>
      <c r="H162" s="35"/>
      <c r="I162" s="35"/>
      <c r="J162" s="35"/>
    </row>
    <row r="163" spans="2:13">
      <c r="B163" s="35"/>
      <c r="C163" s="35"/>
      <c r="D163" s="35"/>
      <c r="E163" s="35"/>
      <c r="F163" s="35"/>
      <c r="G163" s="35"/>
      <c r="H163" s="35"/>
      <c r="I163" s="35"/>
      <c r="J163" s="35"/>
    </row>
    <row r="164" spans="2:13">
      <c r="B164" s="35"/>
      <c r="C164" s="35"/>
      <c r="D164" s="35"/>
      <c r="E164" s="35"/>
      <c r="F164" s="35"/>
      <c r="G164" s="35"/>
      <c r="H164" s="35"/>
      <c r="I164" s="35"/>
      <c r="J164" s="35"/>
    </row>
    <row r="165" spans="2:13">
      <c r="B165" s="35"/>
      <c r="C165" s="35"/>
      <c r="D165" s="35"/>
      <c r="E165" s="35"/>
      <c r="F165" s="35"/>
      <c r="G165" s="35"/>
      <c r="H165" s="35"/>
      <c r="I165" s="35"/>
      <c r="J165" s="35"/>
    </row>
    <row r="166" spans="2:13">
      <c r="B166" s="109"/>
      <c r="C166" s="35"/>
      <c r="D166" s="35"/>
      <c r="E166" s="35"/>
      <c r="F166" s="35"/>
      <c r="G166" s="35"/>
      <c r="H166" s="35"/>
      <c r="I166" s="35"/>
      <c r="J166" s="35"/>
    </row>
    <row r="167" spans="2:13">
      <c r="B167" s="35"/>
      <c r="C167" s="35"/>
      <c r="D167" s="35"/>
      <c r="E167" s="35"/>
      <c r="F167" s="35"/>
      <c r="G167" s="35"/>
      <c r="H167" s="35"/>
      <c r="I167" s="35"/>
      <c r="J167" s="35"/>
    </row>
    <row r="168" spans="2:13">
      <c r="B168" s="35"/>
      <c r="C168" s="35"/>
      <c r="D168" s="35"/>
      <c r="E168" s="35"/>
      <c r="F168" s="35"/>
      <c r="G168" s="35"/>
      <c r="H168" s="35"/>
      <c r="I168" s="35"/>
      <c r="J168" s="35"/>
    </row>
    <row r="169" spans="2:13">
      <c r="B169" s="35"/>
      <c r="C169" s="35"/>
      <c r="D169" s="35"/>
      <c r="E169" s="35"/>
      <c r="F169" s="35"/>
      <c r="G169" s="35"/>
      <c r="H169" s="35"/>
      <c r="I169" s="35"/>
      <c r="J169" s="35"/>
    </row>
    <row r="170" spans="2:13">
      <c r="B170" s="35"/>
      <c r="C170" s="35"/>
      <c r="D170" s="35"/>
      <c r="E170" s="35"/>
      <c r="F170" s="35"/>
      <c r="G170" s="35"/>
      <c r="H170" s="35"/>
      <c r="I170" s="35"/>
      <c r="J170" s="35"/>
    </row>
    <row r="171" spans="2:13">
      <c r="B171" s="35"/>
      <c r="C171" s="35"/>
      <c r="D171" s="35"/>
      <c r="E171" s="35"/>
      <c r="F171" s="35"/>
      <c r="G171" s="35"/>
      <c r="H171" s="35"/>
      <c r="I171" s="35"/>
      <c r="J171" s="35"/>
    </row>
    <row r="172" spans="2:13">
      <c r="B172" s="35"/>
      <c r="C172" s="35"/>
      <c r="D172" s="35"/>
      <c r="E172" s="35"/>
      <c r="F172" s="35"/>
      <c r="G172" s="35"/>
      <c r="H172" s="35"/>
      <c r="I172" s="35"/>
      <c r="J172" s="35"/>
    </row>
    <row r="173" spans="2:13">
      <c r="B173" s="35"/>
      <c r="C173" s="35"/>
      <c r="D173" s="35"/>
      <c r="E173" s="35"/>
      <c r="F173" s="35"/>
      <c r="G173" s="35"/>
      <c r="H173" s="35"/>
      <c r="I173" s="35"/>
      <c r="J173" s="35"/>
    </row>
    <row r="174" spans="2:13">
      <c r="B174" s="55"/>
      <c r="C174" s="55"/>
      <c r="D174" s="55"/>
      <c r="E174" s="55"/>
      <c r="F174" s="55"/>
      <c r="G174" s="55"/>
      <c r="H174" s="55"/>
      <c r="I174" s="55"/>
      <c r="J174" s="55"/>
      <c r="K174" s="55"/>
      <c r="L174" s="55"/>
      <c r="M174" s="55"/>
    </row>
    <row r="175" spans="2:13">
      <c r="B175" s="55"/>
      <c r="C175" s="55"/>
      <c r="D175" s="55"/>
      <c r="E175" s="55"/>
      <c r="F175" s="110"/>
      <c r="G175" s="55"/>
      <c r="H175" s="55"/>
      <c r="I175" s="55"/>
      <c r="J175" s="55"/>
      <c r="K175" s="55"/>
      <c r="L175" s="55"/>
      <c r="M175" s="55"/>
    </row>
    <row r="176" spans="2:13">
      <c r="B176" s="55"/>
      <c r="C176" s="55"/>
      <c r="D176" s="55"/>
      <c r="E176" s="55"/>
      <c r="F176" s="55"/>
      <c r="G176" s="55"/>
      <c r="H176" s="55"/>
      <c r="I176" s="55"/>
      <c r="J176" s="55"/>
      <c r="K176" s="55"/>
      <c r="L176" s="55"/>
      <c r="M176" s="55"/>
    </row>
    <row r="177" spans="2:13">
      <c r="B177" s="55"/>
      <c r="C177" s="55"/>
      <c r="D177" s="55"/>
      <c r="E177" s="55"/>
      <c r="F177" s="55"/>
      <c r="G177" s="55"/>
      <c r="H177" s="55"/>
      <c r="I177" s="55"/>
      <c r="J177" s="55"/>
      <c r="K177" s="55"/>
      <c r="L177" s="55"/>
      <c r="M177" s="55"/>
    </row>
    <row r="178" spans="2:13">
      <c r="B178" s="55"/>
      <c r="C178" s="55"/>
      <c r="D178" s="55"/>
      <c r="E178" s="55"/>
      <c r="F178" s="55"/>
      <c r="G178" s="55"/>
      <c r="H178" s="55"/>
      <c r="I178" s="55"/>
      <c r="J178" s="55"/>
      <c r="K178" s="55"/>
      <c r="L178" s="55"/>
      <c r="M178" s="55"/>
    </row>
  </sheetData>
  <sheetProtection password="85F4" sheet="1" objects="1" scenarios="1" formatCells="0" formatColumns="0" formatRows="0"/>
  <mergeCells count="11">
    <mergeCell ref="B44:O44"/>
    <mergeCell ref="B40:O40"/>
    <mergeCell ref="B41:O41"/>
    <mergeCell ref="B42:O42"/>
    <mergeCell ref="B43:O43"/>
    <mergeCell ref="A33:A35"/>
    <mergeCell ref="B33:U35"/>
    <mergeCell ref="D2:I2"/>
    <mergeCell ref="D1:I1"/>
    <mergeCell ref="B31:V31"/>
    <mergeCell ref="B32:U32"/>
  </mergeCells>
  <phoneticPr fontId="25" type="noConversion"/>
  <pageMargins left="0.18" right="0.18" top="0.39" bottom="0.47" header="0.19" footer="0.19"/>
  <pageSetup scale="67" orientation="landscape" r:id="rId1"/>
  <headerFooter alignWithMargins="0">
    <oddHeader>&amp;A</oddHeader>
  </headerFooter>
  <rowBreaks count="1" manualBreakCount="1">
    <brk id="51" max="22" man="1"/>
  </rowBreaks>
</worksheet>
</file>

<file path=xl/worksheets/sheet10.xml><?xml version="1.0" encoding="utf-8"?>
<worksheet xmlns="http://schemas.openxmlformats.org/spreadsheetml/2006/main" xmlns:r="http://schemas.openxmlformats.org/officeDocument/2006/relationships">
  <sheetPr codeName="Sheet11"/>
  <dimension ref="A9:AM68"/>
  <sheetViews>
    <sheetView view="pageBreakPreview" zoomScale="75" zoomScaleNormal="100" workbookViewId="0">
      <selection activeCell="A9" sqref="A9:N9"/>
    </sheetView>
  </sheetViews>
  <sheetFormatPr defaultRowHeight="12.75"/>
  <cols>
    <col min="1" max="1" width="8" style="186" customWidth="1"/>
    <col min="2" max="2" width="8.28515625" style="186" customWidth="1"/>
    <col min="3" max="3" width="8" style="186" customWidth="1"/>
    <col min="4" max="4" width="8.140625" style="186" customWidth="1"/>
    <col min="5" max="5" width="7" style="186" bestFit="1" customWidth="1"/>
    <col min="6" max="7" width="7.42578125" style="186" bestFit="1" customWidth="1"/>
    <col min="8" max="9" width="6.42578125" style="186" customWidth="1"/>
    <col min="10" max="11" width="6.85546875" style="186" customWidth="1"/>
    <col min="12" max="14" width="6.42578125" style="186" customWidth="1"/>
    <col min="15" max="15" width="9.7109375" style="186" customWidth="1"/>
    <col min="16" max="16" width="10.140625" style="186" customWidth="1"/>
    <col min="17" max="17" width="8" style="186" customWidth="1"/>
    <col min="18" max="18" width="8.140625" style="186" customWidth="1"/>
    <col min="19" max="19" width="7" style="186" bestFit="1" customWidth="1"/>
    <col min="20" max="20" width="8" style="186" customWidth="1"/>
    <col min="21" max="21" width="7.140625" style="186" bestFit="1" customWidth="1"/>
    <col min="22" max="23" width="6.42578125" style="186" customWidth="1"/>
    <col min="24" max="24" width="7.140625" style="186" bestFit="1" customWidth="1"/>
    <col min="25" max="25" width="6.85546875" style="186" customWidth="1"/>
    <col min="26" max="28" width="6.42578125" style="186" customWidth="1"/>
    <col min="29" max="29" width="12.140625" style="186" customWidth="1"/>
    <col min="30" max="30" width="9.85546875" style="186" customWidth="1"/>
    <col min="31" max="31" width="10.140625" style="186" customWidth="1"/>
    <col min="32" max="32" width="8.7109375" style="186" customWidth="1"/>
    <col min="33" max="33" width="11.5703125" style="186" customWidth="1"/>
    <col min="34" max="34" width="9.85546875" style="186" customWidth="1"/>
    <col min="35" max="35" width="9.140625" style="186"/>
    <col min="36" max="36" width="11" style="186" customWidth="1"/>
    <col min="37" max="37" width="12" style="186" customWidth="1"/>
    <col min="38" max="38" width="42.140625" style="186" customWidth="1"/>
    <col min="39" max="39" width="18.7109375" style="186" customWidth="1"/>
    <col min="40" max="16384" width="9.140625" style="186"/>
  </cols>
  <sheetData>
    <row r="9" spans="1:39" ht="33.75" customHeight="1">
      <c r="A9" s="1076" t="s">
        <v>340</v>
      </c>
      <c r="B9" s="821"/>
      <c r="C9" s="821"/>
      <c r="D9" s="821"/>
      <c r="E9" s="821"/>
      <c r="F9" s="821"/>
      <c r="G9" s="821"/>
      <c r="H9" s="821"/>
      <c r="I9" s="821"/>
      <c r="J9" s="821"/>
      <c r="K9" s="821"/>
      <c r="L9" s="821"/>
      <c r="M9" s="821"/>
      <c r="N9" s="821"/>
      <c r="O9" s="1077" t="s">
        <v>339</v>
      </c>
      <c r="P9" s="821"/>
      <c r="Q9" s="821"/>
      <c r="R9" s="821"/>
      <c r="S9" s="821"/>
      <c r="T9" s="821"/>
      <c r="U9" s="821"/>
      <c r="V9" s="821"/>
      <c r="W9" s="821"/>
      <c r="X9" s="821"/>
      <c r="Y9" s="821"/>
      <c r="Z9" s="821"/>
      <c r="AA9" s="821"/>
      <c r="AB9" s="821"/>
      <c r="AC9" s="215" t="s">
        <v>303</v>
      </c>
      <c r="AD9" s="216"/>
      <c r="AE9" s="216"/>
      <c r="AF9" s="216"/>
      <c r="AG9" s="216"/>
      <c r="AH9" s="216"/>
      <c r="AI9" s="216"/>
      <c r="AJ9" s="216"/>
      <c r="AL9" s="1103" t="s">
        <v>325</v>
      </c>
      <c r="AM9" s="1103"/>
    </row>
    <row r="10" spans="1:39">
      <c r="A10" s="187"/>
      <c r="O10" s="187"/>
      <c r="AK10" s="190"/>
      <c r="AL10" s="187" t="s">
        <v>393</v>
      </c>
    </row>
    <row r="11" spans="1:39" s="217" customFormat="1" ht="28.5" customHeight="1">
      <c r="A11" s="1065" t="s">
        <v>346</v>
      </c>
      <c r="B11" s="1116"/>
      <c r="C11" s="1116"/>
      <c r="D11" s="1116"/>
      <c r="E11" s="1116"/>
      <c r="F11" s="1116"/>
      <c r="G11" s="1116"/>
      <c r="H11" s="1116"/>
      <c r="I11" s="1116"/>
      <c r="J11" s="1069"/>
      <c r="K11" s="1069"/>
      <c r="L11" s="1069"/>
      <c r="M11" s="1101"/>
      <c r="N11" s="1101"/>
      <c r="O11" s="1060" t="s">
        <v>296</v>
      </c>
      <c r="P11" s="1066"/>
      <c r="Q11" s="1066"/>
      <c r="R11" s="1066"/>
      <c r="S11" s="1066"/>
      <c r="T11" s="1066"/>
      <c r="U11" s="1066"/>
      <c r="V11" s="1066"/>
      <c r="W11" s="1066"/>
      <c r="X11" s="1083"/>
      <c r="Y11" s="1083"/>
      <c r="Z11" s="1083"/>
      <c r="AA11" s="1101"/>
      <c r="AB11" s="1101"/>
      <c r="AC11" s="1060" t="s">
        <v>300</v>
      </c>
      <c r="AD11" s="1101"/>
      <c r="AE11" s="1101"/>
      <c r="AF11" s="1101"/>
      <c r="AG11" s="1101"/>
      <c r="AH11" s="1101"/>
      <c r="AI11" s="1101"/>
      <c r="AJ11" s="1108"/>
      <c r="AK11" s="218"/>
      <c r="AL11" s="1104" t="str">
        <f>'Granular Characterization Calcs'!A10</f>
        <v>Estimation of the number of granules needed to achieve toxicity thresholds</v>
      </c>
      <c r="AM11" s="1105"/>
    </row>
    <row r="12" spans="1:39">
      <c r="A12" s="1068" t="s">
        <v>290</v>
      </c>
      <c r="B12" s="1068" t="s">
        <v>332</v>
      </c>
      <c r="C12" s="1064" t="s">
        <v>289</v>
      </c>
      <c r="D12" s="1064"/>
      <c r="E12" s="1081"/>
      <c r="F12" s="1081"/>
      <c r="G12" s="1081"/>
      <c r="H12" s="1081"/>
      <c r="I12" s="1081"/>
      <c r="J12" s="1082"/>
      <c r="K12" s="1082"/>
      <c r="L12" s="1082"/>
      <c r="M12" s="835"/>
      <c r="N12" s="835"/>
      <c r="O12" s="1068" t="s">
        <v>290</v>
      </c>
      <c r="P12" s="1068" t="s">
        <v>291</v>
      </c>
      <c r="Q12" s="1064" t="s">
        <v>289</v>
      </c>
      <c r="R12" s="1064"/>
      <c r="S12" s="1081"/>
      <c r="T12" s="1081"/>
      <c r="U12" s="1081"/>
      <c r="V12" s="1081"/>
      <c r="W12" s="1081"/>
      <c r="X12" s="1082"/>
      <c r="Y12" s="1082"/>
      <c r="Z12" s="1082"/>
      <c r="AA12" s="835"/>
      <c r="AB12" s="835"/>
      <c r="AC12" s="1065" t="s">
        <v>290</v>
      </c>
      <c r="AD12" s="1094" t="s">
        <v>139</v>
      </c>
      <c r="AE12" s="1060" t="s">
        <v>298</v>
      </c>
      <c r="AF12" s="1060"/>
      <c r="AG12" s="1060"/>
      <c r="AH12" s="1061" t="s">
        <v>297</v>
      </c>
      <c r="AI12" s="1097"/>
      <c r="AJ12" s="1089"/>
      <c r="AK12" s="190"/>
      <c r="AL12" s="202" t="s">
        <v>320</v>
      </c>
      <c r="AM12" s="214" t="e">
        <f>'Granular Characterization Calcs'!B24</f>
        <v>#DIV/0!</v>
      </c>
    </row>
    <row r="13" spans="1:39" ht="40.5" customHeight="1">
      <c r="A13" s="1083"/>
      <c r="B13" s="1083"/>
      <c r="C13" s="1060" t="s">
        <v>27</v>
      </c>
      <c r="D13" s="1060"/>
      <c r="E13" s="1060" t="s">
        <v>23</v>
      </c>
      <c r="F13" s="1060"/>
      <c r="G13" s="1065" t="s">
        <v>421</v>
      </c>
      <c r="H13" s="1060"/>
      <c r="I13" s="1065" t="s">
        <v>584</v>
      </c>
      <c r="J13" s="1066"/>
      <c r="K13" s="1060" t="s">
        <v>414</v>
      </c>
      <c r="L13" s="1060"/>
      <c r="M13" s="1060" t="s">
        <v>330</v>
      </c>
      <c r="N13" s="1113"/>
      <c r="O13" s="1083"/>
      <c r="P13" s="1083"/>
      <c r="Q13" s="1060" t="s">
        <v>27</v>
      </c>
      <c r="R13" s="1060"/>
      <c r="S13" s="1060" t="s">
        <v>23</v>
      </c>
      <c r="T13" s="1060"/>
      <c r="U13" s="1065" t="s">
        <v>421</v>
      </c>
      <c r="V13" s="1060"/>
      <c r="W13" s="1065" t="s">
        <v>584</v>
      </c>
      <c r="X13" s="1066"/>
      <c r="Y13" s="1060" t="s">
        <v>414</v>
      </c>
      <c r="Z13" s="1060"/>
      <c r="AA13" s="1060" t="s">
        <v>330</v>
      </c>
      <c r="AB13" s="1113"/>
      <c r="AC13" s="1066"/>
      <c r="AD13" s="1095"/>
      <c r="AE13" s="1098" t="s">
        <v>299</v>
      </c>
      <c r="AF13" s="1099"/>
      <c r="AG13" s="1102" t="s">
        <v>181</v>
      </c>
      <c r="AH13" s="1098" t="s">
        <v>299</v>
      </c>
      <c r="AI13" s="1099"/>
      <c r="AJ13" s="1102" t="s">
        <v>181</v>
      </c>
      <c r="AK13" s="190"/>
      <c r="AL13" s="202" t="s">
        <v>327</v>
      </c>
      <c r="AM13" s="214" t="e">
        <f>'Granular Characterization Calcs'!B25</f>
        <v>#DIV/0!</v>
      </c>
    </row>
    <row r="14" spans="1:39" ht="25.5">
      <c r="A14" s="1083"/>
      <c r="B14" s="1083"/>
      <c r="C14" s="188" t="s">
        <v>286</v>
      </c>
      <c r="D14" s="188" t="s">
        <v>288</v>
      </c>
      <c r="E14" s="188" t="s">
        <v>286</v>
      </c>
      <c r="F14" s="188" t="s">
        <v>288</v>
      </c>
      <c r="G14" s="188" t="s">
        <v>286</v>
      </c>
      <c r="H14" s="188" t="s">
        <v>288</v>
      </c>
      <c r="I14" s="188" t="s">
        <v>286</v>
      </c>
      <c r="J14" s="188" t="s">
        <v>288</v>
      </c>
      <c r="K14" s="188" t="s">
        <v>286</v>
      </c>
      <c r="L14" s="188" t="s">
        <v>288</v>
      </c>
      <c r="M14" s="188" t="s">
        <v>286</v>
      </c>
      <c r="N14" s="188" t="s">
        <v>288</v>
      </c>
      <c r="O14" s="1083"/>
      <c r="P14" s="1083"/>
      <c r="Q14" s="188" t="s">
        <v>286</v>
      </c>
      <c r="R14" s="188" t="s">
        <v>288</v>
      </c>
      <c r="S14" s="188" t="s">
        <v>286</v>
      </c>
      <c r="T14" s="188" t="s">
        <v>288</v>
      </c>
      <c r="U14" s="188" t="s">
        <v>286</v>
      </c>
      <c r="V14" s="188" t="s">
        <v>288</v>
      </c>
      <c r="W14" s="188" t="s">
        <v>286</v>
      </c>
      <c r="X14" s="188" t="s">
        <v>288</v>
      </c>
      <c r="Y14" s="188" t="s">
        <v>286</v>
      </c>
      <c r="Z14" s="188" t="s">
        <v>288</v>
      </c>
      <c r="AA14" s="188" t="s">
        <v>286</v>
      </c>
      <c r="AB14" s="188" t="s">
        <v>288</v>
      </c>
      <c r="AC14" s="1066"/>
      <c r="AD14" s="1096"/>
      <c r="AE14" s="194" t="s">
        <v>168</v>
      </c>
      <c r="AF14" s="194" t="s">
        <v>169</v>
      </c>
      <c r="AG14" s="1102"/>
      <c r="AH14" s="194" t="s">
        <v>168</v>
      </c>
      <c r="AI14" s="194" t="s">
        <v>169</v>
      </c>
      <c r="AJ14" s="1102"/>
      <c r="AL14" s="202" t="s">
        <v>326</v>
      </c>
      <c r="AM14" s="214" t="e">
        <f>'Granular Characterization Calcs'!B26</f>
        <v>#DIV/0!</v>
      </c>
    </row>
    <row r="15" spans="1:39" ht="30" customHeight="1">
      <c r="A15" s="192">
        <f>'upper bound Kenaga'!$C$36</f>
        <v>20</v>
      </c>
      <c r="B15" s="189">
        <f>'upper bound Kenaga'!$C$46</f>
        <v>0</v>
      </c>
      <c r="C15" s="189" t="e">
        <f>'upper bound Kenaga'!$B$53</f>
        <v>#DIV/0!</v>
      </c>
      <c r="D15" s="189" t="e">
        <f>'upper bound Kenaga'!$B$69</f>
        <v>#DIV/0!</v>
      </c>
      <c r="E15" s="189" t="e">
        <f>'upper bound Kenaga'!$B$54</f>
        <v>#DIV/0!</v>
      </c>
      <c r="F15" s="189" t="e">
        <f>'upper bound Kenaga'!$B$70</f>
        <v>#DIV/0!</v>
      </c>
      <c r="G15" s="189" t="e">
        <f>'upper bound Kenaga'!$B$55</f>
        <v>#DIV/0!</v>
      </c>
      <c r="H15" s="189" t="e">
        <f>'upper bound Kenaga'!$B$71</f>
        <v>#DIV/0!</v>
      </c>
      <c r="I15" s="189" t="e">
        <f>'upper bound Kenaga'!$B$56</f>
        <v>#DIV/0!</v>
      </c>
      <c r="J15" s="189" t="e">
        <f>'upper bound Kenaga'!$B$72</f>
        <v>#DIV/0!</v>
      </c>
      <c r="K15" s="189" t="e">
        <f>'upper bound Kenaga'!$B$64</f>
        <v>#DIV/0!</v>
      </c>
      <c r="L15" s="189" t="e">
        <f>'upper bound Kenaga'!$B$73</f>
        <v>#DIV/0!</v>
      </c>
      <c r="M15" s="189" t="e">
        <f>'upper bound Kenaga'!$B$65</f>
        <v>#DIV/0!</v>
      </c>
      <c r="N15" s="189" t="e">
        <f>'upper bound Kenaga'!$B$74</f>
        <v>#DIV/0!</v>
      </c>
      <c r="O15" s="192">
        <f>'Mean Kenaga'!$C$36</f>
        <v>20</v>
      </c>
      <c r="P15" s="189">
        <f>'Mean Kenaga'!$C$46</f>
        <v>0</v>
      </c>
      <c r="Q15" s="189" t="e">
        <f>'Mean Kenaga'!$B$53</f>
        <v>#DIV/0!</v>
      </c>
      <c r="R15" s="189" t="e">
        <f>'Mean Kenaga'!$B$69</f>
        <v>#DIV/0!</v>
      </c>
      <c r="S15" s="189" t="e">
        <f>'Mean Kenaga'!$B$54</f>
        <v>#DIV/0!</v>
      </c>
      <c r="T15" s="189" t="e">
        <f>'Mean Kenaga'!$B$70</f>
        <v>#DIV/0!</v>
      </c>
      <c r="U15" s="189" t="e">
        <f>'Mean Kenaga'!$B$55</f>
        <v>#DIV/0!</v>
      </c>
      <c r="V15" s="189" t="e">
        <f>'Mean Kenaga'!$B$71</f>
        <v>#DIV/0!</v>
      </c>
      <c r="W15" s="189" t="e">
        <f>'Mean Kenaga'!$B$56</f>
        <v>#DIV/0!</v>
      </c>
      <c r="X15" s="189" t="e">
        <f>'Mean Kenaga'!$B$72</f>
        <v>#DIV/0!</v>
      </c>
      <c r="Y15" s="189" t="e">
        <f>'Mean Kenaga'!$B$64</f>
        <v>#DIV/0!</v>
      </c>
      <c r="Z15" s="189" t="e">
        <f>'Mean Kenaga'!$B$73</f>
        <v>#DIV/0!</v>
      </c>
      <c r="AA15" s="189" t="e">
        <f>'Mean Kenaga'!$B$65</f>
        <v>#DIV/0!</v>
      </c>
      <c r="AB15" s="189" t="e">
        <f>'Mean Kenaga'!$B$74</f>
        <v>#DIV/0!</v>
      </c>
      <c r="AC15" s="192">
        <f>'upper bound Kenaga'!C36</f>
        <v>20</v>
      </c>
      <c r="AD15" s="189">
        <f>P15</f>
        <v>0</v>
      </c>
      <c r="AE15" s="1084" t="e">
        <f>'LD50 ft-2'!D27:E27</f>
        <v>#VALUE!</v>
      </c>
      <c r="AF15" s="1084" t="e">
        <f>'LD50 ft-2'!I25:J25</f>
        <v>#VALUE!</v>
      </c>
      <c r="AG15" s="1090">
        <f>'LD50 ft-2'!C42</f>
        <v>0</v>
      </c>
      <c r="AH15" s="189" t="str">
        <f>'LD50 ft-2'!D31</f>
        <v>N/A</v>
      </c>
      <c r="AI15" s="189" t="str">
        <f>'LD50 ft-2'!I31</f>
        <v>N/A</v>
      </c>
      <c r="AJ15" s="189" t="e">
        <f>'LD50 ft-2'!D46</f>
        <v>#DIV/0!</v>
      </c>
      <c r="AL15" s="213"/>
      <c r="AM15" s="213"/>
    </row>
    <row r="16" spans="1:39" ht="15.75">
      <c r="A16" s="192">
        <f>'upper bound Kenaga'!$C$37</f>
        <v>100</v>
      </c>
      <c r="B16" s="189">
        <f>'upper bound Kenaga'!$C$47</f>
        <v>0</v>
      </c>
      <c r="C16" s="189" t="e">
        <f>'upper bound Kenaga'!$C$53</f>
        <v>#DIV/0!</v>
      </c>
      <c r="D16" s="189" t="e">
        <f>'upper bound Kenaga'!$C$69</f>
        <v>#DIV/0!</v>
      </c>
      <c r="E16" s="189" t="e">
        <f>'upper bound Kenaga'!$C$54</f>
        <v>#DIV/0!</v>
      </c>
      <c r="F16" s="189" t="e">
        <f>'upper bound Kenaga'!$C$70</f>
        <v>#DIV/0!</v>
      </c>
      <c r="G16" s="189" t="e">
        <f>'upper bound Kenaga'!$C$55</f>
        <v>#DIV/0!</v>
      </c>
      <c r="H16" s="189" t="e">
        <f>'upper bound Kenaga'!$C$71</f>
        <v>#DIV/0!</v>
      </c>
      <c r="I16" s="189" t="e">
        <f>'upper bound Kenaga'!$C$56</f>
        <v>#DIV/0!</v>
      </c>
      <c r="J16" s="189" t="e">
        <f>'upper bound Kenaga'!$C$72</f>
        <v>#DIV/0!</v>
      </c>
      <c r="K16" s="189" t="e">
        <f>'upper bound Kenaga'!$C$64</f>
        <v>#DIV/0!</v>
      </c>
      <c r="L16" s="189" t="e">
        <f>'upper bound Kenaga'!$C$73</f>
        <v>#DIV/0!</v>
      </c>
      <c r="M16" s="189" t="e">
        <f>'upper bound Kenaga'!$C$65</f>
        <v>#DIV/0!</v>
      </c>
      <c r="N16" s="189" t="e">
        <f>'upper bound Kenaga'!$C$74</f>
        <v>#DIV/0!</v>
      </c>
      <c r="O16" s="192">
        <f>'Mean Kenaga'!$C$37</f>
        <v>100</v>
      </c>
      <c r="P16" s="189">
        <f>'Mean Kenaga'!$C$47</f>
        <v>0</v>
      </c>
      <c r="Q16" s="189" t="e">
        <f>'Mean Kenaga'!$C$53</f>
        <v>#DIV/0!</v>
      </c>
      <c r="R16" s="189" t="e">
        <f>'Mean Kenaga'!$C$69</f>
        <v>#DIV/0!</v>
      </c>
      <c r="S16" s="189" t="e">
        <f>'Mean Kenaga'!$C$54</f>
        <v>#DIV/0!</v>
      </c>
      <c r="T16" s="189" t="e">
        <f>'Mean Kenaga'!$C$70</f>
        <v>#DIV/0!</v>
      </c>
      <c r="U16" s="189" t="e">
        <f>'Mean Kenaga'!$C$55</f>
        <v>#DIV/0!</v>
      </c>
      <c r="V16" s="189" t="e">
        <f>'Mean Kenaga'!$C$71</f>
        <v>#DIV/0!</v>
      </c>
      <c r="W16" s="189" t="e">
        <f>'Mean Kenaga'!$C$56</f>
        <v>#DIV/0!</v>
      </c>
      <c r="X16" s="189" t="e">
        <f>'Mean Kenaga'!$C$72</f>
        <v>#DIV/0!</v>
      </c>
      <c r="Y16" s="189" t="e">
        <f>'Mean Kenaga'!$C$64</f>
        <v>#DIV/0!</v>
      </c>
      <c r="Z16" s="189" t="e">
        <f>'Mean Kenaga'!$C$73</f>
        <v>#DIV/0!</v>
      </c>
      <c r="AA16" s="189" t="e">
        <f>'Mean Kenaga'!$C$65</f>
        <v>#DIV/0!</v>
      </c>
      <c r="AB16" s="189" t="e">
        <f>'Mean Kenaga'!$C$74</f>
        <v>#DIV/0!</v>
      </c>
      <c r="AC16" s="192">
        <f>'upper bound Kenaga'!C37</f>
        <v>100</v>
      </c>
      <c r="AD16" s="189">
        <f>P16</f>
        <v>0</v>
      </c>
      <c r="AE16" s="1084"/>
      <c r="AF16" s="1085"/>
      <c r="AG16" s="1091"/>
      <c r="AH16" s="189" t="str">
        <f>'LD50 ft-2'!D32</f>
        <v>N/A</v>
      </c>
      <c r="AI16" s="189" t="str">
        <f>'LD50 ft-2'!I32</f>
        <v>N/A</v>
      </c>
      <c r="AJ16" s="189" t="e">
        <f>'LD50 ft-2'!D47</f>
        <v>#DIV/0!</v>
      </c>
      <c r="AL16" s="1106" t="str">
        <f>'Granular Characterization Calcs'!A29</f>
        <v xml:space="preserve">Minimum Foraging Area Needed to Allow for Ingestion of Sufficient Mass of a.i. to Achieve LOC Exceedance </v>
      </c>
      <c r="AM16" s="1107"/>
    </row>
    <row r="17" spans="1:39" ht="25.5">
      <c r="A17" s="192">
        <f>'upper bound Kenaga'!$C$38</f>
        <v>1000</v>
      </c>
      <c r="B17" s="189">
        <f>'upper bound Kenaga'!$C$48</f>
        <v>0</v>
      </c>
      <c r="C17" s="189" t="e">
        <f>'upper bound Kenaga'!$D$53</f>
        <v>#DIV/0!</v>
      </c>
      <c r="D17" s="189" t="e">
        <f>'upper bound Kenaga'!$D$69</f>
        <v>#DIV/0!</v>
      </c>
      <c r="E17" s="189" t="e">
        <f>'upper bound Kenaga'!$D$54</f>
        <v>#DIV/0!</v>
      </c>
      <c r="F17" s="189" t="e">
        <f>'upper bound Kenaga'!$D$70</f>
        <v>#DIV/0!</v>
      </c>
      <c r="G17" s="189" t="e">
        <f>'upper bound Kenaga'!$D$55</f>
        <v>#DIV/0!</v>
      </c>
      <c r="H17" s="189" t="e">
        <f>'upper bound Kenaga'!$D$71</f>
        <v>#DIV/0!</v>
      </c>
      <c r="I17" s="189" t="e">
        <f>'upper bound Kenaga'!$D$56</f>
        <v>#DIV/0!</v>
      </c>
      <c r="J17" s="189" t="e">
        <f>'upper bound Kenaga'!$D$72</f>
        <v>#DIV/0!</v>
      </c>
      <c r="K17" s="189" t="e">
        <f>'upper bound Kenaga'!$D$64</f>
        <v>#DIV/0!</v>
      </c>
      <c r="L17" s="189" t="e">
        <f>'upper bound Kenaga'!$D$73</f>
        <v>#DIV/0!</v>
      </c>
      <c r="M17" s="189" t="e">
        <f>'upper bound Kenaga'!$D$65</f>
        <v>#DIV/0!</v>
      </c>
      <c r="N17" s="189" t="e">
        <f>'upper bound Kenaga'!$D$74</f>
        <v>#DIV/0!</v>
      </c>
      <c r="O17" s="192">
        <f>'Mean Kenaga'!$C$38</f>
        <v>1000</v>
      </c>
      <c r="P17" s="189">
        <f>'Mean Kenaga'!$C$48</f>
        <v>0</v>
      </c>
      <c r="Q17" s="189" t="e">
        <f>'Mean Kenaga'!$D$53</f>
        <v>#DIV/0!</v>
      </c>
      <c r="R17" s="189" t="e">
        <f>'Mean Kenaga'!$D$69</f>
        <v>#DIV/0!</v>
      </c>
      <c r="S17" s="189" t="e">
        <f>'Mean Kenaga'!$D$54</f>
        <v>#DIV/0!</v>
      </c>
      <c r="T17" s="189" t="e">
        <f>'Mean Kenaga'!$D$70</f>
        <v>#DIV/0!</v>
      </c>
      <c r="U17" s="189" t="e">
        <f>'Mean Kenaga'!$D$55</f>
        <v>#DIV/0!</v>
      </c>
      <c r="V17" s="189" t="e">
        <f>'Mean Kenaga'!$D$71</f>
        <v>#DIV/0!</v>
      </c>
      <c r="W17" s="189" t="e">
        <f>'Mean Kenaga'!$D$56</f>
        <v>#DIV/0!</v>
      </c>
      <c r="X17" s="189" t="e">
        <f>'Mean Kenaga'!$D$72</f>
        <v>#DIV/0!</v>
      </c>
      <c r="Y17" s="189" t="e">
        <f>'Mean Kenaga'!$D$64</f>
        <v>#DIV/0!</v>
      </c>
      <c r="Z17" s="189" t="e">
        <f>'Mean Kenaga'!$D$73</f>
        <v>#DIV/0!</v>
      </c>
      <c r="AA17" s="189" t="e">
        <f>'Mean Kenaga'!$D$65</f>
        <v>#DIV/0!</v>
      </c>
      <c r="AB17" s="189" t="e">
        <f>'Mean Kenaga'!$D$74</f>
        <v>#DIV/0!</v>
      </c>
      <c r="AC17" s="192">
        <f>'upper bound Kenaga'!C38</f>
        <v>1000</v>
      </c>
      <c r="AD17" s="189">
        <f>P17</f>
        <v>0</v>
      </c>
      <c r="AE17" s="1084"/>
      <c r="AF17" s="1085"/>
      <c r="AG17" s="1092"/>
      <c r="AH17" s="189" t="str">
        <f>'LD50 ft-2'!D33</f>
        <v>N/A</v>
      </c>
      <c r="AI17" s="189" t="str">
        <f>'LD50 ft-2'!I33</f>
        <v>N/A</v>
      </c>
      <c r="AJ17" s="189" t="e">
        <f>'LD50 ft-2'!D48</f>
        <v>#DIV/0!</v>
      </c>
      <c r="AL17" s="197" t="s">
        <v>322</v>
      </c>
      <c r="AM17" s="196" t="e">
        <f>'Granular Characterization Calcs'!B31</f>
        <v>#DIV/0!</v>
      </c>
    </row>
    <row r="18" spans="1:39" ht="25.5">
      <c r="A18" s="199"/>
      <c r="B18" s="200"/>
      <c r="C18" s="200"/>
      <c r="D18" s="201"/>
      <c r="E18" s="200"/>
      <c r="F18" s="201"/>
      <c r="G18" s="200"/>
      <c r="H18" s="200"/>
      <c r="I18" s="200"/>
      <c r="J18" s="201"/>
      <c r="K18" s="201"/>
      <c r="L18" s="201"/>
      <c r="M18" s="201"/>
      <c r="O18" s="190"/>
      <c r="P18" s="191"/>
      <c r="Q18" s="191"/>
      <c r="R18" s="191"/>
      <c r="S18" s="191"/>
      <c r="T18" s="191"/>
      <c r="U18" s="191"/>
      <c r="V18" s="191"/>
      <c r="W18" s="191"/>
      <c r="AC18" s="195"/>
      <c r="AD18" s="195"/>
      <c r="AE18" s="195"/>
      <c r="AF18" s="195"/>
      <c r="AG18" s="195"/>
      <c r="AH18" s="195"/>
      <c r="AI18" s="195"/>
      <c r="AJ18" s="195"/>
      <c r="AL18" s="197" t="s">
        <v>323</v>
      </c>
      <c r="AM18" s="196" t="e">
        <f>'Granular Characterization Calcs'!B32</f>
        <v>#DIV/0!</v>
      </c>
    </row>
    <row r="19" spans="1:39" ht="25.5">
      <c r="A19" s="1063" t="s">
        <v>347</v>
      </c>
      <c r="B19" s="1063"/>
      <c r="C19" s="1063"/>
      <c r="D19" s="1063"/>
      <c r="E19" s="1063"/>
      <c r="F19" s="1063"/>
      <c r="G19" s="1063"/>
      <c r="H19" s="1063"/>
      <c r="I19" s="1063"/>
      <c r="J19" s="1063"/>
      <c r="K19" s="1063"/>
      <c r="O19" s="1063" t="s">
        <v>341</v>
      </c>
      <c r="P19" s="1063"/>
      <c r="Q19" s="1063"/>
      <c r="R19" s="1063"/>
      <c r="S19" s="1063"/>
      <c r="T19" s="1063"/>
      <c r="U19" s="1063"/>
      <c r="V19" s="1063"/>
      <c r="W19" s="1063"/>
      <c r="X19" s="1063"/>
      <c r="Y19" s="1063"/>
      <c r="AC19" s="1064" t="s">
        <v>301</v>
      </c>
      <c r="AD19" s="1093"/>
      <c r="AE19" s="1093"/>
      <c r="AF19" s="1093"/>
      <c r="AG19" s="1093"/>
      <c r="AH19" s="1093"/>
      <c r="AI19" s="1093"/>
      <c r="AJ19" s="1093"/>
      <c r="AL19" s="197" t="s">
        <v>324</v>
      </c>
      <c r="AM19" s="196" t="e">
        <f>'Granular Characterization Calcs'!B33</f>
        <v>#DIV/0!</v>
      </c>
    </row>
    <row r="20" spans="1:39">
      <c r="A20" s="1064" t="s">
        <v>287</v>
      </c>
      <c r="B20" s="1064" t="s">
        <v>289</v>
      </c>
      <c r="C20" s="1064"/>
      <c r="D20" s="1064"/>
      <c r="E20" s="1064"/>
      <c r="F20" s="1064"/>
      <c r="G20" s="1064"/>
      <c r="H20" s="1064"/>
      <c r="I20" s="1064"/>
      <c r="J20" s="1064"/>
      <c r="K20" s="1064"/>
      <c r="O20" s="1064" t="s">
        <v>287</v>
      </c>
      <c r="P20" s="1064" t="s">
        <v>289</v>
      </c>
      <c r="Q20" s="1064"/>
      <c r="R20" s="1064"/>
      <c r="S20" s="1064"/>
      <c r="T20" s="1064"/>
      <c r="U20" s="1064"/>
      <c r="V20" s="1064"/>
      <c r="W20" s="1064"/>
      <c r="X20" s="1064"/>
      <c r="Y20" s="1064"/>
      <c r="AC20" s="1065" t="s">
        <v>290</v>
      </c>
      <c r="AD20" s="1094" t="s">
        <v>139</v>
      </c>
      <c r="AE20" s="1060" t="s">
        <v>298</v>
      </c>
      <c r="AF20" s="1060"/>
      <c r="AG20" s="1060"/>
      <c r="AH20" s="1061" t="s">
        <v>297</v>
      </c>
      <c r="AI20" s="1097"/>
      <c r="AJ20" s="1089"/>
    </row>
    <row r="21" spans="1:39" ht="42.75" customHeight="1">
      <c r="A21" s="1064"/>
      <c r="B21" s="1060" t="s">
        <v>27</v>
      </c>
      <c r="C21" s="1060"/>
      <c r="D21" s="1060" t="s">
        <v>23</v>
      </c>
      <c r="E21" s="1060"/>
      <c r="F21" s="1065" t="s">
        <v>421</v>
      </c>
      <c r="G21" s="1060"/>
      <c r="H21" s="1065" t="s">
        <v>584</v>
      </c>
      <c r="I21" s="1066"/>
      <c r="J21" s="1061" t="s">
        <v>414</v>
      </c>
      <c r="K21" s="1062"/>
      <c r="O21" s="1064"/>
      <c r="P21" s="1060" t="s">
        <v>27</v>
      </c>
      <c r="Q21" s="1060"/>
      <c r="R21" s="1060" t="s">
        <v>23</v>
      </c>
      <c r="S21" s="1060"/>
      <c r="T21" s="1065" t="s">
        <v>421</v>
      </c>
      <c r="U21" s="1060"/>
      <c r="V21" s="1065" t="s">
        <v>584</v>
      </c>
      <c r="W21" s="1066"/>
      <c r="X21" s="1061" t="s">
        <v>414</v>
      </c>
      <c r="Y21" s="1062"/>
      <c r="AC21" s="1066"/>
      <c r="AD21" s="1095"/>
      <c r="AE21" s="1098" t="s">
        <v>299</v>
      </c>
      <c r="AF21" s="1099"/>
      <c r="AG21" s="1060" t="s">
        <v>181</v>
      </c>
      <c r="AH21" s="1098" t="s">
        <v>314</v>
      </c>
      <c r="AI21" s="1099"/>
      <c r="AJ21" s="1060" t="s">
        <v>181</v>
      </c>
      <c r="AL21" s="187" t="s">
        <v>394</v>
      </c>
    </row>
    <row r="22" spans="1:39" ht="29.25" customHeight="1">
      <c r="A22" s="1081"/>
      <c r="B22" s="188" t="s">
        <v>286</v>
      </c>
      <c r="C22" s="188" t="s">
        <v>288</v>
      </c>
      <c r="D22" s="188" t="s">
        <v>286</v>
      </c>
      <c r="E22" s="188" t="s">
        <v>288</v>
      </c>
      <c r="F22" s="188" t="s">
        <v>286</v>
      </c>
      <c r="G22" s="188" t="s">
        <v>288</v>
      </c>
      <c r="H22" s="188" t="s">
        <v>286</v>
      </c>
      <c r="I22" s="188" t="s">
        <v>288</v>
      </c>
      <c r="J22" s="188" t="s">
        <v>286</v>
      </c>
      <c r="K22" s="188" t="s">
        <v>288</v>
      </c>
      <c r="O22" s="1081"/>
      <c r="P22" s="188" t="s">
        <v>286</v>
      </c>
      <c r="Q22" s="188" t="s">
        <v>288</v>
      </c>
      <c r="R22" s="188" t="s">
        <v>286</v>
      </c>
      <c r="S22" s="188" t="s">
        <v>288</v>
      </c>
      <c r="T22" s="188" t="s">
        <v>286</v>
      </c>
      <c r="U22" s="188" t="s">
        <v>288</v>
      </c>
      <c r="V22" s="188" t="s">
        <v>286</v>
      </c>
      <c r="W22" s="188" t="s">
        <v>288</v>
      </c>
      <c r="X22" s="188" t="s">
        <v>286</v>
      </c>
      <c r="Y22" s="188" t="s">
        <v>288</v>
      </c>
      <c r="AC22" s="1066"/>
      <c r="AD22" s="1096"/>
      <c r="AE22" s="198" t="s">
        <v>168</v>
      </c>
      <c r="AF22" s="198" t="s">
        <v>169</v>
      </c>
      <c r="AG22" s="1060"/>
      <c r="AH22" s="198" t="s">
        <v>168</v>
      </c>
      <c r="AI22" s="198" t="s">
        <v>169</v>
      </c>
      <c r="AJ22" s="1060"/>
      <c r="AL22" s="1109" t="str">
        <f>AL11</f>
        <v>Estimation of the number of granules needed to achieve toxicity thresholds</v>
      </c>
      <c r="AM22" s="1110"/>
    </row>
    <row r="23" spans="1:39">
      <c r="A23" s="192">
        <f>'upper bound Kenaga'!$D$16</f>
        <v>0</v>
      </c>
      <c r="B23" s="189" t="e">
        <f>'upper bound Kenaga'!$B$27</f>
        <v>#DIV/0!</v>
      </c>
      <c r="C23" s="189" t="e">
        <f>'upper bound Kenaga'!$B$79</f>
        <v>#DIV/0!</v>
      </c>
      <c r="D23" s="189" t="e">
        <f>'upper bound Kenaga'!$B$28</f>
        <v>#DIV/0!</v>
      </c>
      <c r="E23" s="189" t="e">
        <f>'upper bound Kenaga'!$B$80</f>
        <v>#DIV/0!</v>
      </c>
      <c r="F23" s="189" t="e">
        <f>'upper bound Kenaga'!$B$29</f>
        <v>#DIV/0!</v>
      </c>
      <c r="G23" s="189" t="e">
        <f>'upper bound Kenaga'!$B$81</f>
        <v>#DIV/0!</v>
      </c>
      <c r="H23" s="189" t="e">
        <f>'upper bound Kenaga'!$B$30</f>
        <v>#DIV/0!</v>
      </c>
      <c r="I23" s="189" t="e">
        <f>'upper bound Kenaga'!$B$82</f>
        <v>#DIV/0!</v>
      </c>
      <c r="J23" s="189" t="e">
        <f>'upper bound Kenaga'!$B$31</f>
        <v>#DIV/0!</v>
      </c>
      <c r="K23" s="189" t="e">
        <f>'upper bound Kenaga'!$B$83</f>
        <v>#DIV/0!</v>
      </c>
      <c r="O23" s="192">
        <f>'Mean Kenaga'!$D$16</f>
        <v>0</v>
      </c>
      <c r="P23" s="189" t="e">
        <f>'Mean Kenaga'!$B$27</f>
        <v>#DIV/0!</v>
      </c>
      <c r="Q23" s="189" t="e">
        <f>'Mean Kenaga'!$B$79</f>
        <v>#DIV/0!</v>
      </c>
      <c r="R23" s="189" t="e">
        <f>'Mean Kenaga'!$B$28</f>
        <v>#DIV/0!</v>
      </c>
      <c r="S23" s="189" t="e">
        <f>'Mean Kenaga'!$B$80</f>
        <v>#DIV/0!</v>
      </c>
      <c r="T23" s="189" t="e">
        <f>'Mean Kenaga'!$B$29</f>
        <v>#DIV/0!</v>
      </c>
      <c r="U23" s="189" t="e">
        <f>'Mean Kenaga'!$B$81</f>
        <v>#DIV/0!</v>
      </c>
      <c r="V23" s="189" t="e">
        <f>'Mean Kenaga'!$B$30</f>
        <v>#DIV/0!</v>
      </c>
      <c r="W23" s="189" t="e">
        <f>'Mean Kenaga'!$B$82</f>
        <v>#DIV/0!</v>
      </c>
      <c r="X23" s="189" t="e">
        <f>'Mean Kenaga'!$B$31</f>
        <v>#DIV/0!</v>
      </c>
      <c r="Y23" s="189" t="e">
        <f>'Mean Kenaga'!$B$83</f>
        <v>#DIV/0!</v>
      </c>
      <c r="AC23" s="192">
        <f>'upper bound Kenaga'!C105</f>
        <v>15</v>
      </c>
      <c r="AD23" s="189">
        <f>AD15</f>
        <v>0</v>
      </c>
      <c r="AE23" s="1100" t="e">
        <f>'LD50 ft-2'!D27:E27</f>
        <v>#VALUE!</v>
      </c>
      <c r="AF23" s="1100" t="e">
        <f>'LD50 ft-2'!I25:J25</f>
        <v>#VALUE!</v>
      </c>
      <c r="AG23" s="1090">
        <f>'LD50 ft-2'!C42</f>
        <v>0</v>
      </c>
      <c r="AH23" s="189" t="str">
        <f>'LD50 ft-2'!D34</f>
        <v>N/A</v>
      </c>
      <c r="AI23" s="189" t="str">
        <f>'LD50 ft-2'!I34</f>
        <v>N/A</v>
      </c>
      <c r="AJ23" s="196" t="e">
        <f>'LD50 ft-2'!D49</f>
        <v>#DIV/0!</v>
      </c>
      <c r="AL23" s="202" t="s">
        <v>320</v>
      </c>
      <c r="AM23" s="214" t="e">
        <f>'Granular Characterization Calcs'!C24</f>
        <v>#DIV/0!</v>
      </c>
    </row>
    <row r="24" spans="1:39" ht="25.5">
      <c r="A24" s="1078" t="s">
        <v>292</v>
      </c>
      <c r="B24" s="1078"/>
      <c r="C24" s="1078"/>
      <c r="D24" s="1078"/>
      <c r="E24" s="1078"/>
      <c r="F24" s="1078"/>
      <c r="G24" s="1078"/>
      <c r="H24" s="1078"/>
      <c r="I24" s="1078"/>
      <c r="O24" s="1078" t="s">
        <v>292</v>
      </c>
      <c r="P24" s="1067"/>
      <c r="Q24" s="1067"/>
      <c r="R24" s="1067"/>
      <c r="S24" s="1067"/>
      <c r="T24" s="1067"/>
      <c r="U24" s="1067"/>
      <c r="V24" s="1067"/>
      <c r="W24" s="1067"/>
      <c r="AC24" s="192">
        <f>'upper bound Kenaga'!C106</f>
        <v>35</v>
      </c>
      <c r="AD24" s="189">
        <f>AD16</f>
        <v>0</v>
      </c>
      <c r="AE24" s="1100"/>
      <c r="AF24" s="1101"/>
      <c r="AG24" s="1091"/>
      <c r="AH24" s="189" t="str">
        <f>'LD50 ft-2'!D35</f>
        <v>N/A</v>
      </c>
      <c r="AI24" s="189" t="str">
        <f>'LD50 ft-2'!I35</f>
        <v>N/A</v>
      </c>
      <c r="AJ24" s="196" t="e">
        <f>'LD50 ft-2'!D50</f>
        <v>#DIV/0!</v>
      </c>
      <c r="AL24" s="202" t="s">
        <v>327</v>
      </c>
      <c r="AM24" s="214" t="e">
        <f>'Granular Characterization Calcs'!C25</f>
        <v>#DIV/0!</v>
      </c>
    </row>
    <row r="25" spans="1:39" ht="25.5">
      <c r="AC25" s="192">
        <f>'upper bound Kenaga'!C107</f>
        <v>1000</v>
      </c>
      <c r="AD25" s="189">
        <f>AD17</f>
        <v>0</v>
      </c>
      <c r="AE25" s="1100"/>
      <c r="AF25" s="1101"/>
      <c r="AG25" s="1092"/>
      <c r="AH25" s="189" t="str">
        <f>'LD50 ft-2'!D36</f>
        <v>N/A</v>
      </c>
      <c r="AI25" s="189" t="str">
        <f>'LD50 ft-2'!I36</f>
        <v>N/A</v>
      </c>
      <c r="AJ25" s="196" t="e">
        <f>'LD50 ft-2'!D51</f>
        <v>#DIV/0!</v>
      </c>
      <c r="AL25" s="202" t="s">
        <v>326</v>
      </c>
      <c r="AM25" s="214" t="e">
        <f>'Granular Characterization Calcs'!C26</f>
        <v>#DIV/0!</v>
      </c>
    </row>
    <row r="26" spans="1:39" ht="15.75">
      <c r="A26" s="1063" t="s">
        <v>348</v>
      </c>
      <c r="B26" s="1063"/>
      <c r="C26" s="1063"/>
      <c r="D26" s="1063"/>
      <c r="E26" s="1063"/>
      <c r="F26" s="1063"/>
      <c r="G26" s="1063"/>
      <c r="H26" s="1063"/>
      <c r="I26" s="1063"/>
      <c r="J26" s="1063"/>
      <c r="K26" s="1063"/>
      <c r="O26" s="1063" t="s">
        <v>342</v>
      </c>
      <c r="P26" s="1063"/>
      <c r="Q26" s="1063"/>
      <c r="R26" s="1063"/>
      <c r="S26" s="1063"/>
      <c r="T26" s="1063"/>
      <c r="U26" s="1063"/>
      <c r="V26" s="1063"/>
      <c r="W26" s="1063"/>
      <c r="X26" s="1063"/>
      <c r="Y26" s="1063"/>
      <c r="AL26" s="1111" t="str">
        <f>AL16</f>
        <v xml:space="preserve">Minimum Foraging Area Needed to Allow for Ingestion of Sufficient Mass of a.i. to Achieve LOC Exceedance </v>
      </c>
      <c r="AM26" s="1112"/>
    </row>
    <row r="27" spans="1:39" ht="26.25">
      <c r="A27" s="1079" t="s">
        <v>294</v>
      </c>
      <c r="B27" s="1064" t="s">
        <v>289</v>
      </c>
      <c r="C27" s="1064"/>
      <c r="D27" s="1064"/>
      <c r="E27" s="1064"/>
      <c r="F27" s="1064"/>
      <c r="G27" s="1064"/>
      <c r="H27" s="1064"/>
      <c r="I27" s="1064"/>
      <c r="J27" s="1064"/>
      <c r="K27" s="1064"/>
      <c r="O27" s="1079" t="s">
        <v>294</v>
      </c>
      <c r="P27" s="1064" t="s">
        <v>289</v>
      </c>
      <c r="Q27" s="1064"/>
      <c r="R27" s="1064"/>
      <c r="S27" s="1064"/>
      <c r="T27" s="1064"/>
      <c r="U27" s="1064"/>
      <c r="V27" s="1064"/>
      <c r="W27" s="1064"/>
      <c r="X27" s="1064"/>
      <c r="Y27" s="1064"/>
      <c r="AE27" s="213"/>
      <c r="AL27" s="197" t="s">
        <v>322</v>
      </c>
      <c r="AM27" s="196" t="e">
        <f>'Granular Characterization Calcs'!C31</f>
        <v>#DIV/0!</v>
      </c>
    </row>
    <row r="28" spans="1:39" ht="42" customHeight="1">
      <c r="A28" s="1079"/>
      <c r="B28" s="1060" t="s">
        <v>27</v>
      </c>
      <c r="C28" s="1060"/>
      <c r="D28" s="1060" t="s">
        <v>23</v>
      </c>
      <c r="E28" s="1060"/>
      <c r="F28" s="1065" t="s">
        <v>421</v>
      </c>
      <c r="G28" s="1060"/>
      <c r="H28" s="1065" t="s">
        <v>584</v>
      </c>
      <c r="I28" s="1066"/>
      <c r="J28" s="1061" t="s">
        <v>414</v>
      </c>
      <c r="K28" s="1062"/>
      <c r="O28" s="1079"/>
      <c r="P28" s="1060" t="s">
        <v>27</v>
      </c>
      <c r="Q28" s="1060"/>
      <c r="R28" s="1060" t="s">
        <v>23</v>
      </c>
      <c r="S28" s="1060"/>
      <c r="T28" s="1065" t="s">
        <v>421</v>
      </c>
      <c r="U28" s="1060"/>
      <c r="V28" s="1065" t="s">
        <v>584</v>
      </c>
      <c r="W28" s="1066"/>
      <c r="X28" s="1061" t="s">
        <v>414</v>
      </c>
      <c r="Y28" s="1062"/>
      <c r="AE28" s="213"/>
      <c r="AL28" s="197" t="s">
        <v>323</v>
      </c>
      <c r="AM28" s="196" t="e">
        <f>'Granular Characterization Calcs'!C32</f>
        <v>#DIV/0!</v>
      </c>
    </row>
    <row r="29" spans="1:39" ht="26.25">
      <c r="A29" s="1080"/>
      <c r="B29" s="188" t="s">
        <v>286</v>
      </c>
      <c r="C29" s="188" t="s">
        <v>288</v>
      </c>
      <c r="D29" s="188" t="s">
        <v>286</v>
      </c>
      <c r="E29" s="188" t="s">
        <v>288</v>
      </c>
      <c r="F29" s="188" t="s">
        <v>286</v>
      </c>
      <c r="G29" s="188" t="s">
        <v>288</v>
      </c>
      <c r="H29" s="188" t="s">
        <v>286</v>
      </c>
      <c r="I29" s="188" t="s">
        <v>288</v>
      </c>
      <c r="J29" s="188" t="s">
        <v>286</v>
      </c>
      <c r="K29" s="188" t="s">
        <v>288</v>
      </c>
      <c r="O29" s="1080"/>
      <c r="P29" s="188" t="s">
        <v>286</v>
      </c>
      <c r="Q29" s="188" t="s">
        <v>288</v>
      </c>
      <c r="R29" s="188" t="s">
        <v>286</v>
      </c>
      <c r="S29" s="188" t="s">
        <v>288</v>
      </c>
      <c r="T29" s="188" t="s">
        <v>286</v>
      </c>
      <c r="U29" s="188" t="s">
        <v>288</v>
      </c>
      <c r="V29" s="188" t="s">
        <v>286</v>
      </c>
      <c r="W29" s="188" t="s">
        <v>288</v>
      </c>
      <c r="X29" s="188" t="s">
        <v>286</v>
      </c>
      <c r="Y29" s="188" t="s">
        <v>288</v>
      </c>
      <c r="AE29" s="213"/>
      <c r="AL29" s="197" t="s">
        <v>324</v>
      </c>
      <c r="AM29" s="196" t="e">
        <f>'Granular Characterization Calcs'!C33</f>
        <v>#DIV/0!</v>
      </c>
    </row>
    <row r="30" spans="1:39" ht="15.75">
      <c r="A30" s="192">
        <f>'upper bound Kenaga'!$D$18</f>
        <v>0</v>
      </c>
      <c r="B30" s="189" t="e">
        <f>'upper bound Kenaga'!$B$27</f>
        <v>#DIV/0!</v>
      </c>
      <c r="C30" s="189" t="e">
        <f>'upper bound Kenaga'!$C$79</f>
        <v>#DIV/0!</v>
      </c>
      <c r="D30" s="189" t="e">
        <f>'upper bound Kenaga'!$B$28</f>
        <v>#DIV/0!</v>
      </c>
      <c r="E30" s="189" t="e">
        <f>'upper bound Kenaga'!$C$80</f>
        <v>#DIV/0!</v>
      </c>
      <c r="F30" s="189" t="e">
        <f>'upper bound Kenaga'!$B$29</f>
        <v>#DIV/0!</v>
      </c>
      <c r="G30" s="189" t="e">
        <f>'upper bound Kenaga'!$C$81</f>
        <v>#DIV/0!</v>
      </c>
      <c r="H30" s="189" t="e">
        <f>'upper bound Kenaga'!$B$30</f>
        <v>#DIV/0!</v>
      </c>
      <c r="I30" s="189" t="e">
        <f>'upper bound Kenaga'!$C$82</f>
        <v>#DIV/0!</v>
      </c>
      <c r="J30" s="196" t="e">
        <f>'upper bound Kenaga'!$B$31</f>
        <v>#DIV/0!</v>
      </c>
      <c r="K30" s="196" t="e">
        <f>'upper bound Kenaga'!$C$83</f>
        <v>#DIV/0!</v>
      </c>
      <c r="O30" s="192">
        <f>'Mean Kenaga'!$D$18</f>
        <v>0</v>
      </c>
      <c r="P30" s="189" t="e">
        <f>'Mean Kenaga'!$B$27</f>
        <v>#DIV/0!</v>
      </c>
      <c r="Q30" s="189" t="e">
        <f>'Mean Kenaga'!$C$79</f>
        <v>#DIV/0!</v>
      </c>
      <c r="R30" s="189" t="e">
        <f>'Mean Kenaga'!$B$28</f>
        <v>#DIV/0!</v>
      </c>
      <c r="S30" s="189" t="e">
        <f>'Mean Kenaga'!$C$80</f>
        <v>#DIV/0!</v>
      </c>
      <c r="T30" s="189" t="e">
        <f>'Mean Kenaga'!$B$29</f>
        <v>#DIV/0!</v>
      </c>
      <c r="U30" s="189" t="e">
        <f>'Mean Kenaga'!$C$81</f>
        <v>#DIV/0!</v>
      </c>
      <c r="V30" s="189" t="e">
        <f>'Mean Kenaga'!$B$30</f>
        <v>#DIV/0!</v>
      </c>
      <c r="W30" s="189" t="e">
        <f>'Mean Kenaga'!$C$82</f>
        <v>#DIV/0!</v>
      </c>
      <c r="X30" s="196" t="e">
        <f>'Mean Kenaga'!$B$31</f>
        <v>#DIV/0!</v>
      </c>
      <c r="Y30" s="196" t="e">
        <f>'Mean Kenaga'!$C$83</f>
        <v>#DIV/0!</v>
      </c>
      <c r="AE30" s="213"/>
    </row>
    <row r="31" spans="1:39" ht="15.75">
      <c r="A31" s="1067" t="s">
        <v>293</v>
      </c>
      <c r="B31" s="1067"/>
      <c r="C31" s="1067"/>
      <c r="D31" s="1067"/>
      <c r="E31" s="1067"/>
      <c r="F31" s="1067"/>
      <c r="G31" s="1067"/>
      <c r="H31" s="1067"/>
      <c r="I31" s="1067"/>
      <c r="O31" s="1067" t="s">
        <v>293</v>
      </c>
      <c r="P31" s="1067"/>
      <c r="Q31" s="1067"/>
      <c r="R31" s="1067"/>
      <c r="S31" s="1067"/>
      <c r="T31" s="1067"/>
      <c r="U31" s="1067"/>
      <c r="V31" s="1067"/>
      <c r="W31" s="1067"/>
      <c r="AE31" s="213"/>
    </row>
    <row r="32" spans="1:39" ht="15.75">
      <c r="AE32" s="213"/>
    </row>
    <row r="33" spans="1:31" ht="15.75">
      <c r="A33" s="1086" t="s">
        <v>349</v>
      </c>
      <c r="B33" s="1087"/>
      <c r="C33" s="1087"/>
      <c r="D33" s="1087"/>
      <c r="E33" s="1087"/>
      <c r="F33" s="1087"/>
      <c r="G33" s="1087"/>
      <c r="H33" s="1087"/>
      <c r="I33" s="1087"/>
      <c r="J33" s="1088"/>
      <c r="K33" s="1088"/>
      <c r="L33" s="1088"/>
      <c r="M33" s="1074"/>
      <c r="N33" s="1075"/>
      <c r="O33" s="1064" t="s">
        <v>313</v>
      </c>
      <c r="P33" s="1081"/>
      <c r="Q33" s="1081"/>
      <c r="R33" s="1081"/>
      <c r="S33" s="1081"/>
      <c r="T33" s="1081"/>
      <c r="U33" s="1081"/>
      <c r="V33" s="1081"/>
      <c r="W33" s="1081"/>
      <c r="X33" s="1082"/>
      <c r="Y33" s="1082"/>
      <c r="Z33" s="1082"/>
      <c r="AA33" s="835"/>
      <c r="AB33" s="835"/>
      <c r="AE33" s="213"/>
    </row>
    <row r="34" spans="1:31" ht="15.75">
      <c r="A34" s="1068" t="s">
        <v>290</v>
      </c>
      <c r="B34" s="1068" t="s">
        <v>332</v>
      </c>
      <c r="C34" s="1070" t="s">
        <v>289</v>
      </c>
      <c r="D34" s="1071"/>
      <c r="E34" s="1072"/>
      <c r="F34" s="1072"/>
      <c r="G34" s="1072"/>
      <c r="H34" s="1072"/>
      <c r="I34" s="1072"/>
      <c r="J34" s="1073"/>
      <c r="K34" s="1073"/>
      <c r="L34" s="1073"/>
      <c r="M34" s="1074"/>
      <c r="N34" s="1075"/>
      <c r="O34" s="1068" t="s">
        <v>290</v>
      </c>
      <c r="P34" s="1068" t="s">
        <v>291</v>
      </c>
      <c r="Q34" s="1064" t="s">
        <v>289</v>
      </c>
      <c r="R34" s="1064"/>
      <c r="S34" s="1081"/>
      <c r="T34" s="1081"/>
      <c r="U34" s="1081"/>
      <c r="V34" s="1081"/>
      <c r="W34" s="1081"/>
      <c r="X34" s="1082"/>
      <c r="Y34" s="1082"/>
      <c r="Z34" s="1082"/>
      <c r="AA34" s="835"/>
      <c r="AB34" s="835"/>
      <c r="AE34" s="213"/>
    </row>
    <row r="35" spans="1:31" ht="43.5" customHeight="1">
      <c r="A35" s="1083"/>
      <c r="B35" s="1083"/>
      <c r="C35" s="1060" t="s">
        <v>27</v>
      </c>
      <c r="D35" s="1060"/>
      <c r="E35" s="1060" t="s">
        <v>23</v>
      </c>
      <c r="F35" s="1060"/>
      <c r="G35" s="1065" t="s">
        <v>421</v>
      </c>
      <c r="H35" s="1060"/>
      <c r="I35" s="1065" t="s">
        <v>584</v>
      </c>
      <c r="J35" s="1066"/>
      <c r="K35" s="1061" t="s">
        <v>414</v>
      </c>
      <c r="L35" s="1062"/>
      <c r="M35" s="1061" t="s">
        <v>330</v>
      </c>
      <c r="N35" s="1089"/>
      <c r="O35" s="1083"/>
      <c r="P35" s="1083"/>
      <c r="Q35" s="1060" t="s">
        <v>27</v>
      </c>
      <c r="R35" s="1060"/>
      <c r="S35" s="1060" t="s">
        <v>23</v>
      </c>
      <c r="T35" s="1060"/>
      <c r="U35" s="1065" t="s">
        <v>421</v>
      </c>
      <c r="V35" s="1060"/>
      <c r="W35" s="1065" t="s">
        <v>584</v>
      </c>
      <c r="X35" s="1066"/>
      <c r="Y35" s="1061" t="s">
        <v>414</v>
      </c>
      <c r="Z35" s="1062"/>
      <c r="AA35" s="1060" t="s">
        <v>330</v>
      </c>
      <c r="AB35" s="1113"/>
      <c r="AC35" s="213"/>
      <c r="AD35" s="213"/>
      <c r="AE35" s="213"/>
    </row>
    <row r="36" spans="1:31">
      <c r="A36" s="1083"/>
      <c r="B36" s="1083"/>
      <c r="C36" s="188" t="s">
        <v>286</v>
      </c>
      <c r="D36" s="188" t="s">
        <v>288</v>
      </c>
      <c r="E36" s="188" t="s">
        <v>286</v>
      </c>
      <c r="F36" s="188" t="s">
        <v>288</v>
      </c>
      <c r="G36" s="188" t="s">
        <v>286</v>
      </c>
      <c r="H36" s="188" t="s">
        <v>288</v>
      </c>
      <c r="I36" s="188" t="s">
        <v>286</v>
      </c>
      <c r="J36" s="188" t="s">
        <v>288</v>
      </c>
      <c r="K36" s="188" t="s">
        <v>286</v>
      </c>
      <c r="L36" s="188" t="s">
        <v>288</v>
      </c>
      <c r="M36" s="188" t="s">
        <v>286</v>
      </c>
      <c r="N36" s="188" t="s">
        <v>288</v>
      </c>
      <c r="O36" s="1083"/>
      <c r="P36" s="1083"/>
      <c r="Q36" s="188" t="s">
        <v>286</v>
      </c>
      <c r="R36" s="188" t="s">
        <v>288</v>
      </c>
      <c r="S36" s="188" t="s">
        <v>286</v>
      </c>
      <c r="T36" s="188" t="s">
        <v>288</v>
      </c>
      <c r="U36" s="188" t="s">
        <v>286</v>
      </c>
      <c r="V36" s="188" t="s">
        <v>288</v>
      </c>
      <c r="W36" s="188" t="s">
        <v>286</v>
      </c>
      <c r="X36" s="188" t="s">
        <v>288</v>
      </c>
      <c r="Y36" s="188" t="s">
        <v>286</v>
      </c>
      <c r="Z36" s="188" t="s">
        <v>288</v>
      </c>
      <c r="AA36" s="188" t="s">
        <v>286</v>
      </c>
      <c r="AB36" s="188" t="s">
        <v>288</v>
      </c>
    </row>
    <row r="37" spans="1:31">
      <c r="A37" s="614">
        <f>'upper bound Kenaga'!$C$96</f>
        <v>15</v>
      </c>
      <c r="B37" s="189">
        <f>'upper bound Kenaga'!$D$105</f>
        <v>0</v>
      </c>
      <c r="C37" s="189" t="e">
        <f>'upper bound Kenaga'!$B$115</f>
        <v>#DIV/0!</v>
      </c>
      <c r="D37" s="189" t="e">
        <f>'upper bound Kenaga'!$B$128</f>
        <v>#DIV/0!</v>
      </c>
      <c r="E37" s="189" t="e">
        <f>'upper bound Kenaga'!$B$116</f>
        <v>#DIV/0!</v>
      </c>
      <c r="F37" s="189" t="e">
        <f>'upper bound Kenaga'!$B$129</f>
        <v>#DIV/0!</v>
      </c>
      <c r="G37" s="189" t="e">
        <f>'upper bound Kenaga'!$B$117</f>
        <v>#DIV/0!</v>
      </c>
      <c r="H37" s="189" t="e">
        <f>'upper bound Kenaga'!$B$130</f>
        <v>#DIV/0!</v>
      </c>
      <c r="I37" s="189" t="e">
        <f>'upper bound Kenaga'!$B$118</f>
        <v>#DIV/0!</v>
      </c>
      <c r="J37" s="189" t="e">
        <f>'upper bound Kenaga'!$B$131</f>
        <v>#DIV/0!</v>
      </c>
      <c r="K37" s="614" t="e">
        <f>'upper bound Kenaga'!$B$119</f>
        <v>#DIV/0!</v>
      </c>
      <c r="L37" s="614" t="e">
        <f>'upper bound Kenaga'!$B$132</f>
        <v>#DIV/0!</v>
      </c>
      <c r="M37" s="614" t="e">
        <f>'upper bound Kenaga'!$B$120</f>
        <v>#DIV/0!</v>
      </c>
      <c r="N37" s="614" t="e">
        <f>'upper bound Kenaga'!$B$133</f>
        <v>#DIV/0!</v>
      </c>
      <c r="O37" s="614">
        <f>'Mean Kenaga'!$C$96</f>
        <v>15</v>
      </c>
      <c r="P37" s="189">
        <f>'Mean Kenaga'!$D$105</f>
        <v>0</v>
      </c>
      <c r="Q37" s="189" t="e">
        <f>'Mean Kenaga'!$B$115</f>
        <v>#DIV/0!</v>
      </c>
      <c r="R37" s="189" t="e">
        <f>'Mean Kenaga'!$B$128</f>
        <v>#DIV/0!</v>
      </c>
      <c r="S37" s="189" t="e">
        <f>'Mean Kenaga'!$B$116</f>
        <v>#DIV/0!</v>
      </c>
      <c r="T37" s="189" t="e">
        <f>'Mean Kenaga'!$B$129</f>
        <v>#DIV/0!</v>
      </c>
      <c r="U37" s="189" t="e">
        <f>'Mean Kenaga'!$B$117</f>
        <v>#DIV/0!</v>
      </c>
      <c r="V37" s="189" t="e">
        <f>'Mean Kenaga'!$B$130</f>
        <v>#DIV/0!</v>
      </c>
      <c r="W37" s="189" t="e">
        <f>'Mean Kenaga'!$B$118</f>
        <v>#DIV/0!</v>
      </c>
      <c r="X37" s="189" t="e">
        <f>'Mean Kenaga'!$B$131</f>
        <v>#DIV/0!</v>
      </c>
      <c r="Y37" s="189" t="e">
        <f>'Mean Kenaga'!$B$119</f>
        <v>#DIV/0!</v>
      </c>
      <c r="Z37" s="189" t="e">
        <f>'Mean Kenaga'!$B$132</f>
        <v>#DIV/0!</v>
      </c>
      <c r="AA37" s="189" t="e">
        <f>'Mean Kenaga'!$B$120</f>
        <v>#DIV/0!</v>
      </c>
      <c r="AB37" s="189" t="e">
        <f>'Mean Kenaga'!$B$133</f>
        <v>#DIV/0!</v>
      </c>
    </row>
    <row r="38" spans="1:31">
      <c r="A38" s="614">
        <f>'upper bound Kenaga'!$C$97</f>
        <v>35</v>
      </c>
      <c r="B38" s="189">
        <f>'upper bound Kenaga'!$D$106</f>
        <v>0</v>
      </c>
      <c r="C38" s="189" t="e">
        <f>'upper bound Kenaga'!$C$115</f>
        <v>#DIV/0!</v>
      </c>
      <c r="D38" s="189" t="e">
        <f>'upper bound Kenaga'!$D$128</f>
        <v>#DIV/0!</v>
      </c>
      <c r="E38" s="189" t="e">
        <f>'upper bound Kenaga'!$C$116</f>
        <v>#DIV/0!</v>
      </c>
      <c r="F38" s="189" t="e">
        <f>'upper bound Kenaga'!$D$129</f>
        <v>#DIV/0!</v>
      </c>
      <c r="G38" s="189" t="e">
        <f>'upper bound Kenaga'!$C$117</f>
        <v>#DIV/0!</v>
      </c>
      <c r="H38" s="189" t="e">
        <f>'upper bound Kenaga'!$D$130</f>
        <v>#DIV/0!</v>
      </c>
      <c r="I38" s="189" t="e">
        <f>'upper bound Kenaga'!$C$118</f>
        <v>#DIV/0!</v>
      </c>
      <c r="J38" s="189" t="e">
        <f>'upper bound Kenaga'!$D$131</f>
        <v>#DIV/0!</v>
      </c>
      <c r="K38" s="614" t="e">
        <f>'upper bound Kenaga'!$C$119</f>
        <v>#DIV/0!</v>
      </c>
      <c r="L38" s="614" t="e">
        <f>'upper bound Kenaga'!$D$132</f>
        <v>#DIV/0!</v>
      </c>
      <c r="M38" s="614" t="e">
        <f>'upper bound Kenaga'!$C$120</f>
        <v>#DIV/0!</v>
      </c>
      <c r="N38" s="614" t="e">
        <f>'upper bound Kenaga'!$D$133</f>
        <v>#DIV/0!</v>
      </c>
      <c r="O38" s="614">
        <f>'Mean Kenaga'!$C$97</f>
        <v>35</v>
      </c>
      <c r="P38" s="189">
        <f>'Mean Kenaga'!$D$106</f>
        <v>0</v>
      </c>
      <c r="Q38" s="189" t="e">
        <f>'Mean Kenaga'!$C$115</f>
        <v>#DIV/0!</v>
      </c>
      <c r="R38" s="189" t="e">
        <f>'Mean Kenaga'!$D$128</f>
        <v>#DIV/0!</v>
      </c>
      <c r="S38" s="189" t="e">
        <f>'Mean Kenaga'!$C$116</f>
        <v>#DIV/0!</v>
      </c>
      <c r="T38" s="189" t="e">
        <f>'Mean Kenaga'!$D$129</f>
        <v>#DIV/0!</v>
      </c>
      <c r="U38" s="189" t="e">
        <f>'Mean Kenaga'!$C$117</f>
        <v>#DIV/0!</v>
      </c>
      <c r="V38" s="189" t="e">
        <f>'Mean Kenaga'!$D$130</f>
        <v>#DIV/0!</v>
      </c>
      <c r="W38" s="189" t="e">
        <f>'Mean Kenaga'!$C$118</f>
        <v>#DIV/0!</v>
      </c>
      <c r="X38" s="189" t="e">
        <f>'Mean Kenaga'!$D$131</f>
        <v>#DIV/0!</v>
      </c>
      <c r="Y38" s="189" t="e">
        <f>'Mean Kenaga'!$C$119</f>
        <v>#DIV/0!</v>
      </c>
      <c r="Z38" s="189" t="e">
        <f>'Mean Kenaga'!$D$132</f>
        <v>#DIV/0!</v>
      </c>
      <c r="AA38" s="189" t="e">
        <f>'Mean Kenaga'!$C$120</f>
        <v>#DIV/0!</v>
      </c>
      <c r="AB38" s="189" t="e">
        <f>'Mean Kenaga'!$D$133</f>
        <v>#DIV/0!</v>
      </c>
    </row>
    <row r="39" spans="1:31">
      <c r="A39" s="614">
        <f>'upper bound Kenaga'!$C$98</f>
        <v>1000</v>
      </c>
      <c r="B39" s="189">
        <f>'upper bound Kenaga'!$D$107</f>
        <v>0</v>
      </c>
      <c r="C39" s="189" t="e">
        <f>'upper bound Kenaga'!$D$115</f>
        <v>#DIV/0!</v>
      </c>
      <c r="D39" s="189" t="e">
        <f>'upper bound Kenaga'!$F$128</f>
        <v>#DIV/0!</v>
      </c>
      <c r="E39" s="189" t="e">
        <f>'upper bound Kenaga'!$D$116</f>
        <v>#DIV/0!</v>
      </c>
      <c r="F39" s="189" t="e">
        <f>'upper bound Kenaga'!$F$129</f>
        <v>#DIV/0!</v>
      </c>
      <c r="G39" s="189" t="e">
        <f>'upper bound Kenaga'!$D$117</f>
        <v>#DIV/0!</v>
      </c>
      <c r="H39" s="189" t="e">
        <f>'upper bound Kenaga'!$F$130</f>
        <v>#DIV/0!</v>
      </c>
      <c r="I39" s="189" t="e">
        <f>'upper bound Kenaga'!$D$118</f>
        <v>#DIV/0!</v>
      </c>
      <c r="J39" s="189" t="e">
        <f>'upper bound Kenaga'!$F$131</f>
        <v>#DIV/0!</v>
      </c>
      <c r="K39" s="614" t="e">
        <f>'upper bound Kenaga'!$D$119</f>
        <v>#DIV/0!</v>
      </c>
      <c r="L39" s="614" t="e">
        <f>'upper bound Kenaga'!$F$132</f>
        <v>#DIV/0!</v>
      </c>
      <c r="M39" s="614" t="e">
        <f>'upper bound Kenaga'!$D$120</f>
        <v>#DIV/0!</v>
      </c>
      <c r="N39" s="614" t="e">
        <f>'upper bound Kenaga'!$F$133</f>
        <v>#DIV/0!</v>
      </c>
      <c r="O39" s="614">
        <f>'Mean Kenaga'!$C$98</f>
        <v>1000</v>
      </c>
      <c r="P39" s="189">
        <f>'Mean Kenaga'!$D$107</f>
        <v>0</v>
      </c>
      <c r="Q39" s="189" t="e">
        <f>'Mean Kenaga'!$D$115</f>
        <v>#DIV/0!</v>
      </c>
      <c r="R39" s="189" t="e">
        <f>'Mean Kenaga'!$F$128</f>
        <v>#DIV/0!</v>
      </c>
      <c r="S39" s="189" t="e">
        <f>'Mean Kenaga'!$D$116</f>
        <v>#DIV/0!</v>
      </c>
      <c r="T39" s="189" t="e">
        <f>'Mean Kenaga'!$F$129</f>
        <v>#DIV/0!</v>
      </c>
      <c r="U39" s="189" t="e">
        <f>'Mean Kenaga'!$D$117</f>
        <v>#DIV/0!</v>
      </c>
      <c r="V39" s="189" t="e">
        <f>'Mean Kenaga'!$F$130</f>
        <v>#DIV/0!</v>
      </c>
      <c r="W39" s="189" t="e">
        <f>'Mean Kenaga'!$D$118</f>
        <v>#DIV/0!</v>
      </c>
      <c r="X39" s="189" t="e">
        <f>'Mean Kenaga'!$F$131</f>
        <v>#DIV/0!</v>
      </c>
      <c r="Y39" s="189" t="e">
        <f>'Mean Kenaga'!$D$119</f>
        <v>#DIV/0!</v>
      </c>
      <c r="Z39" s="189" t="e">
        <f>'Mean Kenaga'!$F$132</f>
        <v>#DIV/0!</v>
      </c>
      <c r="AA39" s="189" t="e">
        <f>'Mean Kenaga'!$D$120</f>
        <v>#DIV/0!</v>
      </c>
      <c r="AB39" s="189" t="e">
        <f>'Mean Kenaga'!$F$133</f>
        <v>#DIV/0!</v>
      </c>
    </row>
    <row r="40" spans="1:31">
      <c r="A40" s="199"/>
      <c r="B40" s="200"/>
      <c r="C40" s="200"/>
      <c r="D40" s="200"/>
      <c r="E40" s="200"/>
      <c r="F40" s="200"/>
      <c r="G40" s="200"/>
      <c r="H40" s="200"/>
      <c r="I40" s="200"/>
      <c r="J40" s="200"/>
      <c r="K40" s="200"/>
      <c r="L40" s="200"/>
      <c r="M40" s="200"/>
      <c r="O40" s="199"/>
      <c r="P40" s="200"/>
      <c r="Q40" s="200"/>
      <c r="R40" s="201"/>
      <c r="S40" s="200"/>
      <c r="T40" s="201"/>
      <c r="U40" s="200"/>
      <c r="V40" s="201"/>
      <c r="W40" s="200"/>
      <c r="X40" s="201"/>
      <c r="Y40" s="201"/>
      <c r="Z40" s="201"/>
      <c r="AA40" s="201"/>
    </row>
    <row r="41" spans="1:31">
      <c r="A41" s="199"/>
      <c r="B41" s="200"/>
      <c r="C41" s="200"/>
      <c r="D41" s="200"/>
      <c r="E41" s="200"/>
      <c r="F41" s="200"/>
      <c r="G41" s="200"/>
      <c r="H41" s="200"/>
      <c r="I41" s="200"/>
      <c r="J41" s="200"/>
      <c r="K41" s="200"/>
      <c r="L41" s="200"/>
      <c r="M41" s="200"/>
      <c r="O41" s="199"/>
      <c r="P41" s="200"/>
      <c r="Q41" s="200"/>
      <c r="R41" s="201"/>
      <c r="S41" s="200"/>
      <c r="T41" s="201"/>
      <c r="U41" s="200"/>
      <c r="V41" s="201"/>
      <c r="W41" s="200"/>
      <c r="X41" s="201"/>
      <c r="Y41" s="201"/>
      <c r="Z41" s="201"/>
      <c r="AA41" s="201"/>
    </row>
    <row r="42" spans="1:31">
      <c r="A42" s="1063" t="s">
        <v>350</v>
      </c>
      <c r="B42" s="1063"/>
      <c r="C42" s="1063"/>
      <c r="D42" s="1063"/>
      <c r="E42" s="1063"/>
      <c r="F42" s="1063"/>
      <c r="G42" s="1063"/>
      <c r="H42" s="1063"/>
      <c r="I42" s="1063"/>
      <c r="J42" s="1063"/>
      <c r="K42" s="1063"/>
      <c r="L42" s="200"/>
      <c r="M42" s="200"/>
      <c r="O42" s="1063" t="s">
        <v>343</v>
      </c>
      <c r="P42" s="1063"/>
      <c r="Q42" s="1063"/>
      <c r="R42" s="1063"/>
      <c r="S42" s="1063"/>
      <c r="T42" s="1063"/>
      <c r="U42" s="1063"/>
      <c r="V42" s="1063"/>
      <c r="W42" s="1063"/>
      <c r="X42" s="1063"/>
      <c r="Y42" s="1063"/>
      <c r="Z42" s="201"/>
      <c r="AA42" s="201"/>
    </row>
    <row r="43" spans="1:31" ht="12.75" customHeight="1">
      <c r="A43" s="1079" t="s">
        <v>331</v>
      </c>
      <c r="B43" s="1064" t="s">
        <v>289</v>
      </c>
      <c r="C43" s="1064"/>
      <c r="D43" s="1064"/>
      <c r="E43" s="1064"/>
      <c r="F43" s="1064"/>
      <c r="G43" s="1064"/>
      <c r="H43" s="1064"/>
      <c r="I43" s="1064"/>
      <c r="J43" s="1064"/>
      <c r="K43" s="1064"/>
      <c r="L43" s="200"/>
      <c r="M43" s="200"/>
      <c r="O43" s="1079" t="s">
        <v>331</v>
      </c>
      <c r="P43" s="1064" t="s">
        <v>289</v>
      </c>
      <c r="Q43" s="1064"/>
      <c r="R43" s="1064"/>
      <c r="S43" s="1064"/>
      <c r="T43" s="1064"/>
      <c r="U43" s="1064"/>
      <c r="V43" s="1064"/>
      <c r="W43" s="1064"/>
      <c r="X43" s="1064"/>
      <c r="Y43" s="1064"/>
      <c r="Z43" s="201"/>
      <c r="AA43" s="201"/>
    </row>
    <row r="44" spans="1:31" ht="46.5" customHeight="1">
      <c r="A44" s="1079"/>
      <c r="B44" s="1060" t="s">
        <v>27</v>
      </c>
      <c r="C44" s="1060"/>
      <c r="D44" s="1060" t="s">
        <v>23</v>
      </c>
      <c r="E44" s="1060"/>
      <c r="F44" s="1065" t="s">
        <v>421</v>
      </c>
      <c r="G44" s="1060"/>
      <c r="H44" s="1065" t="s">
        <v>584</v>
      </c>
      <c r="I44" s="1066"/>
      <c r="J44" s="1060" t="s">
        <v>414</v>
      </c>
      <c r="K44" s="1060"/>
      <c r="L44" s="200"/>
      <c r="M44" s="200"/>
      <c r="O44" s="1079"/>
      <c r="P44" s="1060" t="s">
        <v>27</v>
      </c>
      <c r="Q44" s="1060"/>
      <c r="R44" s="1060" t="s">
        <v>23</v>
      </c>
      <c r="S44" s="1060"/>
      <c r="T44" s="1065" t="s">
        <v>421</v>
      </c>
      <c r="U44" s="1060"/>
      <c r="V44" s="1065" t="s">
        <v>584</v>
      </c>
      <c r="W44" s="1066"/>
      <c r="X44" s="1060" t="s">
        <v>414</v>
      </c>
      <c r="Y44" s="1060"/>
      <c r="Z44" s="201"/>
      <c r="AA44" s="201"/>
    </row>
    <row r="45" spans="1:31">
      <c r="A45" s="1080"/>
      <c r="B45" s="188" t="s">
        <v>286</v>
      </c>
      <c r="C45" s="188" t="s">
        <v>288</v>
      </c>
      <c r="D45" s="188" t="s">
        <v>286</v>
      </c>
      <c r="E45" s="188" t="s">
        <v>288</v>
      </c>
      <c r="F45" s="188" t="s">
        <v>286</v>
      </c>
      <c r="G45" s="188" t="s">
        <v>288</v>
      </c>
      <c r="H45" s="188" t="s">
        <v>286</v>
      </c>
      <c r="I45" s="188" t="s">
        <v>288</v>
      </c>
      <c r="J45" s="188" t="s">
        <v>286</v>
      </c>
      <c r="K45" s="188" t="s">
        <v>288</v>
      </c>
      <c r="L45" s="200"/>
      <c r="M45" s="200"/>
      <c r="O45" s="1080"/>
      <c r="P45" s="188" t="s">
        <v>286</v>
      </c>
      <c r="Q45" s="188" t="s">
        <v>288</v>
      </c>
      <c r="R45" s="188" t="s">
        <v>286</v>
      </c>
      <c r="S45" s="188" t="s">
        <v>288</v>
      </c>
      <c r="T45" s="188" t="s">
        <v>286</v>
      </c>
      <c r="U45" s="188" t="s">
        <v>288</v>
      </c>
      <c r="V45" s="188" t="s">
        <v>286</v>
      </c>
      <c r="W45" s="188" t="s">
        <v>288</v>
      </c>
      <c r="X45" s="188" t="s">
        <v>286</v>
      </c>
      <c r="Y45" s="188" t="s">
        <v>288</v>
      </c>
      <c r="Z45" s="201"/>
      <c r="AA45" s="201"/>
    </row>
    <row r="46" spans="1:31" ht="27.75" customHeight="1">
      <c r="A46" s="192">
        <f>'upper bound Kenaga'!$D$21</f>
        <v>0</v>
      </c>
      <c r="B46" s="189" t="e">
        <f>'upper bound Kenaga'!$B$27</f>
        <v>#DIV/0!</v>
      </c>
      <c r="C46" s="189" t="e">
        <f>'upper bound Kenaga'!$B$140</f>
        <v>#DIV/0!</v>
      </c>
      <c r="D46" s="189" t="e">
        <f>'upper bound Kenaga'!$B$28</f>
        <v>#DIV/0!</v>
      </c>
      <c r="E46" s="189" t="e">
        <f>'upper bound Kenaga'!$B$141</f>
        <v>#DIV/0!</v>
      </c>
      <c r="F46" s="189" t="e">
        <f>'upper bound Kenaga'!$B$29</f>
        <v>#DIV/0!</v>
      </c>
      <c r="G46" s="189" t="e">
        <f>'upper bound Kenaga'!$B$142</f>
        <v>#DIV/0!</v>
      </c>
      <c r="H46" s="189" t="e">
        <f>'upper bound Kenaga'!$B$30</f>
        <v>#DIV/0!</v>
      </c>
      <c r="I46" s="189" t="e">
        <f>'upper bound Kenaga'!$B$143</f>
        <v>#DIV/0!</v>
      </c>
      <c r="J46" s="189" t="e">
        <f>'upper bound Kenaga'!$B$31</f>
        <v>#DIV/0!</v>
      </c>
      <c r="K46" s="189" t="e">
        <f>'upper bound Kenaga'!$B$144</f>
        <v>#DIV/0!</v>
      </c>
      <c r="L46" s="200"/>
      <c r="M46" s="200"/>
      <c r="O46" s="192">
        <f>'Mean Kenaga'!$D$21</f>
        <v>0</v>
      </c>
      <c r="P46" s="189" t="e">
        <f>'Mean Kenaga'!$B$27</f>
        <v>#DIV/0!</v>
      </c>
      <c r="Q46" s="189" t="e">
        <f>'Mean Kenaga'!$B$140</f>
        <v>#DIV/0!</v>
      </c>
      <c r="R46" s="189" t="e">
        <f>'Mean Kenaga'!$B$28</f>
        <v>#DIV/0!</v>
      </c>
      <c r="S46" s="189" t="e">
        <f>'Mean Kenaga'!$B$141</f>
        <v>#DIV/0!</v>
      </c>
      <c r="T46" s="189" t="e">
        <f>'Mean Kenaga'!$B$29</f>
        <v>#DIV/0!</v>
      </c>
      <c r="U46" s="189" t="e">
        <f>'Mean Kenaga'!$B$142</f>
        <v>#DIV/0!</v>
      </c>
      <c r="V46" s="189" t="e">
        <f>'Mean Kenaga'!$B$30</f>
        <v>#DIV/0!</v>
      </c>
      <c r="W46" s="189" t="e">
        <f>'Mean Kenaga'!$B$143</f>
        <v>#DIV/0!</v>
      </c>
      <c r="X46" s="189" t="e">
        <f>'Mean Kenaga'!$B$31</f>
        <v>#DIV/0!</v>
      </c>
      <c r="Y46" s="189" t="e">
        <f>'Mean Kenaga'!$B$144</f>
        <v>#DIV/0!</v>
      </c>
      <c r="Z46" s="201"/>
      <c r="AA46" s="201"/>
    </row>
    <row r="47" spans="1:31" ht="22.5" customHeight="1">
      <c r="A47" s="1067" t="s">
        <v>293</v>
      </c>
      <c r="B47" s="1067"/>
      <c r="C47" s="1067"/>
      <c r="D47" s="1067"/>
      <c r="E47" s="1067"/>
      <c r="F47" s="1067"/>
      <c r="G47" s="1067"/>
      <c r="H47" s="1067"/>
      <c r="I47" s="1067"/>
      <c r="J47" s="200"/>
      <c r="K47" s="200"/>
      <c r="L47" s="200"/>
      <c r="M47" s="200"/>
      <c r="O47" s="1067" t="s">
        <v>293</v>
      </c>
      <c r="P47" s="1067"/>
      <c r="Q47" s="1067"/>
      <c r="R47" s="1067"/>
      <c r="S47" s="1067"/>
      <c r="T47" s="1067"/>
      <c r="U47" s="1067"/>
      <c r="V47" s="1067"/>
      <c r="W47" s="1067"/>
      <c r="X47" s="201"/>
      <c r="Y47" s="201"/>
      <c r="Z47" s="201"/>
      <c r="AA47" s="201"/>
    </row>
    <row r="48" spans="1:31">
      <c r="A48" s="199"/>
      <c r="B48" s="200"/>
      <c r="C48" s="200"/>
      <c r="D48" s="200"/>
      <c r="E48" s="200"/>
      <c r="F48" s="200"/>
      <c r="G48" s="200"/>
      <c r="H48" s="200"/>
      <c r="I48" s="200"/>
      <c r="J48" s="200"/>
      <c r="K48" s="200"/>
      <c r="L48" s="200"/>
      <c r="M48" s="200"/>
      <c r="O48" s="199"/>
      <c r="P48" s="200"/>
      <c r="Q48" s="200"/>
      <c r="R48" s="201"/>
      <c r="S48" s="200"/>
      <c r="T48" s="201"/>
      <c r="U48" s="200"/>
      <c r="V48" s="201"/>
      <c r="W48" s="200"/>
      <c r="X48" s="201"/>
      <c r="Y48" s="201"/>
      <c r="Z48" s="201"/>
      <c r="AA48" s="201"/>
    </row>
    <row r="49" spans="1:39" ht="12.75" customHeight="1">
      <c r="A49" s="199"/>
      <c r="B49" s="200"/>
      <c r="C49" s="200"/>
      <c r="D49" s="200"/>
      <c r="E49" s="200"/>
      <c r="F49" s="200"/>
      <c r="G49" s="200"/>
      <c r="H49" s="200"/>
      <c r="I49" s="200"/>
      <c r="J49" s="200"/>
      <c r="K49" s="200"/>
      <c r="L49" s="200"/>
      <c r="M49" s="200"/>
      <c r="O49" s="199"/>
      <c r="P49" s="200"/>
      <c r="Q49" s="200"/>
      <c r="R49" s="201"/>
      <c r="S49" s="200"/>
      <c r="T49" s="201"/>
      <c r="U49" s="200"/>
      <c r="V49" s="201"/>
      <c r="W49" s="200"/>
      <c r="X49" s="201"/>
      <c r="Y49" s="201"/>
      <c r="Z49" s="201"/>
      <c r="AA49" s="201"/>
    </row>
    <row r="50" spans="1:39">
      <c r="A50" s="1063" t="s">
        <v>351</v>
      </c>
      <c r="B50" s="1063"/>
      <c r="C50" s="1063"/>
      <c r="D50" s="1063"/>
      <c r="E50" s="1063"/>
      <c r="F50" s="1063"/>
      <c r="G50" s="1063"/>
      <c r="H50" s="1063"/>
      <c r="I50" s="1063"/>
      <c r="J50" s="1063"/>
      <c r="K50" s="1063"/>
      <c r="O50" s="1063" t="s">
        <v>344</v>
      </c>
      <c r="P50" s="1063"/>
      <c r="Q50" s="1063"/>
      <c r="R50" s="1063"/>
      <c r="S50" s="1063"/>
      <c r="T50" s="1063"/>
      <c r="U50" s="1063"/>
      <c r="V50" s="1063"/>
      <c r="W50" s="1063"/>
      <c r="X50" s="1063"/>
      <c r="Y50" s="1063"/>
    </row>
    <row r="51" spans="1:39">
      <c r="A51" s="1068" t="s">
        <v>294</v>
      </c>
      <c r="B51" s="1064" t="s">
        <v>289</v>
      </c>
      <c r="C51" s="1064"/>
      <c r="D51" s="1064"/>
      <c r="E51" s="1064"/>
      <c r="F51" s="1064"/>
      <c r="G51" s="1064"/>
      <c r="H51" s="1064"/>
      <c r="I51" s="1064"/>
      <c r="J51" s="1064"/>
      <c r="K51" s="1064"/>
      <c r="O51" s="1068" t="s">
        <v>294</v>
      </c>
      <c r="P51" s="1064" t="s">
        <v>289</v>
      </c>
      <c r="Q51" s="1064"/>
      <c r="R51" s="1064"/>
      <c r="S51" s="1064"/>
      <c r="T51" s="1064"/>
      <c r="U51" s="1064"/>
      <c r="V51" s="1064"/>
      <c r="W51" s="1064"/>
      <c r="X51" s="1064"/>
      <c r="Y51" s="1064"/>
      <c r="AM51" s="193"/>
    </row>
    <row r="52" spans="1:39" ht="12.75" customHeight="1">
      <c r="A52" s="1068"/>
      <c r="B52" s="1060" t="s">
        <v>27</v>
      </c>
      <c r="C52" s="1060"/>
      <c r="D52" s="1060" t="s">
        <v>23</v>
      </c>
      <c r="E52" s="1060"/>
      <c r="F52" s="1065" t="s">
        <v>421</v>
      </c>
      <c r="G52" s="1060"/>
      <c r="H52" s="1065" t="s">
        <v>422</v>
      </c>
      <c r="I52" s="1066"/>
      <c r="J52" s="1060" t="s">
        <v>414</v>
      </c>
      <c r="K52" s="1060"/>
      <c r="O52" s="1068"/>
      <c r="P52" s="1060" t="s">
        <v>27</v>
      </c>
      <c r="Q52" s="1060"/>
      <c r="R52" s="1060" t="s">
        <v>23</v>
      </c>
      <c r="S52" s="1060"/>
      <c r="T52" s="1065" t="s">
        <v>421</v>
      </c>
      <c r="U52" s="1060"/>
      <c r="V52" s="1065" t="s">
        <v>422</v>
      </c>
      <c r="W52" s="1066"/>
      <c r="X52" s="1060" t="s">
        <v>414</v>
      </c>
      <c r="Y52" s="1060"/>
    </row>
    <row r="53" spans="1:39">
      <c r="A53" s="1069"/>
      <c r="B53" s="188" t="s">
        <v>286</v>
      </c>
      <c r="C53" s="188" t="s">
        <v>288</v>
      </c>
      <c r="D53" s="188" t="s">
        <v>286</v>
      </c>
      <c r="E53" s="188" t="s">
        <v>288</v>
      </c>
      <c r="F53" s="188" t="s">
        <v>286</v>
      </c>
      <c r="G53" s="188" t="s">
        <v>288</v>
      </c>
      <c r="H53" s="188" t="s">
        <v>286</v>
      </c>
      <c r="I53" s="188" t="s">
        <v>288</v>
      </c>
      <c r="J53" s="188" t="s">
        <v>286</v>
      </c>
      <c r="K53" s="188" t="s">
        <v>288</v>
      </c>
      <c r="O53" s="1069"/>
      <c r="P53" s="188" t="s">
        <v>286</v>
      </c>
      <c r="Q53" s="188" t="s">
        <v>288</v>
      </c>
      <c r="R53" s="188" t="s">
        <v>286</v>
      </c>
      <c r="S53" s="188" t="s">
        <v>288</v>
      </c>
      <c r="T53" s="188" t="s">
        <v>286</v>
      </c>
      <c r="U53" s="188" t="s">
        <v>288</v>
      </c>
      <c r="V53" s="188" t="s">
        <v>286</v>
      </c>
      <c r="W53" s="188" t="s">
        <v>288</v>
      </c>
      <c r="X53" s="188" t="s">
        <v>286</v>
      </c>
      <c r="Y53" s="188" t="s">
        <v>288</v>
      </c>
    </row>
    <row r="54" spans="1:39">
      <c r="A54" s="192">
        <f>'upper bound Kenaga'!$D$23</f>
        <v>0</v>
      </c>
      <c r="B54" s="189" t="e">
        <f>'upper bound Kenaga'!$B$27</f>
        <v>#DIV/0!</v>
      </c>
      <c r="C54" s="189" t="e">
        <f>'upper bound Kenaga'!$C$140</f>
        <v>#DIV/0!</v>
      </c>
      <c r="D54" s="189" t="e">
        <f>'upper bound Kenaga'!$B$28</f>
        <v>#DIV/0!</v>
      </c>
      <c r="E54" s="189" t="e">
        <f>'upper bound Kenaga'!$C$141</f>
        <v>#DIV/0!</v>
      </c>
      <c r="F54" s="189" t="e">
        <f>'upper bound Kenaga'!$B$29</f>
        <v>#DIV/0!</v>
      </c>
      <c r="G54" s="189" t="e">
        <f>'upper bound Kenaga'!$C$142</f>
        <v>#DIV/0!</v>
      </c>
      <c r="H54" s="189" t="e">
        <f>'upper bound Kenaga'!$B$30</f>
        <v>#DIV/0!</v>
      </c>
      <c r="I54" s="189" t="e">
        <f>'upper bound Kenaga'!$C$143</f>
        <v>#DIV/0!</v>
      </c>
      <c r="J54" s="189" t="e">
        <f>'upper bound Kenaga'!$B$31</f>
        <v>#DIV/0!</v>
      </c>
      <c r="K54" s="189" t="e">
        <f>'upper bound Kenaga'!$C$144</f>
        <v>#DIV/0!</v>
      </c>
      <c r="O54" s="192">
        <f>'Mean Kenaga'!$D$23</f>
        <v>0</v>
      </c>
      <c r="P54" s="189" t="e">
        <f>'Mean Kenaga'!$B$27</f>
        <v>#DIV/0!</v>
      </c>
      <c r="Q54" s="189" t="e">
        <f>'Mean Kenaga'!$C$140</f>
        <v>#DIV/0!</v>
      </c>
      <c r="R54" s="189" t="e">
        <f>'Mean Kenaga'!$B$28</f>
        <v>#DIV/0!</v>
      </c>
      <c r="S54" s="189" t="e">
        <f>'Mean Kenaga'!$C$141</f>
        <v>#DIV/0!</v>
      </c>
      <c r="T54" s="189" t="e">
        <f>'Mean Kenaga'!$B$29</f>
        <v>#DIV/0!</v>
      </c>
      <c r="U54" s="189" t="e">
        <f>'Mean Kenaga'!$C$142</f>
        <v>#DIV/0!</v>
      </c>
      <c r="V54" s="189" t="e">
        <f>'Mean Kenaga'!$B$30</f>
        <v>#DIV/0!</v>
      </c>
      <c r="W54" s="189" t="e">
        <f>'Mean Kenaga'!$C$143</f>
        <v>#DIV/0!</v>
      </c>
      <c r="X54" s="189" t="e">
        <f>'Mean Kenaga'!$B$31</f>
        <v>#DIV/0!</v>
      </c>
      <c r="Y54" s="189" t="e">
        <f>'Mean Kenaga'!$C$144</f>
        <v>#DIV/0!</v>
      </c>
    </row>
    <row r="55" spans="1:39">
      <c r="A55" s="1067" t="s">
        <v>292</v>
      </c>
      <c r="B55" s="1067"/>
      <c r="C55" s="1067"/>
      <c r="D55" s="1067"/>
      <c r="E55" s="1067"/>
      <c r="F55" s="1067"/>
      <c r="G55" s="1067"/>
      <c r="H55" s="1067"/>
      <c r="I55" s="1067"/>
      <c r="O55" s="1067" t="s">
        <v>292</v>
      </c>
      <c r="P55" s="1067"/>
      <c r="Q55" s="1067"/>
      <c r="R55" s="1067"/>
      <c r="S55" s="1067"/>
      <c r="T55" s="1067"/>
      <c r="U55" s="1067"/>
      <c r="V55" s="1067"/>
      <c r="W55" s="1067"/>
    </row>
    <row r="57" spans="1:39" ht="33" customHeight="1">
      <c r="A57" s="1086" t="s">
        <v>352</v>
      </c>
      <c r="B57" s="1088"/>
      <c r="C57" s="1088"/>
      <c r="D57" s="1088"/>
      <c r="E57" s="1088"/>
      <c r="F57" s="1088"/>
      <c r="G57" s="1088"/>
      <c r="H57" s="1088"/>
      <c r="I57" s="1088"/>
      <c r="J57" s="1114"/>
      <c r="K57" s="1114"/>
      <c r="L57" s="1114"/>
      <c r="M57" s="1114"/>
      <c r="N57" s="1115"/>
      <c r="O57" s="1064" t="s">
        <v>345</v>
      </c>
      <c r="P57" s="1082"/>
      <c r="Q57" s="1082"/>
      <c r="R57" s="1082"/>
      <c r="S57" s="1082"/>
      <c r="T57" s="1082"/>
      <c r="U57" s="1082"/>
      <c r="V57" s="1082"/>
      <c r="W57" s="1082"/>
      <c r="X57" s="835"/>
      <c r="Y57" s="835"/>
      <c r="Z57" s="835"/>
      <c r="AA57" s="835"/>
      <c r="AB57" s="835"/>
    </row>
    <row r="58" spans="1:39">
      <c r="A58" s="1065" t="s">
        <v>290</v>
      </c>
      <c r="B58" s="1065" t="s">
        <v>295</v>
      </c>
      <c r="C58" s="1064" t="s">
        <v>289</v>
      </c>
      <c r="D58" s="1064"/>
      <c r="E58" s="1081"/>
      <c r="F58" s="1081"/>
      <c r="G58" s="1081"/>
      <c r="H58" s="1081"/>
      <c r="I58" s="1081"/>
      <c r="J58" s="1082"/>
      <c r="K58" s="1082"/>
      <c r="L58" s="1082"/>
      <c r="M58" s="835"/>
      <c r="N58" s="835"/>
      <c r="O58" s="1065" t="s">
        <v>290</v>
      </c>
      <c r="P58" s="1065" t="s">
        <v>295</v>
      </c>
      <c r="Q58" s="1064" t="s">
        <v>289</v>
      </c>
      <c r="R58" s="1064"/>
      <c r="S58" s="1081"/>
      <c r="T58" s="1081"/>
      <c r="U58" s="1081"/>
      <c r="V58" s="1081"/>
      <c r="W58" s="1081"/>
      <c r="X58" s="1082"/>
      <c r="Y58" s="1082"/>
      <c r="Z58" s="1082"/>
      <c r="AA58" s="835"/>
      <c r="AB58" s="835"/>
    </row>
    <row r="59" spans="1:39" s="195" customFormat="1" ht="47.25" customHeight="1">
      <c r="A59" s="1066"/>
      <c r="B59" s="1066"/>
      <c r="C59" s="1060" t="s">
        <v>27</v>
      </c>
      <c r="D59" s="1060"/>
      <c r="E59" s="1060" t="s">
        <v>23</v>
      </c>
      <c r="F59" s="1060"/>
      <c r="G59" s="1065" t="s">
        <v>421</v>
      </c>
      <c r="H59" s="1060"/>
      <c r="I59" s="1065" t="s">
        <v>584</v>
      </c>
      <c r="J59" s="1066"/>
      <c r="K59" s="1061" t="s">
        <v>414</v>
      </c>
      <c r="L59" s="1062"/>
      <c r="M59" s="1061" t="s">
        <v>330</v>
      </c>
      <c r="N59" s="1089"/>
      <c r="O59" s="1066"/>
      <c r="P59" s="1066"/>
      <c r="Q59" s="1060" t="s">
        <v>27</v>
      </c>
      <c r="R59" s="1060"/>
      <c r="S59" s="1060" t="s">
        <v>23</v>
      </c>
      <c r="T59" s="1060"/>
      <c r="U59" s="1065" t="s">
        <v>421</v>
      </c>
      <c r="V59" s="1060"/>
      <c r="W59" s="1065" t="s">
        <v>584</v>
      </c>
      <c r="X59" s="1066"/>
      <c r="Y59" s="1061" t="s">
        <v>414</v>
      </c>
      <c r="Z59" s="1062"/>
      <c r="AA59" s="1060" t="s">
        <v>330</v>
      </c>
      <c r="AB59" s="1113"/>
      <c r="AL59" s="186"/>
      <c r="AM59" s="186"/>
    </row>
    <row r="60" spans="1:39">
      <c r="A60" s="1066"/>
      <c r="B60" s="1066"/>
      <c r="C60" s="188" t="s">
        <v>286</v>
      </c>
      <c r="D60" s="188" t="s">
        <v>288</v>
      </c>
      <c r="E60" s="188" t="s">
        <v>286</v>
      </c>
      <c r="F60" s="188" t="s">
        <v>288</v>
      </c>
      <c r="G60" s="188" t="s">
        <v>286</v>
      </c>
      <c r="H60" s="188" t="s">
        <v>288</v>
      </c>
      <c r="I60" s="188" t="s">
        <v>286</v>
      </c>
      <c r="J60" s="188" t="s">
        <v>288</v>
      </c>
      <c r="K60" s="188" t="s">
        <v>286</v>
      </c>
      <c r="L60" s="188" t="s">
        <v>288</v>
      </c>
      <c r="M60" s="188" t="s">
        <v>286</v>
      </c>
      <c r="N60" s="188" t="s">
        <v>288</v>
      </c>
      <c r="O60" s="1066"/>
      <c r="P60" s="1066"/>
      <c r="Q60" s="188" t="s">
        <v>286</v>
      </c>
      <c r="R60" s="188" t="s">
        <v>288</v>
      </c>
      <c r="S60" s="188" t="s">
        <v>286</v>
      </c>
      <c r="T60" s="188" t="s">
        <v>288</v>
      </c>
      <c r="U60" s="188" t="s">
        <v>286</v>
      </c>
      <c r="V60" s="188" t="s">
        <v>288</v>
      </c>
      <c r="W60" s="188" t="s">
        <v>286</v>
      </c>
      <c r="X60" s="188" t="s">
        <v>288</v>
      </c>
      <c r="Y60" s="188" t="s">
        <v>286</v>
      </c>
      <c r="Z60" s="188" t="s">
        <v>288</v>
      </c>
      <c r="AA60" s="188" t="s">
        <v>286</v>
      </c>
      <c r="AB60" s="188" t="s">
        <v>288</v>
      </c>
    </row>
    <row r="61" spans="1:39">
      <c r="A61" s="192">
        <f>'upper bound Kenaga'!$C$96</f>
        <v>15</v>
      </c>
      <c r="B61" s="189">
        <f>'upper bound Kenaga'!$E$105</f>
        <v>0</v>
      </c>
      <c r="C61" s="189" t="e">
        <f>C37</f>
        <v>#DIV/0!</v>
      </c>
      <c r="D61" s="189" t="e">
        <f>'upper bound Kenaga'!$C$128</f>
        <v>#DIV/0!</v>
      </c>
      <c r="E61" s="189" t="e">
        <f>E37</f>
        <v>#DIV/0!</v>
      </c>
      <c r="F61" s="189" t="e">
        <f>'upper bound Kenaga'!$C$129</f>
        <v>#DIV/0!</v>
      </c>
      <c r="G61" s="189" t="e">
        <f>G37</f>
        <v>#DIV/0!</v>
      </c>
      <c r="H61" s="189" t="e">
        <f>'upper bound Kenaga'!$C$130</f>
        <v>#DIV/0!</v>
      </c>
      <c r="I61" s="189" t="e">
        <f>I37</f>
        <v>#DIV/0!</v>
      </c>
      <c r="J61" s="189" t="e">
        <f>'upper bound Kenaga'!$C$131</f>
        <v>#DIV/0!</v>
      </c>
      <c r="K61" s="189" t="e">
        <f>K37</f>
        <v>#DIV/0!</v>
      </c>
      <c r="L61" s="189" t="e">
        <f>'upper bound Kenaga'!$C$132</f>
        <v>#DIV/0!</v>
      </c>
      <c r="M61" s="189" t="e">
        <f>'upper bound Kenaga'!$B$120</f>
        <v>#DIV/0!</v>
      </c>
      <c r="N61" s="189" t="e">
        <f>'upper bound Kenaga'!$C$133</f>
        <v>#DIV/0!</v>
      </c>
      <c r="O61" s="192">
        <f>'Mean Kenaga'!$C$96</f>
        <v>15</v>
      </c>
      <c r="P61" s="189">
        <f>'Mean Kenaga'!$E$105</f>
        <v>0</v>
      </c>
      <c r="Q61" s="189" t="e">
        <f>Q37</f>
        <v>#DIV/0!</v>
      </c>
      <c r="R61" s="189" t="e">
        <f>'Mean Kenaga'!$C$128</f>
        <v>#DIV/0!</v>
      </c>
      <c r="S61" s="189" t="e">
        <f>S37</f>
        <v>#DIV/0!</v>
      </c>
      <c r="T61" s="189" t="e">
        <f>'Mean Kenaga'!$C$129</f>
        <v>#DIV/0!</v>
      </c>
      <c r="U61" s="189" t="e">
        <f>U37</f>
        <v>#DIV/0!</v>
      </c>
      <c r="V61" s="189" t="e">
        <f>'Mean Kenaga'!$C$130</f>
        <v>#DIV/0!</v>
      </c>
      <c r="W61" s="189" t="e">
        <f>W37</f>
        <v>#DIV/0!</v>
      </c>
      <c r="X61" s="189" t="e">
        <f>'Mean Kenaga'!$C$131</f>
        <v>#DIV/0!</v>
      </c>
      <c r="Y61" s="189" t="e">
        <f>Y37</f>
        <v>#DIV/0!</v>
      </c>
      <c r="Z61" s="189" t="e">
        <f>'Mean Kenaga'!$C$132</f>
        <v>#DIV/0!</v>
      </c>
      <c r="AA61" s="189" t="e">
        <f>'Mean Kenaga'!$B$120</f>
        <v>#DIV/0!</v>
      </c>
      <c r="AB61" s="189" t="e">
        <f>'Mean Kenaga'!$C$133</f>
        <v>#DIV/0!</v>
      </c>
    </row>
    <row r="62" spans="1:39">
      <c r="A62" s="192">
        <f>'upper bound Kenaga'!$C$97</f>
        <v>35</v>
      </c>
      <c r="B62" s="189">
        <f>'upper bound Kenaga'!$E$106</f>
        <v>0</v>
      </c>
      <c r="C62" s="189" t="e">
        <f>C38</f>
        <v>#DIV/0!</v>
      </c>
      <c r="D62" s="189" t="e">
        <f>'upper bound Kenaga'!$E$128</f>
        <v>#DIV/0!</v>
      </c>
      <c r="E62" s="189" t="e">
        <f>E38</f>
        <v>#DIV/0!</v>
      </c>
      <c r="F62" s="189" t="e">
        <f>'upper bound Kenaga'!$E$129</f>
        <v>#DIV/0!</v>
      </c>
      <c r="G62" s="189" t="e">
        <f>G38</f>
        <v>#DIV/0!</v>
      </c>
      <c r="H62" s="189" t="e">
        <f>'upper bound Kenaga'!$E$130</f>
        <v>#DIV/0!</v>
      </c>
      <c r="I62" s="189" t="e">
        <f>I38</f>
        <v>#DIV/0!</v>
      </c>
      <c r="J62" s="189" t="e">
        <f>'upper bound Kenaga'!$E$131</f>
        <v>#DIV/0!</v>
      </c>
      <c r="K62" s="189" t="e">
        <f>K38</f>
        <v>#DIV/0!</v>
      </c>
      <c r="L62" s="189" t="e">
        <f>'upper bound Kenaga'!$E$132</f>
        <v>#DIV/0!</v>
      </c>
      <c r="M62" s="189" t="e">
        <f>'upper bound Kenaga'!$C$120</f>
        <v>#DIV/0!</v>
      </c>
      <c r="N62" s="189" t="e">
        <f>'upper bound Kenaga'!$E$133</f>
        <v>#DIV/0!</v>
      </c>
      <c r="O62" s="192">
        <f>'Mean Kenaga'!$C$97</f>
        <v>35</v>
      </c>
      <c r="P62" s="189">
        <f>'Mean Kenaga'!$E$106</f>
        <v>0</v>
      </c>
      <c r="Q62" s="189" t="e">
        <f>Q38</f>
        <v>#DIV/0!</v>
      </c>
      <c r="R62" s="189" t="e">
        <f>'Mean Kenaga'!$E$128</f>
        <v>#DIV/0!</v>
      </c>
      <c r="S62" s="189" t="e">
        <f>S38</f>
        <v>#DIV/0!</v>
      </c>
      <c r="T62" s="189" t="e">
        <f>'Mean Kenaga'!$E$129</f>
        <v>#DIV/0!</v>
      </c>
      <c r="U62" s="189" t="e">
        <f>U38</f>
        <v>#DIV/0!</v>
      </c>
      <c r="V62" s="189" t="e">
        <f>'Mean Kenaga'!$E$130</f>
        <v>#DIV/0!</v>
      </c>
      <c r="W62" s="189" t="e">
        <f>W38</f>
        <v>#DIV/0!</v>
      </c>
      <c r="X62" s="189" t="e">
        <f>'Mean Kenaga'!$E$131</f>
        <v>#DIV/0!</v>
      </c>
      <c r="Y62" s="189" t="e">
        <f>Y38</f>
        <v>#DIV/0!</v>
      </c>
      <c r="Z62" s="189" t="e">
        <f>'Mean Kenaga'!$E$132</f>
        <v>#DIV/0!</v>
      </c>
      <c r="AA62" s="189" t="e">
        <f>'Mean Kenaga'!$C$120</f>
        <v>#DIV/0!</v>
      </c>
      <c r="AB62" s="189" t="e">
        <f>'Mean Kenaga'!$E$133</f>
        <v>#DIV/0!</v>
      </c>
      <c r="AL62" s="195"/>
    </row>
    <row r="63" spans="1:39">
      <c r="A63" s="192">
        <f>'upper bound Kenaga'!$C$98</f>
        <v>1000</v>
      </c>
      <c r="B63" s="189">
        <f>'upper bound Kenaga'!$E$107</f>
        <v>0</v>
      </c>
      <c r="C63" s="189" t="e">
        <f>C39</f>
        <v>#DIV/0!</v>
      </c>
      <c r="D63" s="189" t="e">
        <f>'upper bound Kenaga'!$G$128</f>
        <v>#DIV/0!</v>
      </c>
      <c r="E63" s="189" t="e">
        <f>E39</f>
        <v>#DIV/0!</v>
      </c>
      <c r="F63" s="189" t="e">
        <f>'upper bound Kenaga'!$G$129</f>
        <v>#DIV/0!</v>
      </c>
      <c r="G63" s="189" t="e">
        <f>G39</f>
        <v>#DIV/0!</v>
      </c>
      <c r="H63" s="189" t="e">
        <f>'upper bound Kenaga'!$G$130</f>
        <v>#DIV/0!</v>
      </c>
      <c r="I63" s="189" t="e">
        <f>I39</f>
        <v>#DIV/0!</v>
      </c>
      <c r="J63" s="189" t="e">
        <f>'upper bound Kenaga'!$G$131</f>
        <v>#DIV/0!</v>
      </c>
      <c r="K63" s="189" t="e">
        <f>K39</f>
        <v>#DIV/0!</v>
      </c>
      <c r="L63" s="189" t="e">
        <f>'upper bound Kenaga'!$G$132</f>
        <v>#DIV/0!</v>
      </c>
      <c r="M63" s="189" t="e">
        <f>'upper bound Kenaga'!$D$120</f>
        <v>#DIV/0!</v>
      </c>
      <c r="N63" s="189" t="e">
        <f>'upper bound Kenaga'!$G$133</f>
        <v>#DIV/0!</v>
      </c>
      <c r="O63" s="192">
        <f>'Mean Kenaga'!$C$98</f>
        <v>1000</v>
      </c>
      <c r="P63" s="189">
        <f>'Mean Kenaga'!$E$107</f>
        <v>0</v>
      </c>
      <c r="Q63" s="189" t="e">
        <f>Q39</f>
        <v>#DIV/0!</v>
      </c>
      <c r="R63" s="189" t="e">
        <f>'Mean Kenaga'!$G$128</f>
        <v>#DIV/0!</v>
      </c>
      <c r="S63" s="189" t="e">
        <f>S39</f>
        <v>#DIV/0!</v>
      </c>
      <c r="T63" s="189" t="e">
        <f>'Mean Kenaga'!$G$129</f>
        <v>#DIV/0!</v>
      </c>
      <c r="U63" s="189" t="e">
        <f>U39</f>
        <v>#DIV/0!</v>
      </c>
      <c r="V63" s="189" t="e">
        <f>'Mean Kenaga'!$G$130</f>
        <v>#DIV/0!</v>
      </c>
      <c r="W63" s="189" t="e">
        <f>W39</f>
        <v>#DIV/0!</v>
      </c>
      <c r="X63" s="189" t="e">
        <f>'Mean Kenaga'!$G$131</f>
        <v>#DIV/0!</v>
      </c>
      <c r="Y63" s="189" t="e">
        <f>Y39</f>
        <v>#DIV/0!</v>
      </c>
      <c r="Z63" s="189" t="e">
        <f>'Mean Kenaga'!$G$132</f>
        <v>#DIV/0!</v>
      </c>
      <c r="AA63" s="189" t="e">
        <f>'Mean Kenaga'!$D$120</f>
        <v>#DIV/0!</v>
      </c>
      <c r="AB63" s="189" t="e">
        <f>'Mean Kenaga'!$G$133</f>
        <v>#DIV/0!</v>
      </c>
    </row>
    <row r="68" spans="39:39">
      <c r="AM68" s="195"/>
    </row>
  </sheetData>
  <sheetProtection password="85F4" sheet="1" objects="1" scenarios="1" formatCells="0" formatColumns="0" formatRows="0" insertColumns="0" insertRows="0"/>
  <mergeCells count="163">
    <mergeCell ref="AA35:AB35"/>
    <mergeCell ref="M59:N59"/>
    <mergeCell ref="A57:N57"/>
    <mergeCell ref="C58:N58"/>
    <mergeCell ref="A11:N11"/>
    <mergeCell ref="C12:N12"/>
    <mergeCell ref="AA13:AB13"/>
    <mergeCell ref="O11:AB11"/>
    <mergeCell ref="Q12:AB12"/>
    <mergeCell ref="C13:D13"/>
    <mergeCell ref="E13:F13"/>
    <mergeCell ref="W13:X13"/>
    <mergeCell ref="A12:A14"/>
    <mergeCell ref="AA59:AB59"/>
    <mergeCell ref="Q58:AB58"/>
    <mergeCell ref="O57:AB57"/>
    <mergeCell ref="O47:W47"/>
    <mergeCell ref="V52:W52"/>
    <mergeCell ref="O58:O60"/>
    <mergeCell ref="P58:P60"/>
    <mergeCell ref="Q59:R59"/>
    <mergeCell ref="S59:T59"/>
    <mergeCell ref="U59:V59"/>
    <mergeCell ref="A19:K19"/>
    <mergeCell ref="AL9:AM9"/>
    <mergeCell ref="B21:C21"/>
    <mergeCell ref="D21:E21"/>
    <mergeCell ref="F21:G21"/>
    <mergeCell ref="H21:I21"/>
    <mergeCell ref="R28:S28"/>
    <mergeCell ref="P21:Q21"/>
    <mergeCell ref="AL11:AM11"/>
    <mergeCell ref="AL16:AM16"/>
    <mergeCell ref="AH13:AI13"/>
    <mergeCell ref="AG15:AG17"/>
    <mergeCell ref="AE12:AG12"/>
    <mergeCell ref="AD12:AD14"/>
    <mergeCell ref="AG13:AG14"/>
    <mergeCell ref="AE13:AF13"/>
    <mergeCell ref="AC11:AJ11"/>
    <mergeCell ref="G13:H13"/>
    <mergeCell ref="I13:J13"/>
    <mergeCell ref="R21:S21"/>
    <mergeCell ref="T21:U21"/>
    <mergeCell ref="V21:W21"/>
    <mergeCell ref="AL22:AM22"/>
    <mergeCell ref="AL26:AM26"/>
    <mergeCell ref="M13:N13"/>
    <mergeCell ref="AJ13:AJ14"/>
    <mergeCell ref="AH12:AJ12"/>
    <mergeCell ref="O55:W55"/>
    <mergeCell ref="O51:O53"/>
    <mergeCell ref="S13:T13"/>
    <mergeCell ref="U13:V13"/>
    <mergeCell ref="P52:Q52"/>
    <mergeCell ref="A58:A60"/>
    <mergeCell ref="O12:O14"/>
    <mergeCell ref="P12:P14"/>
    <mergeCell ref="Q13:R13"/>
    <mergeCell ref="B58:B60"/>
    <mergeCell ref="C59:D59"/>
    <mergeCell ref="O27:O29"/>
    <mergeCell ref="P28:Q28"/>
    <mergeCell ref="E59:F59"/>
    <mergeCell ref="G59:H59"/>
    <mergeCell ref="I59:J59"/>
    <mergeCell ref="B52:C52"/>
    <mergeCell ref="D52:E52"/>
    <mergeCell ref="F52:G52"/>
    <mergeCell ref="H52:I52"/>
    <mergeCell ref="F28:G28"/>
    <mergeCell ref="H28:I28"/>
    <mergeCell ref="AG23:AG25"/>
    <mergeCell ref="AC19:AJ19"/>
    <mergeCell ref="AC20:AC22"/>
    <mergeCell ref="AD20:AD22"/>
    <mergeCell ref="AE20:AG20"/>
    <mergeCell ref="AH20:AJ20"/>
    <mergeCell ref="AG21:AG22"/>
    <mergeCell ref="AJ21:AJ22"/>
    <mergeCell ref="P27:Y27"/>
    <mergeCell ref="AH21:AI21"/>
    <mergeCell ref="AE21:AF21"/>
    <mergeCell ref="AE23:AE25"/>
    <mergeCell ref="AF23:AF25"/>
    <mergeCell ref="AC12:AC14"/>
    <mergeCell ref="AE15:AE17"/>
    <mergeCell ref="AF15:AF17"/>
    <mergeCell ref="O24:W24"/>
    <mergeCell ref="O20:O22"/>
    <mergeCell ref="B12:B14"/>
    <mergeCell ref="W35:X35"/>
    <mergeCell ref="O31:W31"/>
    <mergeCell ref="O34:O36"/>
    <mergeCell ref="P34:P36"/>
    <mergeCell ref="Q35:R35"/>
    <mergeCell ref="S35:T35"/>
    <mergeCell ref="U35:V35"/>
    <mergeCell ref="T28:U28"/>
    <mergeCell ref="V28:W28"/>
    <mergeCell ref="A31:I31"/>
    <mergeCell ref="A33:N33"/>
    <mergeCell ref="A20:A22"/>
    <mergeCell ref="M35:N35"/>
    <mergeCell ref="E35:F35"/>
    <mergeCell ref="G35:H35"/>
    <mergeCell ref="I35:J35"/>
    <mergeCell ref="K13:L13"/>
    <mergeCell ref="Y13:Z13"/>
    <mergeCell ref="B20:K20"/>
    <mergeCell ref="O19:Y19"/>
    <mergeCell ref="P20:Y20"/>
    <mergeCell ref="P43:Y43"/>
    <mergeCell ref="A9:N9"/>
    <mergeCell ref="O9:AB9"/>
    <mergeCell ref="K35:L35"/>
    <mergeCell ref="B28:C28"/>
    <mergeCell ref="A24:I24"/>
    <mergeCell ref="A27:A29"/>
    <mergeCell ref="D28:E28"/>
    <mergeCell ref="O43:O45"/>
    <mergeCell ref="O33:AB33"/>
    <mergeCell ref="Q34:AB34"/>
    <mergeCell ref="A43:A45"/>
    <mergeCell ref="B44:C44"/>
    <mergeCell ref="A34:A36"/>
    <mergeCell ref="B34:B36"/>
    <mergeCell ref="C35:D35"/>
    <mergeCell ref="H44:I44"/>
    <mergeCell ref="D44:E44"/>
    <mergeCell ref="Y35:Z35"/>
    <mergeCell ref="J28:K28"/>
    <mergeCell ref="X28:Y28"/>
    <mergeCell ref="J21:K21"/>
    <mergeCell ref="X21:Y21"/>
    <mergeCell ref="A26:K26"/>
    <mergeCell ref="B27:K27"/>
    <mergeCell ref="O26:Y26"/>
    <mergeCell ref="X44:Y44"/>
    <mergeCell ref="P44:Q44"/>
    <mergeCell ref="R44:S44"/>
    <mergeCell ref="T44:U44"/>
    <mergeCell ref="V44:W44"/>
    <mergeCell ref="F44:G44"/>
    <mergeCell ref="C34:N34"/>
    <mergeCell ref="X52:Y52"/>
    <mergeCell ref="K59:L59"/>
    <mergeCell ref="Y59:Z59"/>
    <mergeCell ref="A42:K42"/>
    <mergeCell ref="B43:K43"/>
    <mergeCell ref="J44:K44"/>
    <mergeCell ref="A50:K50"/>
    <mergeCell ref="B51:K51"/>
    <mergeCell ref="J52:K52"/>
    <mergeCell ref="O42:Y42"/>
    <mergeCell ref="P51:Y51"/>
    <mergeCell ref="O50:Y50"/>
    <mergeCell ref="R52:S52"/>
    <mergeCell ref="T52:U52"/>
    <mergeCell ref="W59:X59"/>
    <mergeCell ref="A55:I55"/>
    <mergeCell ref="A51:A53"/>
    <mergeCell ref="A47:I47"/>
  </mergeCells>
  <phoneticPr fontId="25" type="noConversion"/>
  <pageMargins left="0.75" right="0.75" top="1" bottom="1" header="0.5" footer="0.5"/>
  <pageSetup scale="54" orientation="portrait" verticalDpi="1200" r:id="rId1"/>
  <headerFooter alignWithMargins="0"/>
  <colBreaks count="3" manualBreakCount="3">
    <brk id="14" max="1048575" man="1"/>
    <brk id="28" min="8" max="63" man="1"/>
    <brk id="36" min="8" max="63" man="1"/>
  </colBreaks>
  <drawing r:id="rId2"/>
</worksheet>
</file>

<file path=xl/worksheets/sheet2.xml><?xml version="1.0" encoding="utf-8"?>
<worksheet xmlns="http://schemas.openxmlformats.org/spreadsheetml/2006/main" xmlns:r="http://schemas.openxmlformats.org/officeDocument/2006/relationships">
  <sheetPr codeName="Sheet1" enableFormatConditionsCalculation="0">
    <tabColor indexed="11"/>
    <pageSetUpPr fitToPage="1"/>
  </sheetPr>
  <dimension ref="A1:A71"/>
  <sheetViews>
    <sheetView zoomScale="90" workbookViewId="0">
      <selection activeCell="A33" sqref="A33"/>
    </sheetView>
  </sheetViews>
  <sheetFormatPr defaultRowHeight="12.75"/>
  <cols>
    <col min="1" max="16384" width="9.140625" style="36"/>
  </cols>
  <sheetData>
    <row r="1" spans="1:1" s="147" customFormat="1" ht="15.75">
      <c r="A1" s="146" t="s">
        <v>100</v>
      </c>
    </row>
    <row r="2" spans="1:1" s="147" customFormat="1"/>
    <row r="3" spans="1:1" s="147" customFormat="1"/>
    <row r="4" spans="1:1" s="147" customFormat="1" ht="15.75">
      <c r="A4" s="146" t="s">
        <v>62</v>
      </c>
    </row>
    <row r="5" spans="1:1" s="147" customFormat="1">
      <c r="A5" s="148" t="s">
        <v>101</v>
      </c>
    </row>
    <row r="6" spans="1:1" s="147" customFormat="1">
      <c r="A6" s="148" t="s">
        <v>102</v>
      </c>
    </row>
    <row r="7" spans="1:1" s="147" customFormat="1">
      <c r="A7" s="148" t="s">
        <v>236</v>
      </c>
    </row>
    <row r="8" spans="1:1" s="147" customFormat="1">
      <c r="A8" s="148" t="s">
        <v>224</v>
      </c>
    </row>
    <row r="9" spans="1:1" s="147" customFormat="1">
      <c r="A9" s="148" t="s">
        <v>63</v>
      </c>
    </row>
    <row r="10" spans="1:1" s="147" customFormat="1">
      <c r="A10" s="148" t="s">
        <v>64</v>
      </c>
    </row>
    <row r="11" spans="1:1" s="147" customFormat="1"/>
    <row r="12" spans="1:1" s="147" customFormat="1" ht="15.75">
      <c r="A12" s="146" t="s">
        <v>65</v>
      </c>
    </row>
    <row r="13" spans="1:1" s="147" customFormat="1">
      <c r="A13" s="151" t="s">
        <v>225</v>
      </c>
    </row>
    <row r="14" spans="1:1" s="147" customFormat="1">
      <c r="A14" s="147" t="s">
        <v>226</v>
      </c>
    </row>
    <row r="15" spans="1:1" s="147" customFormat="1">
      <c r="A15" s="147" t="s">
        <v>227</v>
      </c>
    </row>
    <row r="16" spans="1:1" s="147" customFormat="1">
      <c r="A16" s="147" t="s">
        <v>228</v>
      </c>
    </row>
    <row r="17" spans="1:1" s="147" customFormat="1">
      <c r="A17" s="147" t="s">
        <v>229</v>
      </c>
    </row>
    <row r="18" spans="1:1" s="147" customFormat="1">
      <c r="A18" s="147" t="s">
        <v>230</v>
      </c>
    </row>
    <row r="19" spans="1:1" s="147" customFormat="1">
      <c r="A19" s="147" t="s">
        <v>66</v>
      </c>
    </row>
    <row r="20" spans="1:1" s="147" customFormat="1">
      <c r="A20" s="147" t="s">
        <v>67</v>
      </c>
    </row>
    <row r="21" spans="1:1" s="147" customFormat="1"/>
    <row r="22" spans="1:1" s="147" customFormat="1" ht="15.75">
      <c r="A22" s="146" t="s">
        <v>68</v>
      </c>
    </row>
    <row r="23" spans="1:1" s="147" customFormat="1">
      <c r="A23" s="147" t="s">
        <v>231</v>
      </c>
    </row>
    <row r="24" spans="1:1" s="147" customFormat="1">
      <c r="A24" s="147" t="s">
        <v>232</v>
      </c>
    </row>
    <row r="25" spans="1:1" s="147" customFormat="1">
      <c r="A25" s="149" t="s">
        <v>238</v>
      </c>
    </row>
    <row r="26" spans="1:1" s="147" customFormat="1">
      <c r="A26" s="149" t="s">
        <v>233</v>
      </c>
    </row>
    <row r="27" spans="1:1" s="147" customFormat="1">
      <c r="A27" s="149" t="s">
        <v>234</v>
      </c>
    </row>
    <row r="28" spans="1:1" s="147" customFormat="1">
      <c r="A28" s="149" t="s">
        <v>235</v>
      </c>
    </row>
    <row r="29" spans="1:1" s="147" customFormat="1">
      <c r="A29" s="147" t="s">
        <v>103</v>
      </c>
    </row>
    <row r="30" spans="1:1" s="147" customFormat="1"/>
    <row r="31" spans="1:1" s="147" customFormat="1">
      <c r="A31" t="s">
        <v>237</v>
      </c>
    </row>
    <row r="32" spans="1:1" s="147" customFormat="1"/>
    <row r="33" s="147" customFormat="1"/>
    <row r="34" s="147" customFormat="1"/>
    <row r="35" s="147" customFormat="1"/>
    <row r="36" s="147" customFormat="1"/>
    <row r="37" s="147" customFormat="1"/>
    <row r="38" s="147" customFormat="1"/>
    <row r="39" s="147" customFormat="1"/>
    <row r="40" s="147" customFormat="1"/>
    <row r="41" s="147" customFormat="1"/>
    <row r="42" s="147" customFormat="1"/>
    <row r="43" s="147" customFormat="1"/>
    <row r="44" s="147" customFormat="1"/>
    <row r="45" s="147" customFormat="1"/>
    <row r="46" s="147" customFormat="1"/>
    <row r="47" s="147" customFormat="1"/>
    <row r="48" s="147" customFormat="1"/>
    <row r="49" s="147" customFormat="1"/>
    <row r="50" s="147" customFormat="1"/>
    <row r="51" s="147" customFormat="1"/>
    <row r="52" s="147" customFormat="1"/>
    <row r="53" s="147" customFormat="1"/>
    <row r="54" s="147" customFormat="1"/>
    <row r="55" s="147" customFormat="1"/>
    <row r="56" s="147" customFormat="1"/>
    <row r="57" s="147" customFormat="1"/>
    <row r="58" s="147" customFormat="1"/>
    <row r="59" s="147" customFormat="1"/>
    <row r="60" s="147" customFormat="1"/>
    <row r="61" s="147" customFormat="1"/>
    <row r="62" s="147" customFormat="1"/>
    <row r="63" s="147" customFormat="1"/>
    <row r="64" s="147" customFormat="1"/>
    <row r="65" s="147" customFormat="1"/>
    <row r="66" s="147" customFormat="1"/>
    <row r="67" s="147" customFormat="1"/>
    <row r="68" s="147" customFormat="1"/>
    <row r="69" s="147" customFormat="1"/>
    <row r="70" s="147" customFormat="1"/>
    <row r="71" s="147" customFormat="1"/>
  </sheetData>
  <sheetProtection password="85F4" sheet="1" objects="1" scenarios="1"/>
  <phoneticPr fontId="25" type="noConversion"/>
  <pageMargins left="0.75" right="0.75" top="1" bottom="1"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tabColor indexed="10"/>
  </sheetPr>
  <dimension ref="A1:T706"/>
  <sheetViews>
    <sheetView tabSelected="1" zoomScale="75" zoomScaleNormal="75" zoomScaleSheetLayoutView="75" workbookViewId="0">
      <selection activeCell="B6" sqref="B6:C6"/>
    </sheetView>
  </sheetViews>
  <sheetFormatPr defaultRowHeight="12.75"/>
  <cols>
    <col min="1" max="1" width="37.42578125" customWidth="1"/>
    <col min="2" max="2" width="24.42578125" customWidth="1"/>
    <col min="3" max="3" width="29.7109375" customWidth="1"/>
    <col min="4" max="4" width="21.42578125" customWidth="1"/>
    <col min="5" max="5" width="21.85546875" bestFit="1" customWidth="1"/>
    <col min="6" max="6" width="15" bestFit="1" customWidth="1"/>
    <col min="7" max="7" width="26.5703125" customWidth="1"/>
    <col min="8" max="8" width="41.7109375" bestFit="1" customWidth="1"/>
    <col min="9" max="9" width="10.42578125" style="173" customWidth="1"/>
    <col min="10" max="10" width="10.42578125" style="160" customWidth="1"/>
    <col min="11" max="12" width="9.140625" style="160"/>
    <col min="13" max="13" width="9.140625" style="158"/>
    <col min="14" max="14" width="9.140625" style="94" hidden="1" customWidth="1"/>
    <col min="15" max="15" width="8.85546875" style="111" hidden="1" customWidth="1"/>
    <col min="16" max="18" width="8.85546875" hidden="1" customWidth="1"/>
  </cols>
  <sheetData>
    <row r="1" spans="1:20" ht="35.25" customHeight="1">
      <c r="A1" s="230" t="s">
        <v>127</v>
      </c>
      <c r="B1" s="683" t="s">
        <v>423</v>
      </c>
      <c r="C1" s="684"/>
      <c r="D1" s="685"/>
      <c r="E1" s="685"/>
      <c r="F1" s="684"/>
      <c r="G1" s="231"/>
      <c r="H1" s="48"/>
      <c r="I1" s="382"/>
      <c r="N1" s="158"/>
      <c r="O1" s="360"/>
      <c r="P1" s="37"/>
      <c r="Q1" s="37"/>
      <c r="R1" s="37"/>
      <c r="S1" s="37"/>
    </row>
    <row r="2" spans="1:20">
      <c r="A2" s="232" t="s">
        <v>174</v>
      </c>
      <c r="B2" s="48"/>
      <c r="C2" s="48"/>
      <c r="D2" s="56"/>
      <c r="E2" s="56"/>
      <c r="F2" s="37"/>
      <c r="G2" s="48"/>
      <c r="H2" s="385"/>
      <c r="I2" s="386"/>
      <c r="N2" s="158"/>
      <c r="O2" s="360"/>
      <c r="P2" s="37"/>
      <c r="Q2" s="37"/>
      <c r="R2" s="37"/>
      <c r="S2" s="37"/>
    </row>
    <row r="3" spans="1:20">
      <c r="A3" s="232" t="s">
        <v>130</v>
      </c>
      <c r="B3" s="48"/>
      <c r="C3" s="48"/>
      <c r="D3" s="56"/>
      <c r="E3" s="56"/>
      <c r="F3" s="37"/>
      <c r="G3" s="48"/>
      <c r="H3" s="48"/>
      <c r="I3" s="382"/>
      <c r="N3" s="158"/>
      <c r="O3" s="360"/>
      <c r="P3" s="37"/>
      <c r="Q3" s="37"/>
      <c r="R3" s="37"/>
      <c r="S3" s="37"/>
    </row>
    <row r="4" spans="1:20" ht="13.5" customHeight="1" thickBot="1">
      <c r="A4" s="84"/>
      <c r="B4" s="48"/>
      <c r="C4" s="48"/>
      <c r="D4" s="56"/>
      <c r="E4" s="56"/>
      <c r="F4" s="48"/>
      <c r="G4" s="48"/>
      <c r="H4" s="48"/>
      <c r="I4" s="382"/>
      <c r="N4" s="158"/>
      <c r="O4" s="360"/>
      <c r="P4" s="37"/>
      <c r="Q4" s="37"/>
      <c r="R4" s="37"/>
      <c r="S4" s="37"/>
    </row>
    <row r="5" spans="1:20" s="364" customFormat="1" ht="21.75" customHeight="1" thickBot="1">
      <c r="A5" s="840" t="s">
        <v>360</v>
      </c>
      <c r="B5" s="841"/>
      <c r="C5" s="841"/>
      <c r="D5" s="361"/>
      <c r="E5" s="556" t="s">
        <v>407</v>
      </c>
      <c r="F5" s="557" t="s">
        <v>403</v>
      </c>
      <c r="G5" s="557" t="s">
        <v>408</v>
      </c>
      <c r="H5" s="81"/>
      <c r="I5" s="615"/>
      <c r="J5" s="808"/>
      <c r="K5" s="362"/>
      <c r="L5" s="362"/>
      <c r="M5" s="363"/>
      <c r="N5" s="363"/>
      <c r="O5" s="363"/>
      <c r="P5" s="363"/>
      <c r="Q5" s="363"/>
      <c r="R5" s="363"/>
      <c r="S5" s="363"/>
    </row>
    <row r="6" spans="1:20" ht="17.25" customHeight="1">
      <c r="A6" s="234" t="s">
        <v>0</v>
      </c>
      <c r="B6" s="842"/>
      <c r="C6" s="843"/>
      <c r="D6" s="689" t="s">
        <v>424</v>
      </c>
      <c r="E6" s="553">
        <v>1</v>
      </c>
      <c r="F6" s="554"/>
      <c r="G6" s="555">
        <v>0</v>
      </c>
      <c r="H6" s="809" t="s">
        <v>409</v>
      </c>
      <c r="I6" s="382"/>
      <c r="N6" s="158"/>
      <c r="O6" s="360"/>
      <c r="P6" s="37"/>
      <c r="Q6" s="37"/>
      <c r="R6" s="37"/>
      <c r="S6" s="37"/>
    </row>
    <row r="7" spans="1:20" s="686" customFormat="1" ht="17.25" customHeight="1">
      <c r="A7" s="234" t="s">
        <v>623</v>
      </c>
      <c r="B7" s="687"/>
      <c r="C7" s="690" t="b">
        <v>0</v>
      </c>
      <c r="D7" s="695" t="s">
        <v>622</v>
      </c>
      <c r="E7" s="553">
        <v>2</v>
      </c>
      <c r="F7" s="554"/>
      <c r="G7" s="554"/>
      <c r="H7" s="688"/>
      <c r="I7" s="382"/>
      <c r="J7" s="160"/>
      <c r="K7" s="160"/>
      <c r="L7" s="160"/>
      <c r="M7" s="158"/>
      <c r="N7" s="158"/>
      <c r="O7" s="360"/>
      <c r="P7" s="37"/>
      <c r="Q7" s="37"/>
      <c r="R7" s="37"/>
      <c r="S7" s="37"/>
    </row>
    <row r="8" spans="1:20" ht="15.75" customHeight="1">
      <c r="A8" s="235" t="s">
        <v>160</v>
      </c>
      <c r="B8" s="844"/>
      <c r="C8" s="845"/>
      <c r="D8" s="805" t="str">
        <f>IF(ISNUMBER(B8),VLOOKUP(B8, 'Seed Treatments'!$A$55:$D$199,3),"")</f>
        <v/>
      </c>
      <c r="E8" s="552">
        <v>3</v>
      </c>
      <c r="F8" s="554"/>
      <c r="G8" s="554"/>
      <c r="H8" s="48"/>
      <c r="I8" s="382"/>
      <c r="N8" s="158"/>
      <c r="O8" s="57" t="s">
        <v>146</v>
      </c>
      <c r="P8" s="37"/>
      <c r="Q8" s="37"/>
      <c r="R8" s="37"/>
      <c r="S8" s="37"/>
      <c r="T8" s="160" t="str">
        <f>IF(ISNUMBER(B8),INDEX('Seed Treatments'!$B$55:$B$195,B8),"")</f>
        <v/>
      </c>
    </row>
    <row r="9" spans="1:20" ht="18">
      <c r="A9" s="234" t="s">
        <v>179</v>
      </c>
      <c r="B9" s="844"/>
      <c r="C9" s="845"/>
      <c r="D9" s="236"/>
      <c r="E9" s="552">
        <v>4</v>
      </c>
      <c r="F9" s="554"/>
      <c r="G9" s="554"/>
      <c r="H9" s="48"/>
      <c r="I9" s="382"/>
      <c r="N9" s="158"/>
      <c r="O9" s="57" t="s">
        <v>147</v>
      </c>
      <c r="P9" s="37"/>
      <c r="Q9" s="37"/>
      <c r="R9" s="37"/>
      <c r="S9" s="37"/>
    </row>
    <row r="10" spans="1:20" ht="30" customHeight="1">
      <c r="A10" s="237" t="s">
        <v>328</v>
      </c>
      <c r="B10" s="824"/>
      <c r="C10" s="825"/>
      <c r="E10" s="552">
        <v>5</v>
      </c>
      <c r="F10" s="554"/>
      <c r="G10" s="554"/>
      <c r="H10" s="48"/>
      <c r="I10" s="382"/>
      <c r="N10" s="158"/>
      <c r="O10" s="57" t="s">
        <v>148</v>
      </c>
      <c r="P10" s="37"/>
      <c r="Q10" s="37"/>
      <c r="R10" s="37"/>
      <c r="S10" s="37"/>
    </row>
    <row r="11" spans="1:20" ht="18">
      <c r="A11" s="234" t="str">
        <f>IF(C7,"Application rate (fl oz/cwt)",D6)</f>
        <v>Application Rate (lb ai/acre)</v>
      </c>
      <c r="B11" s="749"/>
      <c r="C11" s="239"/>
      <c r="D11" s="238"/>
      <c r="E11" s="552">
        <v>6</v>
      </c>
      <c r="F11" s="554"/>
      <c r="G11" s="554"/>
      <c r="H11" s="48"/>
      <c r="I11" s="382"/>
      <c r="N11" s="158"/>
      <c r="O11" s="57" t="s">
        <v>149</v>
      </c>
      <c r="P11" s="37"/>
      <c r="Q11" s="37"/>
      <c r="R11" s="37"/>
      <c r="S11" s="37"/>
    </row>
    <row r="12" spans="1:20" ht="18">
      <c r="A12" s="234" t="s">
        <v>187</v>
      </c>
      <c r="B12" s="421"/>
      <c r="C12" s="239"/>
      <c r="D12" s="771"/>
      <c r="E12" s="552">
        <v>7</v>
      </c>
      <c r="F12" s="554"/>
      <c r="G12" s="554"/>
      <c r="H12" s="48"/>
      <c r="I12" s="382"/>
      <c r="N12" s="158"/>
      <c r="O12" s="57" t="s">
        <v>150</v>
      </c>
      <c r="P12" s="37"/>
      <c r="Q12" s="37"/>
      <c r="R12" s="37"/>
      <c r="S12" s="37"/>
    </row>
    <row r="13" spans="1:20" ht="18">
      <c r="A13" s="234" t="s">
        <v>188</v>
      </c>
      <c r="B13" s="421"/>
      <c r="C13" s="540"/>
      <c r="D13" s="240"/>
      <c r="E13" s="552">
        <v>8</v>
      </c>
      <c r="F13" s="554"/>
      <c r="G13" s="554"/>
      <c r="H13" s="48"/>
      <c r="I13" s="382"/>
      <c r="N13" s="158"/>
      <c r="O13" s="57" t="s">
        <v>151</v>
      </c>
      <c r="P13" s="37"/>
      <c r="Q13" s="37"/>
      <c r="R13" s="37"/>
      <c r="S13" s="37"/>
    </row>
    <row r="14" spans="1:20" ht="19.5" customHeight="1">
      <c r="A14" s="234" t="s">
        <v>239</v>
      </c>
      <c r="B14" s="530"/>
      <c r="C14" s="239"/>
      <c r="D14" s="543"/>
      <c r="E14" s="552">
        <v>9</v>
      </c>
      <c r="F14" s="554"/>
      <c r="G14" s="554"/>
      <c r="H14" s="48"/>
      <c r="I14" s="382"/>
      <c r="N14" s="158"/>
      <c r="O14" s="360"/>
      <c r="P14" s="37"/>
      <c r="Q14" s="37"/>
      <c r="R14" s="37"/>
      <c r="S14" s="37"/>
    </row>
    <row r="15" spans="1:20" s="37" customFormat="1" ht="32.25" customHeight="1">
      <c r="A15" s="531" t="s">
        <v>406</v>
      </c>
      <c r="B15" s="720" t="s">
        <v>153</v>
      </c>
      <c r="C15" s="12"/>
      <c r="D15" s="240"/>
      <c r="E15" s="552">
        <v>10</v>
      </c>
      <c r="F15" s="554"/>
      <c r="G15" s="554"/>
      <c r="H15" s="48"/>
      <c r="I15" s="382"/>
      <c r="J15" s="160"/>
      <c r="K15" s="160"/>
      <c r="L15" s="160"/>
      <c r="M15" s="158"/>
      <c r="N15" s="158"/>
      <c r="O15" s="360"/>
    </row>
    <row r="16" spans="1:20" ht="30.75" customHeight="1">
      <c r="A16" s="836" t="s">
        <v>413</v>
      </c>
      <c r="B16" s="813"/>
      <c r="C16" s="813"/>
      <c r="D16" s="813"/>
      <c r="E16" s="552">
        <v>11</v>
      </c>
      <c r="F16" s="554"/>
      <c r="G16" s="554"/>
      <c r="H16" s="48"/>
      <c r="I16" s="382"/>
      <c r="N16" s="158"/>
      <c r="O16" s="360"/>
      <c r="P16" s="37"/>
      <c r="Q16" s="37"/>
      <c r="R16" s="37"/>
      <c r="S16" s="37"/>
    </row>
    <row r="17" spans="1:19" ht="30.75" customHeight="1">
      <c r="A17" s="831" t="s">
        <v>391</v>
      </c>
      <c r="B17" s="832"/>
      <c r="C17" s="833"/>
      <c r="D17" s="37"/>
      <c r="E17" s="552">
        <v>12</v>
      </c>
      <c r="F17" s="554"/>
      <c r="G17" s="554"/>
      <c r="H17" s="48"/>
      <c r="I17" s="382"/>
      <c r="N17" s="158"/>
      <c r="O17" s="360"/>
      <c r="P17" s="37"/>
      <c r="Q17" s="37"/>
      <c r="R17" s="37"/>
      <c r="S17" s="37"/>
    </row>
    <row r="18" spans="1:19" ht="30.75" customHeight="1">
      <c r="A18" s="365" t="s">
        <v>358</v>
      </c>
      <c r="B18" s="366" t="s">
        <v>357</v>
      </c>
      <c r="C18" s="517" t="s">
        <v>44</v>
      </c>
      <c r="D18" s="240"/>
      <c r="E18" s="552">
        <v>13</v>
      </c>
      <c r="F18" s="554"/>
      <c r="G18" s="554"/>
      <c r="H18" s="48"/>
      <c r="I18" s="382"/>
      <c r="N18" s="158"/>
      <c r="O18" s="360"/>
      <c r="P18" s="37"/>
      <c r="Q18" s="37"/>
      <c r="R18" s="37"/>
      <c r="S18" s="37"/>
    </row>
    <row r="19" spans="1:19" ht="30.75" customHeight="1">
      <c r="A19" s="365" t="s">
        <v>51</v>
      </c>
      <c r="B19" s="366">
        <v>20</v>
      </c>
      <c r="C19" s="453">
        <v>15</v>
      </c>
      <c r="D19" s="240"/>
      <c r="E19" s="552">
        <v>14</v>
      </c>
      <c r="F19" s="554"/>
      <c r="G19" s="554"/>
      <c r="H19" s="48"/>
      <c r="I19" s="382"/>
      <c r="N19" s="158"/>
      <c r="O19" s="360"/>
      <c r="P19" s="37"/>
      <c r="Q19" s="37"/>
      <c r="R19" s="37"/>
      <c r="S19" s="37"/>
    </row>
    <row r="20" spans="1:19" ht="18">
      <c r="A20" s="367" t="s">
        <v>359</v>
      </c>
      <c r="B20" s="366">
        <v>100</v>
      </c>
      <c r="C20" s="453">
        <v>35</v>
      </c>
      <c r="D20" s="771"/>
      <c r="E20" s="552">
        <v>15</v>
      </c>
      <c r="F20" s="554"/>
      <c r="G20" s="554"/>
      <c r="H20" s="48"/>
      <c r="I20" s="382"/>
      <c r="N20" s="158"/>
      <c r="O20" s="360"/>
      <c r="P20" s="37"/>
      <c r="Q20" s="37"/>
      <c r="R20" s="37"/>
      <c r="S20" s="37"/>
    </row>
    <row r="21" spans="1:19" ht="36" customHeight="1">
      <c r="A21" s="368" t="s">
        <v>53</v>
      </c>
      <c r="B21" s="369">
        <v>1000</v>
      </c>
      <c r="C21" s="369">
        <v>1000</v>
      </c>
      <c r="D21" s="240"/>
      <c r="E21" s="552">
        <v>16</v>
      </c>
      <c r="F21" s="554"/>
      <c r="G21" s="554"/>
      <c r="H21" s="48"/>
      <c r="I21" s="382"/>
      <c r="N21" s="158"/>
      <c r="O21" s="360"/>
      <c r="P21" s="37"/>
      <c r="Q21" s="37"/>
      <c r="R21" s="37"/>
      <c r="S21" s="37"/>
    </row>
    <row r="22" spans="1:19" ht="35.25" customHeight="1">
      <c r="A22" s="541"/>
      <c r="B22" s="542"/>
      <c r="C22" s="542"/>
      <c r="D22" s="240"/>
      <c r="E22" s="552">
        <v>17</v>
      </c>
      <c r="F22" s="554"/>
      <c r="G22" s="554"/>
      <c r="H22" s="48"/>
      <c r="I22" s="382"/>
      <c r="N22" s="158"/>
      <c r="O22" s="360"/>
      <c r="P22" s="37"/>
      <c r="Q22" s="37"/>
      <c r="R22" s="37"/>
      <c r="S22" s="37"/>
    </row>
    <row r="23" spans="1:19" ht="15.75" customHeight="1">
      <c r="A23" s="541"/>
      <c r="B23" s="542"/>
      <c r="C23" s="542"/>
      <c r="D23" s="240"/>
      <c r="E23" s="552">
        <v>18</v>
      </c>
      <c r="F23" s="554"/>
      <c r="G23" s="554"/>
      <c r="H23" s="48"/>
      <c r="I23" s="382"/>
      <c r="N23" s="158"/>
      <c r="O23" s="360"/>
      <c r="P23" s="37"/>
      <c r="Q23" s="37"/>
      <c r="R23" s="37"/>
      <c r="S23" s="37"/>
    </row>
    <row r="24" spans="1:19" ht="18">
      <c r="A24" s="541"/>
      <c r="B24" s="542"/>
      <c r="C24" s="542"/>
      <c r="D24" s="240"/>
      <c r="E24" s="552">
        <v>19</v>
      </c>
      <c r="F24" s="554"/>
      <c r="G24" s="554"/>
      <c r="H24" s="48"/>
      <c r="I24" s="382"/>
      <c r="N24" s="158"/>
      <c r="O24" s="360"/>
      <c r="P24" s="37"/>
      <c r="Q24" s="37"/>
      <c r="R24" s="37"/>
      <c r="S24" s="37"/>
    </row>
    <row r="25" spans="1:19" ht="24.75" customHeight="1">
      <c r="A25" s="541"/>
      <c r="B25" s="542"/>
      <c r="C25" s="542"/>
      <c r="D25" s="240"/>
      <c r="E25" s="552">
        <v>20</v>
      </c>
      <c r="F25" s="554"/>
      <c r="G25" s="554"/>
      <c r="H25" s="48"/>
      <c r="I25" s="382"/>
      <c r="N25" s="158"/>
      <c r="O25" s="360" t="s">
        <v>142</v>
      </c>
      <c r="P25" s="37"/>
      <c r="Q25" s="37"/>
      <c r="R25" s="37"/>
      <c r="S25" s="37"/>
    </row>
    <row r="26" spans="1:19" ht="24.75" customHeight="1">
      <c r="A26" s="541"/>
      <c r="B26" s="542"/>
      <c r="C26" s="542"/>
      <c r="D26" s="240"/>
      <c r="E26" s="552">
        <v>21</v>
      </c>
      <c r="F26" s="554"/>
      <c r="G26" s="554"/>
      <c r="H26" s="48"/>
      <c r="I26" s="382"/>
      <c r="N26" s="158"/>
      <c r="O26" s="360" t="s">
        <v>143</v>
      </c>
      <c r="P26" s="37"/>
      <c r="Q26" s="37"/>
      <c r="R26" s="37"/>
      <c r="S26" s="37"/>
    </row>
    <row r="27" spans="1:19" ht="23.25" customHeight="1">
      <c r="A27" s="541"/>
      <c r="B27" s="542"/>
      <c r="C27" s="542"/>
      <c r="D27" s="240"/>
      <c r="E27" s="552">
        <v>22</v>
      </c>
      <c r="F27" s="554"/>
      <c r="G27" s="554"/>
      <c r="H27" s="48"/>
      <c r="I27" s="382"/>
      <c r="N27" s="158"/>
      <c r="O27" s="360" t="s">
        <v>182</v>
      </c>
      <c r="P27" s="37"/>
      <c r="Q27" s="37"/>
      <c r="R27" s="37"/>
      <c r="S27" s="37"/>
    </row>
    <row r="28" spans="1:19" ht="25.5" customHeight="1">
      <c r="A28" s="541"/>
      <c r="B28" s="542"/>
      <c r="C28" s="542"/>
      <c r="D28" s="240"/>
      <c r="E28" s="552">
        <v>23</v>
      </c>
      <c r="F28" s="554"/>
      <c r="G28" s="554"/>
      <c r="H28" s="48"/>
      <c r="I28" s="382"/>
      <c r="N28" s="158"/>
      <c r="O28" s="360"/>
      <c r="P28" s="37"/>
      <c r="Q28" s="37"/>
      <c r="R28" s="37"/>
      <c r="S28" s="37"/>
    </row>
    <row r="29" spans="1:19" ht="19.5" customHeight="1">
      <c r="A29" s="541"/>
      <c r="B29" s="542"/>
      <c r="C29" s="542"/>
      <c r="D29" s="240"/>
      <c r="E29" s="552">
        <v>24</v>
      </c>
      <c r="F29" s="554"/>
      <c r="G29" s="554"/>
      <c r="H29" s="48"/>
      <c r="I29" s="382"/>
      <c r="K29" s="162"/>
      <c r="M29" s="159"/>
      <c r="N29" s="159"/>
      <c r="O29" s="360"/>
      <c r="P29" s="37"/>
      <c r="Q29" s="37"/>
      <c r="R29" s="37"/>
      <c r="S29" s="37"/>
    </row>
    <row r="30" spans="1:19" ht="35.25" customHeight="1">
      <c r="A30" s="541"/>
      <c r="B30" s="542"/>
      <c r="C30" s="542"/>
      <c r="D30" s="240"/>
      <c r="E30" s="552">
        <v>25</v>
      </c>
      <c r="F30" s="554"/>
      <c r="G30" s="554"/>
      <c r="H30" s="48"/>
      <c r="I30" s="382"/>
      <c r="M30" s="159"/>
      <c r="N30" s="159"/>
      <c r="O30" s="360"/>
      <c r="P30" s="37"/>
      <c r="Q30" s="37"/>
      <c r="R30" s="37"/>
      <c r="S30" s="37"/>
    </row>
    <row r="31" spans="1:19" ht="35.25" customHeight="1">
      <c r="A31" s="541"/>
      <c r="B31" s="542"/>
      <c r="C31" s="542"/>
      <c r="D31" s="240"/>
      <c r="E31" s="552">
        <v>26</v>
      </c>
      <c r="F31" s="554"/>
      <c r="G31" s="554"/>
      <c r="H31" s="48"/>
      <c r="I31" s="382"/>
      <c r="M31" s="159"/>
      <c r="N31" s="159"/>
      <c r="O31" s="360"/>
      <c r="P31" s="37"/>
      <c r="Q31" s="37"/>
      <c r="R31" s="37"/>
      <c r="S31" s="37"/>
    </row>
    <row r="32" spans="1:19" ht="45" customHeight="1">
      <c r="A32" s="541"/>
      <c r="B32" s="542"/>
      <c r="C32" s="542"/>
      <c r="D32" s="240"/>
      <c r="E32" s="552">
        <v>27</v>
      </c>
      <c r="F32" s="554"/>
      <c r="G32" s="554"/>
      <c r="H32" s="48"/>
      <c r="I32" s="382"/>
      <c r="M32" s="159"/>
      <c r="N32" s="159"/>
      <c r="O32" s="360"/>
      <c r="P32" s="37"/>
      <c r="Q32" s="37"/>
      <c r="R32" s="37"/>
      <c r="S32" s="37"/>
    </row>
    <row r="33" spans="1:19" ht="18" customHeight="1">
      <c r="A33" s="541"/>
      <c r="B33" s="542"/>
      <c r="C33" s="542"/>
      <c r="D33" s="240"/>
      <c r="E33" s="552">
        <v>28</v>
      </c>
      <c r="F33" s="554"/>
      <c r="G33" s="554"/>
      <c r="H33" s="48"/>
      <c r="I33" s="382"/>
      <c r="N33" s="158"/>
      <c r="O33" s="521" t="b">
        <v>0</v>
      </c>
      <c r="P33" s="37"/>
      <c r="Q33" s="37"/>
      <c r="R33" s="37"/>
      <c r="S33" s="37"/>
    </row>
    <row r="34" spans="1:19" ht="27" customHeight="1">
      <c r="A34" s="541"/>
      <c r="B34" s="542"/>
      <c r="C34" s="542"/>
      <c r="D34" s="240"/>
      <c r="E34" s="552">
        <v>29</v>
      </c>
      <c r="F34" s="554"/>
      <c r="G34" s="554"/>
      <c r="H34" s="48"/>
      <c r="I34" s="382"/>
      <c r="N34" s="158"/>
      <c r="O34" s="521">
        <v>1</v>
      </c>
      <c r="P34" s="37"/>
      <c r="Q34" s="37"/>
      <c r="R34" s="37"/>
      <c r="S34" s="37"/>
    </row>
    <row r="35" spans="1:19" ht="17.25" customHeight="1">
      <c r="A35" s="541"/>
      <c r="B35" s="542"/>
      <c r="C35" s="542"/>
      <c r="D35" s="240"/>
      <c r="E35" s="552">
        <v>30</v>
      </c>
      <c r="F35" s="554"/>
      <c r="G35" s="554"/>
      <c r="H35" s="48"/>
      <c r="I35" s="382"/>
      <c r="N35" s="158"/>
      <c r="O35" s="521"/>
      <c r="P35" s="37"/>
      <c r="Q35" s="37"/>
      <c r="R35" s="37"/>
      <c r="S35" s="37"/>
    </row>
    <row r="36" spans="1:19" ht="21.75" customHeight="1" thickBot="1">
      <c r="A36" s="242" t="s">
        <v>267</v>
      </c>
      <c r="B36" s="37"/>
      <c r="C36" s="37"/>
      <c r="D36" s="48"/>
      <c r="E36" s="807"/>
      <c r="F36" s="675"/>
      <c r="G36" s="675"/>
      <c r="H36" s="48"/>
      <c r="I36" s="382"/>
      <c r="N36" s="158"/>
      <c r="O36" s="521"/>
      <c r="P36" s="37"/>
      <c r="Q36" s="37"/>
      <c r="R36" s="37"/>
      <c r="S36" s="37"/>
    </row>
    <row r="37" spans="1:19" ht="62.25" customHeight="1">
      <c r="A37" s="243" t="s">
        <v>45</v>
      </c>
      <c r="B37" s="827" t="str">
        <f>IF($G$41="","",IF($F$41&gt;0,"","ERROR: You have specified an Alternative Species for avian LD50 but have not provided a body weight!"))</f>
        <v/>
      </c>
      <c r="C37" s="828"/>
      <c r="D37" s="244"/>
      <c r="E37" s="827" t="str">
        <f>IF($G$43="","",IF($F$43&gt;0,"","ERROR:You have specified an Alternative Species for avian NOAEL but have not provided a body weight!"))</f>
        <v/>
      </c>
      <c r="F37" s="828"/>
      <c r="G37" s="846"/>
      <c r="H37" s="90"/>
      <c r="I37" s="682"/>
      <c r="N37" s="158"/>
      <c r="O37" s="521"/>
      <c r="P37" s="37"/>
      <c r="Q37" s="37"/>
      <c r="R37" s="37"/>
      <c r="S37" s="37"/>
    </row>
    <row r="38" spans="1:19" ht="38.25" customHeight="1" thickBot="1">
      <c r="A38" s="245"/>
      <c r="B38" s="829" t="str">
        <f>IF($G$42="","",IF($F$42&gt;0,"","ERROR: You have specified an Alternative Species for avian LC50 but have not provided a body weight!"))</f>
        <v/>
      </c>
      <c r="C38" s="830"/>
      <c r="D38" s="241"/>
      <c r="E38" s="837" t="str">
        <f>IF($G$44="","",IF($F$44&gt;0,"","ERROR:You have specified an Alternative Species for avian NOAEC but have not provided a body weight!"))</f>
        <v/>
      </c>
      <c r="F38" s="838"/>
      <c r="G38" s="839"/>
      <c r="H38" s="59"/>
      <c r="I38" s="387"/>
      <c r="N38" s="158"/>
      <c r="O38" s="521"/>
      <c r="P38" s="37"/>
      <c r="Q38" s="37"/>
      <c r="R38" s="37"/>
      <c r="S38" s="37"/>
    </row>
    <row r="39" spans="1:19" ht="48" customHeight="1">
      <c r="A39" s="246"/>
      <c r="B39" s="243" t="s">
        <v>14</v>
      </c>
      <c r="C39" s="90"/>
      <c r="D39" s="247"/>
      <c r="E39" s="90"/>
      <c r="F39" s="90"/>
      <c r="G39" s="90"/>
      <c r="H39" s="48"/>
      <c r="I39" s="382"/>
      <c r="N39" s="158"/>
      <c r="O39" s="521" t="s">
        <v>128</v>
      </c>
      <c r="P39" s="37"/>
      <c r="Q39" s="37"/>
      <c r="R39" s="37"/>
      <c r="S39" s="37"/>
    </row>
    <row r="40" spans="1:19" ht="33.75">
      <c r="A40" s="246"/>
      <c r="B40" s="413" t="s">
        <v>376</v>
      </c>
      <c r="C40" s="414" t="s">
        <v>377</v>
      </c>
      <c r="D40" s="422" t="s">
        <v>144</v>
      </c>
      <c r="E40" s="48"/>
      <c r="F40" s="415" t="s">
        <v>241</v>
      </c>
      <c r="G40" s="416" t="s">
        <v>240</v>
      </c>
      <c r="H40" s="422" t="s">
        <v>392</v>
      </c>
      <c r="I40" s="382"/>
      <c r="N40" s="158"/>
      <c r="O40" s="521" t="s">
        <v>129</v>
      </c>
      <c r="P40" s="37"/>
      <c r="Q40" s="37"/>
      <c r="R40" s="37"/>
      <c r="S40" s="37"/>
    </row>
    <row r="41" spans="1:19" ht="27" customHeight="1">
      <c r="A41" s="246"/>
      <c r="B41" s="248" t="s">
        <v>137</v>
      </c>
      <c r="C41" s="445"/>
      <c r="D41" s="411">
        <v>1</v>
      </c>
      <c r="E41" s="447"/>
      <c r="F41" s="359"/>
      <c r="G41" s="401"/>
      <c r="H41" s="1117"/>
      <c r="I41" s="382"/>
      <c r="N41" s="158"/>
      <c r="O41" s="360"/>
      <c r="P41" s="37"/>
      <c r="Q41" s="37"/>
      <c r="R41" s="37"/>
      <c r="S41" s="37"/>
    </row>
    <row r="42" spans="1:19" ht="27" customHeight="1">
      <c r="A42" s="246"/>
      <c r="B42" s="248" t="s">
        <v>136</v>
      </c>
      <c r="C42" s="446"/>
      <c r="D42" s="411">
        <v>1</v>
      </c>
      <c r="E42" s="447"/>
      <c r="F42" s="359"/>
      <c r="G42" s="401"/>
      <c r="H42" s="1118"/>
      <c r="I42" s="382"/>
      <c r="N42" s="158"/>
      <c r="O42" s="360"/>
      <c r="P42" s="37"/>
      <c r="Q42" s="37"/>
      <c r="R42" s="37"/>
      <c r="S42" s="37"/>
    </row>
    <row r="43" spans="1:19" ht="27" customHeight="1">
      <c r="A43" s="246"/>
      <c r="B43" s="248" t="s">
        <v>138</v>
      </c>
      <c r="C43" s="445"/>
      <c r="D43" s="411">
        <v>1</v>
      </c>
      <c r="E43" s="447"/>
      <c r="F43" s="359"/>
      <c r="G43" s="401"/>
      <c r="H43" s="1118"/>
      <c r="I43" s="382"/>
      <c r="N43" s="158"/>
      <c r="O43" s="360"/>
      <c r="P43" s="37"/>
      <c r="Q43" s="37"/>
      <c r="R43" s="37"/>
      <c r="S43" s="37"/>
    </row>
    <row r="44" spans="1:19" ht="27" customHeight="1">
      <c r="A44" s="246"/>
      <c r="B44" s="249" t="s">
        <v>135</v>
      </c>
      <c r="C44" s="446"/>
      <c r="D44" s="412">
        <v>1</v>
      </c>
      <c r="E44" s="447"/>
      <c r="F44" s="359"/>
      <c r="G44" s="401"/>
      <c r="H44" s="1118"/>
      <c r="I44" s="382"/>
      <c r="N44" s="158"/>
      <c r="O44" s="360"/>
      <c r="P44" s="37"/>
      <c r="Q44" s="37"/>
      <c r="R44" s="37"/>
      <c r="S44" s="37"/>
    </row>
    <row r="45" spans="1:19" ht="42" customHeight="1" thickBot="1">
      <c r="A45" s="84"/>
      <c r="B45" s="826" t="s">
        <v>180</v>
      </c>
      <c r="C45" s="943"/>
      <c r="D45" s="1120">
        <v>1.1499999999999999</v>
      </c>
      <c r="E45" s="250" t="str">
        <f>IF(D45="", "&lt;&lt;Warning: Need Scaling Factor to continue","")</f>
        <v/>
      </c>
      <c r="F45" s="37"/>
      <c r="G45" s="251"/>
      <c r="H45" s="418"/>
      <c r="I45" s="419"/>
      <c r="J45" s="161"/>
      <c r="N45" s="158"/>
      <c r="O45" s="360"/>
      <c r="P45" s="37"/>
      <c r="Q45" s="37"/>
      <c r="R45" s="37"/>
      <c r="S45" s="37"/>
    </row>
    <row r="46" spans="1:19" ht="17.25" customHeight="1">
      <c r="A46" s="84"/>
      <c r="B46" s="243" t="s">
        <v>15</v>
      </c>
      <c r="C46" s="90"/>
      <c r="D46" s="90"/>
      <c r="E46" s="90"/>
      <c r="F46" s="90"/>
      <c r="G46" s="48"/>
      <c r="H46" s="48"/>
      <c r="I46" s="383">
        <v>1</v>
      </c>
      <c r="N46" s="158"/>
      <c r="O46" s="360" t="s">
        <v>152</v>
      </c>
      <c r="P46" s="37"/>
      <c r="Q46" s="37"/>
      <c r="R46" s="37"/>
      <c r="S46" s="37"/>
    </row>
    <row r="47" spans="1:19" ht="17.25" customHeight="1">
      <c r="A47" s="84"/>
      <c r="B47" s="518"/>
      <c r="C47" s="48"/>
      <c r="D47" s="68" t="s">
        <v>396</v>
      </c>
      <c r="E47" s="68" t="s">
        <v>395</v>
      </c>
      <c r="F47" s="48"/>
      <c r="G47" s="48"/>
      <c r="H47" s="48"/>
      <c r="I47" s="383"/>
      <c r="N47" s="158"/>
      <c r="O47" s="360" t="s">
        <v>153</v>
      </c>
      <c r="P47" s="37"/>
      <c r="Q47" s="37"/>
      <c r="R47" s="37"/>
      <c r="S47" s="37"/>
    </row>
    <row r="48" spans="1:19" ht="17.25" customHeight="1">
      <c r="A48" s="84"/>
      <c r="B48" s="834" t="s">
        <v>397</v>
      </c>
      <c r="C48" s="835"/>
      <c r="D48" s="519">
        <v>350</v>
      </c>
      <c r="E48" s="520">
        <v>350</v>
      </c>
      <c r="F48" s="48"/>
      <c r="G48" s="48"/>
      <c r="H48" s="48"/>
      <c r="I48" s="383"/>
      <c r="N48" s="158"/>
      <c r="O48" s="360" t="s">
        <v>181</v>
      </c>
      <c r="P48" s="37"/>
      <c r="Q48" s="37"/>
      <c r="R48" s="37"/>
      <c r="S48" s="37"/>
    </row>
    <row r="49" spans="1:19" ht="17.25" customHeight="1">
      <c r="A49" s="84"/>
      <c r="B49" s="413" t="s">
        <v>376</v>
      </c>
      <c r="C49" s="414" t="s">
        <v>377</v>
      </c>
      <c r="D49" s="35"/>
      <c r="E49" s="417" t="s">
        <v>375</v>
      </c>
      <c r="F49" s="48"/>
      <c r="G49" s="48"/>
      <c r="H49" s="48"/>
      <c r="I49" s="382"/>
      <c r="N49" s="158"/>
      <c r="O49" s="360" t="s">
        <v>185</v>
      </c>
      <c r="P49" s="37"/>
      <c r="Q49" s="37"/>
      <c r="R49" s="37"/>
      <c r="S49" s="37"/>
    </row>
    <row r="50" spans="1:19" ht="15.75">
      <c r="A50" s="84"/>
      <c r="B50" s="252" t="s">
        <v>137</v>
      </c>
      <c r="C50" s="442"/>
      <c r="D50" s="48"/>
      <c r="E50" s="1119"/>
      <c r="F50" s="10"/>
      <c r="G50" s="12"/>
      <c r="H50" s="240"/>
      <c r="I50" s="382"/>
      <c r="N50" s="158"/>
      <c r="O50" s="360"/>
      <c r="P50" s="37"/>
      <c r="Q50" s="37"/>
      <c r="R50" s="37"/>
      <c r="S50" s="37"/>
    </row>
    <row r="51" spans="1:19" ht="15.75">
      <c r="A51" s="84"/>
      <c r="B51" s="252" t="s">
        <v>136</v>
      </c>
      <c r="C51" s="443"/>
      <c r="D51" s="48"/>
      <c r="E51" s="1119"/>
      <c r="F51" s="37"/>
      <c r="G51" s="48"/>
      <c r="H51" s="48"/>
      <c r="I51" s="382"/>
      <c r="N51" s="158"/>
      <c r="O51" s="360" t="s">
        <v>168</v>
      </c>
      <c r="P51" s="37"/>
      <c r="Q51" s="37"/>
      <c r="R51" s="37"/>
      <c r="S51" s="37"/>
    </row>
    <row r="52" spans="1:19" ht="25.5">
      <c r="A52" s="84"/>
      <c r="B52" s="253" t="s">
        <v>243</v>
      </c>
      <c r="C52" s="444"/>
      <c r="D52" s="411">
        <v>1</v>
      </c>
      <c r="E52" s="1119"/>
      <c r="F52" s="37"/>
      <c r="G52" s="48"/>
      <c r="H52" s="48"/>
      <c r="I52" s="382"/>
      <c r="K52" s="163"/>
      <c r="L52" s="163"/>
      <c r="N52" s="158"/>
      <c r="O52" s="360" t="s">
        <v>169</v>
      </c>
      <c r="P52" s="37"/>
      <c r="Q52" s="37"/>
      <c r="R52" s="37"/>
      <c r="S52" s="37"/>
    </row>
    <row r="53" spans="1:19" ht="73.5" customHeight="1" thickBot="1">
      <c r="A53" s="84"/>
      <c r="B53" s="1122" t="str">
        <f>IF(D52=2,"Is estimated daily dose (mg/kg-bw) reported from the available chronic mammal study? (yes or no)","Is dietary concentration (mg/kg-diet) reported from the available chronic mammal study? (yes or no)")</f>
        <v>Is dietary concentration (mg/kg-diet) reported from the available chronic mammal study? (yes or no)</v>
      </c>
      <c r="C53" s="1121" t="s">
        <v>153</v>
      </c>
      <c r="D53" s="524"/>
      <c r="E53" s="1119"/>
      <c r="F53" s="37"/>
      <c r="G53" s="48"/>
      <c r="H53" s="48"/>
      <c r="I53" s="522" t="s">
        <v>152</v>
      </c>
      <c r="J53" s="523" t="s">
        <v>153</v>
      </c>
      <c r="K53" s="166"/>
      <c r="L53" s="163"/>
      <c r="N53" s="158"/>
    </row>
    <row r="54" spans="1:19" ht="41.25" customHeight="1" thickBot="1">
      <c r="A54" s="63"/>
      <c r="B54" s="1123" t="str">
        <f>IF(D52=2,"Enter daily dose (mg/kg-bw)","Enter dietary concentration (mg/kg-diet)")</f>
        <v>Enter dietary concentration (mg/kg-diet)</v>
      </c>
      <c r="C54" s="254"/>
      <c r="D54" s="61"/>
      <c r="E54" s="61"/>
      <c r="F54" s="37"/>
      <c r="G54" s="48"/>
      <c r="H54" s="48"/>
      <c r="I54" s="382"/>
      <c r="J54" s="157"/>
      <c r="K54" s="168"/>
      <c r="L54" s="163"/>
      <c r="N54" s="158"/>
    </row>
    <row r="55" spans="1:19" ht="48.75" thickBot="1">
      <c r="A55" s="84"/>
      <c r="B55" s="1122" t="str">
        <f>IF(D52=2,"Estimated Chronic Daily Dose Equivalent to reported Chronic Dietary Endpoint","Estimated Chronic Diet Concentration Equivalent to Reported Chronic Daily Dose")</f>
        <v>Estimated Chronic Diet Concentration Equivalent to Reported Chronic Daily Dose</v>
      </c>
      <c r="C55" s="255">
        <f>IF(C$53="yes",$C$54,IF($D$52=2,$C$52/20,$C$52*20))</f>
        <v>0</v>
      </c>
      <c r="D55" s="256" t="str">
        <f>IF(D52=2,"mg/kg-bw based on standard FDA lab rat conversion","mg/kg-diet based on standard FDA lab rat conversion")</f>
        <v>mg/kg-diet based on standard FDA lab rat conversion</v>
      </c>
      <c r="E55" s="59"/>
      <c r="F55" s="59"/>
      <c r="G55" s="59"/>
      <c r="H55" s="59"/>
      <c r="I55" s="387"/>
      <c r="K55" s="168"/>
      <c r="L55" s="163"/>
      <c r="N55" s="158"/>
    </row>
    <row r="56" spans="1:19" ht="13.5" thickBot="1">
      <c r="A56" s="66"/>
      <c r="B56" s="59"/>
      <c r="C56" s="59"/>
      <c r="D56" s="59"/>
      <c r="E56" s="83"/>
      <c r="F56" s="83"/>
      <c r="G56" s="83"/>
      <c r="H56" s="83"/>
      <c r="I56" s="420"/>
      <c r="K56" s="170"/>
      <c r="L56" s="163"/>
      <c r="N56" s="158"/>
    </row>
    <row r="57" spans="1:19">
      <c r="A57" s="257"/>
      <c r="B57" s="114"/>
      <c r="C57" s="114"/>
      <c r="D57" s="258"/>
      <c r="E57" s="48"/>
      <c r="F57" s="37"/>
      <c r="G57" s="48"/>
      <c r="H57" s="48"/>
      <c r="I57" s="382"/>
      <c r="K57" s="170"/>
      <c r="L57" s="163"/>
      <c r="N57" s="158"/>
    </row>
    <row r="58" spans="1:19" ht="18">
      <c r="A58" s="259" t="s">
        <v>94</v>
      </c>
      <c r="B58" s="822" t="s">
        <v>184</v>
      </c>
      <c r="C58" s="161">
        <v>1</v>
      </c>
      <c r="D58" s="260" t="str">
        <f>IF(AND(C58=1,C59=1),"Make sure to enter an"," ")</f>
        <v xml:space="preserve"> </v>
      </c>
      <c r="E58" s="48"/>
      <c r="F58" s="37"/>
      <c r="G58" s="48"/>
      <c r="H58" s="48"/>
      <c r="I58" s="382"/>
      <c r="K58" s="170"/>
      <c r="L58" s="163"/>
      <c r="N58" s="158"/>
    </row>
    <row r="59" spans="1:19">
      <c r="A59" s="261"/>
      <c r="B59" s="823"/>
      <c r="C59" s="161">
        <v>2</v>
      </c>
      <c r="D59" s="260" t="str">
        <f>IF(AND(C58=1,C59=1),"application rate above","Enter data below:")</f>
        <v>Enter data below:</v>
      </c>
      <c r="E59" s="48"/>
      <c r="F59" s="37"/>
      <c r="G59" s="48"/>
      <c r="H59" s="48"/>
      <c r="I59" s="382"/>
      <c r="K59" s="170"/>
      <c r="L59" s="163"/>
      <c r="N59" s="158"/>
    </row>
    <row r="60" spans="1:19" ht="51" customHeight="1">
      <c r="A60" s="261"/>
      <c r="B60" s="400"/>
      <c r="C60" s="404" t="str">
        <f>IF(C59=2,"Is application rate given in lbs a.i./Acre?","Do not use this input")</f>
        <v>Is application rate given in lbs a.i./Acre?</v>
      </c>
      <c r="D60" s="254" t="s">
        <v>152</v>
      </c>
      <c r="E60" s="48"/>
      <c r="F60" s="37"/>
      <c r="G60" s="48"/>
      <c r="H60" s="48"/>
      <c r="I60" s="382"/>
      <c r="K60" s="163"/>
      <c r="L60" s="163"/>
      <c r="N60" s="158"/>
    </row>
    <row r="61" spans="1:19" ht="50.25" customHeight="1">
      <c r="A61" s="261"/>
      <c r="B61" s="400"/>
      <c r="C61" s="404" t="str">
        <f>IF(C60="do not use this input","Do not use this input", IF(D60="no","Do not use this input","Application rate, lbs a.i./Acre, from B10"))</f>
        <v>Application rate, lbs a.i./Acre, from B10</v>
      </c>
      <c r="D61" s="423"/>
      <c r="E61" s="48"/>
      <c r="F61" s="37"/>
      <c r="G61" s="48"/>
      <c r="H61" s="48"/>
      <c r="I61" s="382"/>
      <c r="K61" s="163"/>
      <c r="L61" s="163"/>
      <c r="N61" s="158"/>
    </row>
    <row r="62" spans="1:19" ht="15.75">
      <c r="A62" s="262"/>
      <c r="B62" s="263"/>
      <c r="C62" s="264" t="str">
        <f>IF(AND(C59=2,D60="no"),"fl oz per acre", "Do not use this input")</f>
        <v>Do not use this input</v>
      </c>
      <c r="D62" s="423"/>
      <c r="E62" s="48"/>
      <c r="F62" s="37"/>
      <c r="G62" s="48"/>
      <c r="H62" s="48"/>
      <c r="I62" s="382"/>
      <c r="K62" s="163"/>
      <c r="L62" s="163"/>
      <c r="N62" s="158"/>
    </row>
    <row r="63" spans="1:19" ht="15.75">
      <c r="A63" s="265"/>
      <c r="B63" s="263"/>
      <c r="C63" s="264" t="str">
        <f>IF(C58=1,"Do not use this input","Row spacing (in):")</f>
        <v>Do not use this input</v>
      </c>
      <c r="D63" s="423"/>
      <c r="E63" s="48"/>
      <c r="F63" s="266"/>
      <c r="G63" s="267"/>
      <c r="H63" s="267"/>
      <c r="I63" s="384"/>
      <c r="K63" s="163"/>
      <c r="L63" s="163"/>
      <c r="N63" s="158"/>
    </row>
    <row r="64" spans="1:19" ht="15.75">
      <c r="A64" s="265"/>
      <c r="B64" s="263"/>
      <c r="C64" s="264" t="str">
        <f>IF(C58=1,"Do not use this input","Bandwidth (in):")</f>
        <v>Do not use this input</v>
      </c>
      <c r="D64" s="254"/>
      <c r="E64" s="48"/>
      <c r="F64" s="37"/>
      <c r="G64" s="48"/>
      <c r="H64" s="48"/>
      <c r="I64" s="382"/>
      <c r="K64" s="163"/>
      <c r="L64" s="163"/>
      <c r="N64" s="158"/>
    </row>
    <row r="65" spans="1:14" ht="15.75">
      <c r="A65" s="268"/>
      <c r="B65" s="269"/>
      <c r="C65" s="264" t="s">
        <v>362</v>
      </c>
      <c r="D65" s="405"/>
      <c r="E65" s="48"/>
      <c r="F65" s="37"/>
      <c r="G65" s="48"/>
      <c r="H65" s="48"/>
      <c r="I65" s="382"/>
      <c r="K65" s="163"/>
      <c r="L65" s="163"/>
      <c r="N65" s="158"/>
    </row>
    <row r="66" spans="1:14" ht="13.5" thickBot="1">
      <c r="A66" s="270"/>
      <c r="B66" s="271"/>
      <c r="C66" s="272"/>
      <c r="D66" s="233" t="s">
        <v>363</v>
      </c>
      <c r="E66" s="59"/>
      <c r="F66" s="59"/>
      <c r="G66" s="59"/>
      <c r="H66" s="59"/>
      <c r="I66" s="387"/>
      <c r="K66" s="172"/>
      <c r="L66" s="163"/>
      <c r="N66" s="158"/>
    </row>
    <row r="67" spans="1:14">
      <c r="A67" s="273"/>
      <c r="B67" s="274"/>
      <c r="C67" s="275"/>
      <c r="D67" s="258"/>
      <c r="E67" s="48"/>
      <c r="F67" s="37"/>
      <c r="G67" s="48"/>
      <c r="H67" s="48"/>
      <c r="I67" s="382"/>
      <c r="K67" s="163"/>
      <c r="L67" s="163"/>
      <c r="N67" s="158"/>
    </row>
    <row r="68" spans="1:14" ht="21" thickBot="1">
      <c r="A68" s="276" t="s">
        <v>127</v>
      </c>
      <c r="B68" s="233"/>
      <c r="C68" s="277" t="s">
        <v>154</v>
      </c>
      <c r="D68" s="278">
        <f>B6</f>
        <v>0</v>
      </c>
      <c r="E68" s="279"/>
      <c r="F68" s="280"/>
      <c r="G68" s="233"/>
      <c r="H68" s="233"/>
      <c r="I68" s="419"/>
      <c r="J68" s="163"/>
      <c r="N68" s="158"/>
    </row>
    <row r="69" spans="1:14">
      <c r="A69" s="56"/>
      <c r="B69" s="56"/>
      <c r="C69" s="112"/>
      <c r="D69" s="113"/>
      <c r="E69" s="68"/>
      <c r="F69" s="61"/>
      <c r="G69" s="71"/>
      <c r="H69" s="72"/>
      <c r="I69" s="164"/>
      <c r="J69" s="165"/>
      <c r="N69" s="158"/>
    </row>
    <row r="70" spans="1:14">
      <c r="A70" s="114"/>
      <c r="B70" s="56"/>
      <c r="C70" s="112"/>
      <c r="D70" s="113"/>
      <c r="E70" s="68"/>
      <c r="F70" s="48"/>
      <c r="G70" s="73"/>
      <c r="H70" s="70"/>
      <c r="I70" s="167"/>
      <c r="J70" s="163"/>
      <c r="N70" s="158"/>
    </row>
    <row r="71" spans="1:14">
      <c r="A71" s="114"/>
      <c r="B71" s="56"/>
      <c r="C71" s="56"/>
      <c r="D71" s="56"/>
      <c r="E71" s="74"/>
      <c r="F71" s="70"/>
      <c r="G71" s="70"/>
      <c r="H71" s="70"/>
      <c r="I71" s="163"/>
      <c r="J71" s="163"/>
      <c r="N71" s="158"/>
    </row>
    <row r="72" spans="1:14">
      <c r="A72" s="114"/>
      <c r="B72" s="56"/>
      <c r="C72" s="56"/>
      <c r="D72" s="56"/>
      <c r="E72" s="74"/>
      <c r="F72" s="75"/>
      <c r="G72" s="70"/>
      <c r="H72" s="75"/>
      <c r="I72" s="163"/>
      <c r="J72" s="169"/>
      <c r="N72" s="158"/>
    </row>
    <row r="73" spans="1:14">
      <c r="A73" s="114"/>
      <c r="B73" s="56"/>
      <c r="C73" s="114"/>
      <c r="D73" s="114"/>
      <c r="E73" s="74"/>
      <c r="F73" s="75"/>
      <c r="G73" s="70"/>
      <c r="H73" s="75"/>
      <c r="I73" s="163"/>
      <c r="J73" s="169"/>
      <c r="N73" s="158"/>
    </row>
    <row r="74" spans="1:14">
      <c r="A74" s="114"/>
      <c r="B74" s="114"/>
      <c r="C74" s="114"/>
      <c r="D74" s="114"/>
      <c r="E74" s="74"/>
      <c r="F74" s="75"/>
      <c r="G74" s="70"/>
      <c r="H74" s="75"/>
      <c r="I74" s="163"/>
      <c r="J74" s="169"/>
      <c r="N74" s="158"/>
    </row>
    <row r="75" spans="1:14">
      <c r="A75" s="114"/>
      <c r="B75" s="114"/>
      <c r="C75" s="114"/>
      <c r="D75" s="114"/>
      <c r="E75" s="76"/>
      <c r="F75" s="75"/>
      <c r="G75" s="70"/>
      <c r="H75" s="75"/>
      <c r="I75" s="163"/>
      <c r="J75" s="169"/>
      <c r="N75" s="158"/>
    </row>
    <row r="76" spans="1:14">
      <c r="A76" s="114"/>
      <c r="B76" s="114"/>
      <c r="C76" s="114"/>
      <c r="D76" s="114"/>
      <c r="E76" s="76"/>
      <c r="F76" s="75"/>
      <c r="G76" s="70"/>
      <c r="H76" s="75"/>
      <c r="I76" s="163"/>
      <c r="J76" s="169"/>
      <c r="N76" s="158"/>
    </row>
    <row r="77" spans="1:14">
      <c r="A77" s="114"/>
      <c r="B77" s="114"/>
      <c r="C77" s="114"/>
      <c r="D77" s="114"/>
      <c r="E77" s="76"/>
      <c r="F77" s="77"/>
      <c r="G77" s="78"/>
      <c r="H77" s="77"/>
      <c r="I77" s="164"/>
      <c r="J77" s="171"/>
      <c r="N77" s="158"/>
    </row>
    <row r="78" spans="1:14">
      <c r="A78" s="114"/>
      <c r="B78" s="114"/>
      <c r="C78" s="114"/>
      <c r="D78" s="114"/>
      <c r="E78" s="74"/>
      <c r="F78" s="75"/>
      <c r="G78" s="70"/>
      <c r="H78" s="75"/>
      <c r="I78" s="163"/>
      <c r="J78" s="169"/>
      <c r="N78" s="158"/>
    </row>
    <row r="79" spans="1:14">
      <c r="A79" s="114"/>
      <c r="B79" s="114"/>
      <c r="C79" s="114"/>
      <c r="D79" s="114"/>
      <c r="E79" s="74"/>
      <c r="F79" s="75"/>
      <c r="G79" s="70"/>
      <c r="H79" s="75"/>
      <c r="I79" s="163"/>
      <c r="J79" s="169"/>
      <c r="N79" s="158"/>
    </row>
    <row r="80" spans="1:14">
      <c r="A80" s="114"/>
      <c r="B80" s="114"/>
      <c r="C80" s="114"/>
      <c r="D80" s="114"/>
      <c r="E80" s="74"/>
      <c r="F80" s="75"/>
      <c r="G80" s="70"/>
      <c r="H80" s="75"/>
      <c r="I80" s="163"/>
      <c r="J80" s="169"/>
      <c r="N80" s="158"/>
    </row>
    <row r="81" spans="1:14">
      <c r="A81" s="114"/>
      <c r="B81" s="114"/>
      <c r="C81" s="114"/>
      <c r="D81" s="114"/>
      <c r="E81" s="76"/>
      <c r="F81" s="75"/>
      <c r="G81" s="70"/>
      <c r="H81" s="75"/>
      <c r="I81" s="163"/>
      <c r="J81" s="169"/>
      <c r="N81" s="158"/>
    </row>
    <row r="82" spans="1:14">
      <c r="A82" s="114"/>
      <c r="B82" s="114"/>
      <c r="C82" s="114"/>
      <c r="D82" s="114"/>
      <c r="E82" s="76"/>
      <c r="F82" s="75"/>
      <c r="G82" s="70"/>
      <c r="H82" s="75"/>
      <c r="I82" s="163"/>
      <c r="J82" s="169"/>
      <c r="N82" s="158"/>
    </row>
    <row r="83" spans="1:14">
      <c r="A83" s="114"/>
      <c r="B83" s="114"/>
      <c r="C83" s="114"/>
      <c r="D83" s="114"/>
      <c r="E83" s="56"/>
      <c r="F83" s="56"/>
      <c r="G83" s="56"/>
      <c r="H83" s="56"/>
      <c r="I83" s="163"/>
      <c r="J83" s="163"/>
      <c r="N83" s="158"/>
    </row>
    <row r="84" spans="1:14">
      <c r="A84" s="114"/>
      <c r="B84" s="114"/>
      <c r="C84" s="114"/>
      <c r="D84" s="114"/>
      <c r="E84" s="37"/>
      <c r="F84" s="37"/>
      <c r="G84" s="37"/>
      <c r="H84" s="37"/>
      <c r="I84" s="160"/>
      <c r="N84" s="158"/>
    </row>
    <row r="85" spans="1:14">
      <c r="A85" s="114"/>
      <c r="B85" s="114"/>
      <c r="C85" s="114"/>
      <c r="D85" s="114"/>
      <c r="E85" s="37"/>
      <c r="F85" s="37"/>
      <c r="G85" s="37"/>
      <c r="H85" s="37"/>
      <c r="I85" s="160"/>
      <c r="N85" s="158"/>
    </row>
    <row r="86" spans="1:14">
      <c r="A86" s="37"/>
      <c r="B86" s="37"/>
      <c r="C86" s="37"/>
      <c r="D86" s="37"/>
      <c r="E86" s="37"/>
      <c r="F86" s="37"/>
      <c r="G86" s="37"/>
      <c r="H86" s="37"/>
      <c r="I86" s="160"/>
      <c r="N86" s="158"/>
    </row>
    <row r="87" spans="1:14">
      <c r="A87" s="37"/>
      <c r="B87" s="37"/>
      <c r="C87" s="37"/>
      <c r="D87" s="37"/>
      <c r="E87" s="37"/>
      <c r="F87" s="37"/>
      <c r="G87" s="37"/>
      <c r="H87" s="37"/>
      <c r="I87" s="160"/>
      <c r="N87" s="158"/>
    </row>
    <row r="88" spans="1:14">
      <c r="A88" s="37"/>
      <c r="B88" s="37"/>
      <c r="C88" s="37"/>
      <c r="D88" s="37"/>
      <c r="E88" s="37"/>
      <c r="F88" s="37"/>
      <c r="G88" s="37"/>
      <c r="H88" s="37"/>
      <c r="I88" s="160"/>
      <c r="N88" s="158"/>
    </row>
    <row r="89" spans="1:14">
      <c r="A89" s="37"/>
      <c r="B89" s="37"/>
      <c r="C89" s="37"/>
      <c r="D89" s="37"/>
      <c r="E89" s="37"/>
      <c r="F89" s="37"/>
      <c r="G89" s="37"/>
      <c r="H89" s="37"/>
      <c r="I89" s="160"/>
      <c r="N89" s="158"/>
    </row>
    <row r="90" spans="1:14">
      <c r="A90" s="37"/>
      <c r="B90" s="37"/>
      <c r="C90" s="37"/>
      <c r="D90" s="37"/>
      <c r="E90" s="37"/>
      <c r="F90" s="37"/>
      <c r="G90" s="37"/>
      <c r="H90" s="37"/>
      <c r="I90" s="160"/>
      <c r="N90" s="158"/>
    </row>
    <row r="91" spans="1:14">
      <c r="A91" s="37"/>
      <c r="B91" s="37"/>
      <c r="C91" s="37"/>
      <c r="D91" s="37"/>
      <c r="E91" s="37"/>
      <c r="F91" s="37"/>
      <c r="G91" s="37"/>
      <c r="H91" s="37"/>
      <c r="I91" s="160"/>
      <c r="N91" s="158"/>
    </row>
    <row r="92" spans="1:14">
      <c r="A92" s="37"/>
      <c r="B92" s="37"/>
      <c r="C92" s="37"/>
      <c r="D92" s="37"/>
      <c r="E92" s="37"/>
      <c r="F92" s="37"/>
      <c r="G92" s="37"/>
      <c r="H92" s="37"/>
      <c r="I92" s="160"/>
      <c r="N92" s="158"/>
    </row>
    <row r="93" spans="1:14">
      <c r="A93" s="37"/>
      <c r="B93" s="37"/>
      <c r="C93" s="37"/>
      <c r="D93" s="37"/>
      <c r="E93" s="37"/>
      <c r="F93" s="37"/>
      <c r="G93" s="37"/>
      <c r="H93" s="37"/>
      <c r="I93" s="160"/>
      <c r="N93" s="158"/>
    </row>
    <row r="94" spans="1:14">
      <c r="A94" s="37"/>
      <c r="B94" s="37"/>
      <c r="C94" s="37"/>
      <c r="D94" s="37"/>
      <c r="E94" s="37"/>
      <c r="F94" s="37"/>
      <c r="G94" s="37"/>
      <c r="H94" s="37"/>
      <c r="I94" s="160"/>
      <c r="N94" s="158"/>
    </row>
    <row r="95" spans="1:14">
      <c r="A95" s="37"/>
      <c r="B95" s="37"/>
      <c r="C95" s="37"/>
      <c r="D95" s="37"/>
      <c r="E95" s="37"/>
      <c r="F95" s="37"/>
      <c r="G95" s="37"/>
      <c r="H95" s="37"/>
      <c r="I95" s="160"/>
      <c r="N95" s="158"/>
    </row>
    <row r="96" spans="1:14">
      <c r="A96" s="37"/>
      <c r="B96" s="37"/>
      <c r="C96" s="37"/>
      <c r="D96" s="37"/>
      <c r="E96" s="37"/>
      <c r="F96" s="37"/>
      <c r="G96" s="37"/>
      <c r="H96" s="37"/>
      <c r="I96" s="160"/>
      <c r="N96" s="158"/>
    </row>
    <row r="97" spans="1:14">
      <c r="A97" s="37"/>
      <c r="B97" s="37"/>
      <c r="C97" s="37"/>
      <c r="D97" s="37"/>
      <c r="E97" s="37"/>
      <c r="F97" s="37"/>
      <c r="G97" s="37"/>
      <c r="H97" s="37"/>
      <c r="I97" s="160"/>
      <c r="N97" s="158"/>
    </row>
    <row r="98" spans="1:14">
      <c r="A98" s="37"/>
      <c r="B98" s="37"/>
      <c r="C98" s="37"/>
      <c r="D98" s="37"/>
      <c r="E98" s="37"/>
      <c r="F98" s="37"/>
      <c r="G98" s="37"/>
      <c r="H98" s="37"/>
      <c r="I98" s="160"/>
      <c r="N98" s="158"/>
    </row>
    <row r="99" spans="1:14">
      <c r="A99" s="37"/>
      <c r="B99" s="37"/>
      <c r="C99" s="37"/>
      <c r="D99" s="37"/>
      <c r="E99" s="37"/>
      <c r="F99" s="37"/>
      <c r="G99" s="37"/>
      <c r="H99" s="37"/>
      <c r="I99" s="160"/>
      <c r="N99" s="158"/>
    </row>
    <row r="100" spans="1:14">
      <c r="A100" s="37"/>
      <c r="B100" s="37"/>
      <c r="C100" s="37"/>
      <c r="D100" s="37"/>
      <c r="E100" s="37"/>
      <c r="F100" s="37"/>
      <c r="G100" s="37"/>
      <c r="H100" s="37"/>
      <c r="I100" s="160"/>
      <c r="N100" s="158"/>
    </row>
    <row r="101" spans="1:14">
      <c r="A101" s="37"/>
      <c r="B101" s="37"/>
      <c r="C101" s="37"/>
      <c r="D101" s="37"/>
      <c r="E101" s="37"/>
      <c r="F101" s="37"/>
      <c r="G101" s="37"/>
      <c r="H101" s="37"/>
      <c r="I101" s="160"/>
      <c r="N101" s="158"/>
    </row>
    <row r="102" spans="1:14">
      <c r="A102" s="37"/>
      <c r="B102" s="37"/>
      <c r="C102" s="37"/>
      <c r="D102" s="37"/>
      <c r="E102" s="37"/>
      <c r="F102" s="37"/>
      <c r="G102" s="37"/>
      <c r="H102" s="37"/>
      <c r="I102" s="160"/>
      <c r="N102" s="158"/>
    </row>
    <row r="103" spans="1:14">
      <c r="A103" s="37"/>
      <c r="B103" s="37"/>
      <c r="C103" s="37"/>
      <c r="D103" s="37"/>
      <c r="E103" s="37"/>
      <c r="F103" s="37"/>
      <c r="G103" s="37"/>
      <c r="H103" s="37"/>
      <c r="I103" s="160"/>
      <c r="N103" s="158"/>
    </row>
    <row r="104" spans="1:14">
      <c r="A104" s="37"/>
      <c r="B104" s="37"/>
      <c r="C104" s="37"/>
      <c r="D104" s="37"/>
      <c r="E104" s="37"/>
      <c r="F104" s="37"/>
      <c r="G104" s="37"/>
      <c r="H104" s="37"/>
      <c r="I104" s="160"/>
      <c r="N104" s="158"/>
    </row>
    <row r="105" spans="1:14">
      <c r="A105" s="37"/>
      <c r="B105" s="37"/>
      <c r="C105" s="37"/>
      <c r="D105" s="37"/>
      <c r="E105" s="37"/>
      <c r="F105" s="37"/>
      <c r="G105" s="37"/>
      <c r="H105" s="37"/>
      <c r="I105" s="160"/>
      <c r="N105" s="158"/>
    </row>
    <row r="106" spans="1:14">
      <c r="A106" s="37"/>
      <c r="B106" s="37"/>
      <c r="C106" s="37"/>
      <c r="D106" s="37"/>
      <c r="E106" s="37"/>
      <c r="F106" s="37"/>
      <c r="G106" s="37"/>
      <c r="H106" s="37"/>
      <c r="I106" s="160"/>
      <c r="N106" s="158"/>
    </row>
    <row r="107" spans="1:14">
      <c r="A107" s="37"/>
      <c r="B107" s="37"/>
      <c r="C107" s="37"/>
      <c r="D107" s="37"/>
      <c r="E107" s="37"/>
      <c r="F107" s="37"/>
      <c r="G107" s="37"/>
      <c r="H107" s="37"/>
      <c r="I107" s="160"/>
      <c r="N107" s="158"/>
    </row>
    <row r="108" spans="1:14">
      <c r="A108" s="37"/>
      <c r="B108" s="37"/>
      <c r="C108" s="37"/>
      <c r="D108" s="37"/>
      <c r="E108" s="37"/>
      <c r="F108" s="37"/>
      <c r="G108" s="37"/>
      <c r="H108" s="37"/>
      <c r="I108" s="160"/>
      <c r="N108" s="158"/>
    </row>
    <row r="109" spans="1:14">
      <c r="A109" s="37"/>
      <c r="B109" s="37"/>
      <c r="C109" s="37"/>
      <c r="D109" s="37"/>
      <c r="E109" s="37"/>
      <c r="F109" s="37"/>
      <c r="G109" s="37"/>
      <c r="H109" s="37"/>
      <c r="I109" s="160"/>
      <c r="N109" s="158"/>
    </row>
    <row r="110" spans="1:14">
      <c r="A110" s="37"/>
      <c r="B110" s="37"/>
      <c r="C110" s="37"/>
      <c r="D110" s="37"/>
      <c r="E110" s="37"/>
      <c r="F110" s="37"/>
      <c r="G110" s="37"/>
      <c r="H110" s="37"/>
      <c r="I110" s="160"/>
      <c r="N110" s="158"/>
    </row>
    <row r="111" spans="1:14">
      <c r="A111" s="37"/>
      <c r="B111" s="37"/>
      <c r="C111" s="37"/>
      <c r="D111" s="37"/>
      <c r="E111" s="37"/>
      <c r="F111" s="37"/>
      <c r="G111" s="37"/>
      <c r="H111" s="37"/>
      <c r="I111" s="160"/>
      <c r="N111" s="158"/>
    </row>
    <row r="112" spans="1:14">
      <c r="A112" s="37"/>
      <c r="B112" s="37"/>
      <c r="C112" s="37"/>
      <c r="D112" s="37"/>
      <c r="E112" s="37"/>
      <c r="F112" s="37"/>
      <c r="G112" s="37"/>
      <c r="H112" s="37"/>
      <c r="I112" s="160"/>
      <c r="N112" s="158"/>
    </row>
    <row r="113" spans="1:14">
      <c r="A113" s="37"/>
      <c r="B113" s="37"/>
      <c r="C113" s="37"/>
      <c r="D113" s="37"/>
      <c r="E113" s="37"/>
      <c r="F113" s="37"/>
      <c r="G113" s="37"/>
      <c r="H113" s="37"/>
      <c r="I113" s="160"/>
      <c r="N113" s="158"/>
    </row>
    <row r="114" spans="1:14">
      <c r="A114" s="37"/>
      <c r="B114" s="37"/>
      <c r="C114" s="37"/>
      <c r="D114" s="37"/>
      <c r="E114" s="37"/>
      <c r="F114" s="37"/>
      <c r="G114" s="37"/>
      <c r="H114" s="37"/>
      <c r="I114" s="160"/>
      <c r="N114" s="158"/>
    </row>
    <row r="115" spans="1:14">
      <c r="A115" s="37"/>
      <c r="B115" s="37"/>
      <c r="C115" s="37"/>
      <c r="D115" s="37"/>
      <c r="E115" s="37"/>
      <c r="F115" s="37"/>
      <c r="G115" s="37"/>
      <c r="H115" s="37"/>
      <c r="I115" s="160"/>
      <c r="N115" s="158"/>
    </row>
    <row r="116" spans="1:14">
      <c r="A116" s="37"/>
      <c r="B116" s="37"/>
      <c r="C116" s="37"/>
      <c r="D116" s="37"/>
      <c r="E116" s="37"/>
      <c r="F116" s="37"/>
      <c r="G116" s="37"/>
      <c r="H116" s="37"/>
      <c r="I116" s="160"/>
      <c r="N116" s="158"/>
    </row>
    <row r="117" spans="1:14">
      <c r="A117" s="37"/>
      <c r="B117" s="37"/>
      <c r="C117" s="37"/>
      <c r="D117" s="37"/>
      <c r="E117" s="37"/>
      <c r="F117" s="37"/>
      <c r="G117" s="37"/>
      <c r="H117" s="37"/>
      <c r="I117" s="160"/>
      <c r="N117" s="158"/>
    </row>
    <row r="118" spans="1:14">
      <c r="A118" s="37"/>
      <c r="B118" s="37"/>
      <c r="C118" s="37"/>
      <c r="D118" s="37"/>
      <c r="E118" s="37"/>
      <c r="F118" s="37"/>
      <c r="G118" s="37"/>
      <c r="H118" s="37"/>
      <c r="I118" s="160"/>
      <c r="N118" s="158"/>
    </row>
    <row r="119" spans="1:14">
      <c r="A119" s="37"/>
      <c r="B119" s="37"/>
      <c r="C119" s="37"/>
      <c r="D119" s="37"/>
      <c r="E119" s="37"/>
      <c r="F119" s="37"/>
      <c r="G119" s="37"/>
      <c r="H119" s="37"/>
      <c r="I119" s="160"/>
      <c r="N119" s="158"/>
    </row>
    <row r="120" spans="1:14">
      <c r="A120" s="37"/>
      <c r="B120" s="37"/>
      <c r="C120" s="37"/>
      <c r="D120" s="37"/>
      <c r="E120" s="37"/>
      <c r="F120" s="37"/>
      <c r="G120" s="37"/>
      <c r="H120" s="37"/>
      <c r="I120" s="160"/>
      <c r="N120" s="158"/>
    </row>
    <row r="121" spans="1:14">
      <c r="A121" s="37"/>
      <c r="B121" s="37"/>
      <c r="C121" s="37"/>
      <c r="D121" s="37"/>
      <c r="E121" s="37"/>
      <c r="F121" s="37"/>
      <c r="G121" s="37"/>
      <c r="H121" s="37"/>
      <c r="I121" s="160"/>
      <c r="N121" s="158"/>
    </row>
    <row r="122" spans="1:14">
      <c r="A122" s="37"/>
      <c r="B122" s="37"/>
      <c r="C122" s="37"/>
      <c r="D122" s="37"/>
      <c r="E122" s="37"/>
      <c r="F122" s="37"/>
      <c r="G122" s="37"/>
      <c r="H122" s="37"/>
      <c r="I122" s="160"/>
      <c r="N122" s="158"/>
    </row>
    <row r="123" spans="1:14">
      <c r="A123" s="37"/>
      <c r="B123" s="37"/>
      <c r="C123" s="37"/>
      <c r="D123" s="37"/>
      <c r="E123" s="37"/>
      <c r="F123" s="37"/>
      <c r="G123" s="37"/>
      <c r="H123" s="37"/>
      <c r="I123" s="160"/>
      <c r="N123" s="158"/>
    </row>
    <row r="124" spans="1:14">
      <c r="A124" s="37"/>
      <c r="B124" s="37"/>
      <c r="C124" s="37"/>
      <c r="D124" s="37"/>
      <c r="E124" s="37"/>
      <c r="F124" s="37"/>
      <c r="G124" s="37"/>
      <c r="H124" s="37"/>
      <c r="I124" s="160"/>
      <c r="N124" s="158"/>
    </row>
    <row r="125" spans="1:14">
      <c r="A125" s="37"/>
      <c r="B125" s="37"/>
      <c r="C125" s="37"/>
      <c r="D125" s="37"/>
      <c r="E125" s="37"/>
      <c r="F125" s="37"/>
      <c r="G125" s="37"/>
      <c r="H125" s="37"/>
      <c r="I125" s="160"/>
      <c r="N125" s="158"/>
    </row>
    <row r="126" spans="1:14">
      <c r="A126" s="37"/>
      <c r="B126" s="37"/>
      <c r="C126" s="37"/>
      <c r="D126" s="37"/>
      <c r="E126" s="37"/>
      <c r="F126" s="37"/>
      <c r="G126" s="37"/>
      <c r="H126" s="37"/>
      <c r="I126" s="160"/>
      <c r="N126" s="158"/>
    </row>
    <row r="127" spans="1:14">
      <c r="A127" s="37"/>
      <c r="B127" s="37"/>
      <c r="C127" s="37"/>
      <c r="D127" s="37"/>
      <c r="E127" s="37"/>
      <c r="F127" s="37"/>
      <c r="G127" s="37"/>
      <c r="H127" s="37"/>
      <c r="I127" s="160"/>
      <c r="N127" s="158"/>
    </row>
    <row r="128" spans="1:14">
      <c r="A128" s="37"/>
      <c r="B128" s="37"/>
      <c r="C128" s="37"/>
      <c r="D128" s="37"/>
      <c r="E128" s="37"/>
      <c r="F128" s="37"/>
      <c r="G128" s="37"/>
      <c r="H128" s="37"/>
      <c r="I128" s="160"/>
      <c r="N128" s="158"/>
    </row>
    <row r="129" spans="1:14">
      <c r="A129" s="37"/>
      <c r="B129" s="37"/>
      <c r="C129" s="37"/>
      <c r="D129" s="37"/>
      <c r="E129" s="37"/>
      <c r="F129" s="37"/>
      <c r="G129" s="37"/>
      <c r="H129" s="37"/>
      <c r="I129" s="160"/>
      <c r="N129" s="158"/>
    </row>
    <row r="130" spans="1:14">
      <c r="A130" s="37"/>
      <c r="B130" s="37"/>
      <c r="C130" s="37"/>
      <c r="D130" s="37"/>
      <c r="E130" s="37"/>
      <c r="F130" s="37"/>
      <c r="G130" s="37"/>
      <c r="H130" s="37"/>
      <c r="I130" s="160"/>
      <c r="N130" s="158"/>
    </row>
    <row r="131" spans="1:14">
      <c r="A131" s="37"/>
      <c r="B131" s="37"/>
      <c r="C131" s="37"/>
      <c r="D131" s="37"/>
      <c r="E131" s="37"/>
      <c r="F131" s="37"/>
      <c r="G131" s="37"/>
      <c r="H131" s="37"/>
      <c r="I131" s="160"/>
      <c r="N131" s="158"/>
    </row>
    <row r="132" spans="1:14">
      <c r="A132" s="37"/>
      <c r="B132" s="37"/>
      <c r="C132" s="37"/>
      <c r="D132" s="37"/>
      <c r="E132" s="37"/>
      <c r="F132" s="37"/>
      <c r="G132" s="37"/>
      <c r="H132" s="37"/>
      <c r="I132" s="160"/>
      <c r="N132" s="158"/>
    </row>
    <row r="133" spans="1:14">
      <c r="A133" s="37"/>
      <c r="B133" s="37"/>
      <c r="C133" s="37"/>
      <c r="D133" s="37"/>
      <c r="E133" s="37"/>
      <c r="F133" s="37"/>
      <c r="G133" s="37"/>
      <c r="H133" s="37"/>
      <c r="I133" s="160"/>
      <c r="N133" s="158"/>
    </row>
    <row r="134" spans="1:14">
      <c r="A134" s="37"/>
      <c r="B134" s="37"/>
      <c r="C134" s="37"/>
      <c r="D134" s="37"/>
      <c r="E134" s="37"/>
      <c r="F134" s="37"/>
      <c r="G134" s="37"/>
      <c r="H134" s="37"/>
      <c r="I134" s="160"/>
      <c r="N134" s="158"/>
    </row>
    <row r="135" spans="1:14">
      <c r="A135" s="37"/>
      <c r="B135" s="37"/>
      <c r="C135" s="37"/>
      <c r="D135" s="37"/>
      <c r="E135" s="37"/>
      <c r="F135" s="37"/>
      <c r="G135" s="37"/>
      <c r="H135" s="37"/>
      <c r="I135" s="160"/>
      <c r="N135" s="158"/>
    </row>
    <row r="136" spans="1:14">
      <c r="A136" s="37"/>
      <c r="B136" s="37"/>
      <c r="C136" s="37"/>
      <c r="D136" s="37"/>
      <c r="E136" s="37"/>
      <c r="F136" s="37"/>
      <c r="G136" s="37"/>
      <c r="H136" s="37"/>
      <c r="I136" s="160"/>
      <c r="N136" s="158"/>
    </row>
    <row r="137" spans="1:14">
      <c r="A137" s="37"/>
      <c r="B137" s="37"/>
      <c r="C137" s="37"/>
      <c r="D137" s="37"/>
      <c r="E137" s="37"/>
      <c r="F137" s="37"/>
      <c r="G137" s="37"/>
      <c r="H137" s="37"/>
      <c r="I137" s="160"/>
      <c r="N137" s="158"/>
    </row>
    <row r="138" spans="1:14">
      <c r="A138" s="37"/>
      <c r="B138" s="37"/>
      <c r="C138" s="37"/>
      <c r="D138" s="37"/>
      <c r="E138" s="37"/>
      <c r="F138" s="37"/>
      <c r="G138" s="37"/>
      <c r="H138" s="37"/>
      <c r="I138" s="160"/>
      <c r="N138" s="158"/>
    </row>
    <row r="139" spans="1:14">
      <c r="A139" s="37"/>
      <c r="B139" s="37"/>
      <c r="C139" s="37"/>
      <c r="D139" s="37"/>
      <c r="E139" s="37"/>
      <c r="F139" s="37"/>
      <c r="G139" s="37"/>
      <c r="H139" s="37"/>
      <c r="I139" s="160"/>
      <c r="N139" s="158"/>
    </row>
    <row r="140" spans="1:14">
      <c r="A140" s="37"/>
      <c r="B140" s="37"/>
      <c r="C140" s="37"/>
      <c r="D140" s="37"/>
      <c r="E140" s="37"/>
      <c r="F140" s="37"/>
      <c r="G140" s="37"/>
      <c r="H140" s="37"/>
      <c r="I140" s="160"/>
      <c r="N140" s="158"/>
    </row>
    <row r="141" spans="1:14">
      <c r="A141" s="37"/>
      <c r="B141" s="37"/>
      <c r="C141" s="37"/>
      <c r="D141" s="37"/>
      <c r="E141" s="37"/>
      <c r="F141" s="37"/>
      <c r="G141" s="37"/>
      <c r="H141" s="37"/>
      <c r="I141" s="160"/>
      <c r="N141" s="158"/>
    </row>
    <row r="142" spans="1:14">
      <c r="A142" s="37"/>
      <c r="B142" s="37"/>
      <c r="C142" s="37"/>
      <c r="D142" s="37"/>
      <c r="E142" s="37"/>
      <c r="F142" s="37"/>
      <c r="G142" s="37"/>
      <c r="H142" s="37"/>
      <c r="I142" s="160"/>
      <c r="N142" s="158"/>
    </row>
    <row r="143" spans="1:14">
      <c r="A143" s="37"/>
      <c r="B143" s="37"/>
      <c r="C143" s="37"/>
      <c r="D143" s="37"/>
      <c r="E143" s="37"/>
      <c r="F143" s="37"/>
      <c r="G143" s="37"/>
      <c r="H143" s="37"/>
      <c r="I143" s="160"/>
      <c r="N143" s="158"/>
    </row>
    <row r="144" spans="1:14">
      <c r="A144" s="37"/>
      <c r="B144" s="37"/>
      <c r="C144" s="37"/>
      <c r="D144" s="37"/>
      <c r="E144" s="37"/>
      <c r="F144" s="37"/>
      <c r="G144" s="37"/>
      <c r="H144" s="37"/>
      <c r="I144" s="160"/>
      <c r="N144" s="158"/>
    </row>
    <row r="145" spans="1:14">
      <c r="A145" s="37"/>
      <c r="B145" s="37"/>
      <c r="C145" s="37"/>
      <c r="D145" s="37"/>
      <c r="E145" s="37"/>
      <c r="F145" s="37"/>
      <c r="G145" s="37"/>
      <c r="H145" s="37"/>
      <c r="I145" s="160"/>
      <c r="N145" s="158"/>
    </row>
    <row r="146" spans="1:14">
      <c r="A146" s="37"/>
      <c r="B146" s="37"/>
      <c r="C146" s="37"/>
      <c r="D146" s="37"/>
      <c r="E146" s="37"/>
      <c r="F146" s="37"/>
      <c r="G146" s="37"/>
      <c r="H146" s="37"/>
      <c r="I146" s="160"/>
      <c r="N146" s="158"/>
    </row>
    <row r="147" spans="1:14">
      <c r="A147" s="37"/>
      <c r="B147" s="37"/>
      <c r="C147" s="37"/>
      <c r="D147" s="37"/>
      <c r="E147" s="37"/>
      <c r="F147" s="37"/>
      <c r="G147" s="37"/>
      <c r="H147" s="37"/>
      <c r="I147" s="160"/>
      <c r="N147" s="158"/>
    </row>
    <row r="148" spans="1:14">
      <c r="A148" s="37"/>
      <c r="B148" s="37"/>
      <c r="C148" s="37"/>
      <c r="D148" s="37"/>
      <c r="E148" s="37"/>
      <c r="F148" s="37"/>
      <c r="G148" s="37"/>
      <c r="H148" s="37"/>
      <c r="I148" s="160"/>
      <c r="N148" s="158"/>
    </row>
    <row r="149" spans="1:14">
      <c r="A149" s="37"/>
      <c r="B149" s="37"/>
      <c r="C149" s="37"/>
      <c r="D149" s="37"/>
      <c r="E149" s="37"/>
      <c r="F149" s="37"/>
      <c r="G149" s="37"/>
      <c r="H149" s="37"/>
      <c r="I149" s="160"/>
      <c r="N149" s="158"/>
    </row>
    <row r="150" spans="1:14">
      <c r="A150" s="37"/>
      <c r="B150" s="37"/>
      <c r="C150" s="37"/>
      <c r="D150" s="37"/>
      <c r="E150" s="37"/>
      <c r="F150" s="37"/>
      <c r="G150" s="37"/>
      <c r="H150" s="37"/>
      <c r="I150" s="160"/>
      <c r="N150" s="158"/>
    </row>
    <row r="151" spans="1:14">
      <c r="A151" s="37"/>
      <c r="B151" s="37"/>
      <c r="C151" s="37"/>
      <c r="D151" s="37"/>
      <c r="E151" s="37"/>
      <c r="F151" s="37"/>
      <c r="G151" s="37"/>
      <c r="H151" s="37"/>
      <c r="I151" s="160"/>
      <c r="N151" s="158"/>
    </row>
    <row r="152" spans="1:14">
      <c r="E152" s="37"/>
      <c r="F152" s="37"/>
      <c r="G152" s="37"/>
      <c r="H152" s="37"/>
      <c r="I152" s="160"/>
      <c r="N152" s="158"/>
    </row>
    <row r="153" spans="1:14">
      <c r="E153" s="37"/>
      <c r="F153" s="37"/>
      <c r="G153" s="37"/>
      <c r="H153" s="37"/>
      <c r="I153" s="160"/>
      <c r="N153" s="158"/>
    </row>
    <row r="154" spans="1:14">
      <c r="E154" s="37"/>
      <c r="F154" s="37"/>
      <c r="G154" s="37"/>
      <c r="H154" s="37"/>
      <c r="I154" s="160"/>
      <c r="N154" s="158"/>
    </row>
    <row r="155" spans="1:14">
      <c r="E155" s="37"/>
      <c r="F155" s="37"/>
      <c r="G155" s="37"/>
      <c r="H155" s="37"/>
      <c r="I155" s="160"/>
      <c r="N155" s="158"/>
    </row>
    <row r="156" spans="1:14">
      <c r="E156" s="37"/>
      <c r="F156" s="37"/>
      <c r="G156" s="37"/>
      <c r="H156" s="37"/>
      <c r="I156" s="160"/>
      <c r="N156" s="158"/>
    </row>
    <row r="157" spans="1:14">
      <c r="E157" s="37"/>
      <c r="F157" s="37"/>
      <c r="G157" s="37"/>
      <c r="H157" s="37"/>
      <c r="I157" s="160"/>
      <c r="N157" s="158"/>
    </row>
    <row r="158" spans="1:14">
      <c r="E158" s="37"/>
      <c r="F158" s="37"/>
      <c r="G158" s="37"/>
      <c r="H158" s="37"/>
      <c r="I158" s="160"/>
      <c r="N158" s="158"/>
    </row>
    <row r="159" spans="1:14">
      <c r="E159" s="37"/>
      <c r="F159" s="37"/>
      <c r="G159" s="37"/>
      <c r="H159" s="37"/>
      <c r="I159" s="160"/>
      <c r="N159" s="158"/>
    </row>
    <row r="160" spans="1:14">
      <c r="E160" s="37"/>
      <c r="F160" s="37"/>
      <c r="G160" s="37"/>
      <c r="H160" s="37"/>
      <c r="I160" s="160"/>
      <c r="N160" s="158"/>
    </row>
    <row r="161" spans="5:14">
      <c r="E161" s="37"/>
      <c r="F161" s="37"/>
      <c r="G161" s="37"/>
      <c r="H161" s="37"/>
      <c r="I161" s="160"/>
      <c r="N161" s="158"/>
    </row>
    <row r="162" spans="5:14">
      <c r="E162" s="37"/>
      <c r="F162" s="37"/>
      <c r="G162" s="37"/>
      <c r="H162" s="37"/>
      <c r="I162" s="160"/>
      <c r="N162" s="158"/>
    </row>
    <row r="163" spans="5:14">
      <c r="E163" s="37"/>
      <c r="F163" s="37"/>
      <c r="G163" s="37"/>
      <c r="H163" s="37"/>
      <c r="I163" s="160"/>
      <c r="N163" s="158"/>
    </row>
    <row r="164" spans="5:14">
      <c r="E164" s="37"/>
      <c r="F164" s="37"/>
      <c r="G164" s="37"/>
      <c r="H164" s="37"/>
      <c r="I164" s="160"/>
      <c r="N164" s="158"/>
    </row>
    <row r="165" spans="5:14">
      <c r="E165" s="37"/>
      <c r="F165" s="37"/>
      <c r="G165" s="37"/>
      <c r="H165" s="37"/>
      <c r="I165" s="160"/>
      <c r="N165" s="158"/>
    </row>
    <row r="166" spans="5:14">
      <c r="E166" s="37"/>
      <c r="F166" s="37"/>
      <c r="G166" s="37"/>
      <c r="H166" s="37"/>
      <c r="I166" s="160"/>
      <c r="N166" s="158"/>
    </row>
    <row r="167" spans="5:14">
      <c r="E167" s="37"/>
      <c r="F167" s="37"/>
      <c r="G167" s="37"/>
      <c r="H167" s="37"/>
      <c r="I167" s="160"/>
      <c r="N167" s="158"/>
    </row>
    <row r="168" spans="5:14">
      <c r="E168" s="37"/>
      <c r="F168" s="37"/>
      <c r="G168" s="37"/>
      <c r="H168" s="37"/>
      <c r="I168" s="160"/>
      <c r="N168" s="158"/>
    </row>
    <row r="169" spans="5:14">
      <c r="E169" s="37"/>
      <c r="F169" s="37"/>
      <c r="G169" s="37"/>
      <c r="H169" s="37"/>
      <c r="I169" s="160"/>
      <c r="N169" s="158"/>
    </row>
    <row r="170" spans="5:14">
      <c r="E170" s="37"/>
      <c r="F170" s="37"/>
      <c r="G170" s="37"/>
      <c r="H170" s="37"/>
      <c r="I170" s="160"/>
      <c r="N170" s="158"/>
    </row>
    <row r="171" spans="5:14">
      <c r="E171" s="37"/>
      <c r="F171" s="37"/>
      <c r="G171" s="37"/>
      <c r="H171" s="37"/>
      <c r="I171" s="160"/>
      <c r="N171" s="158"/>
    </row>
    <row r="172" spans="5:14">
      <c r="E172" s="37"/>
      <c r="F172" s="37"/>
      <c r="G172" s="37"/>
      <c r="H172" s="37"/>
      <c r="I172" s="160"/>
      <c r="N172" s="158"/>
    </row>
    <row r="173" spans="5:14">
      <c r="E173" s="37"/>
      <c r="F173" s="37"/>
      <c r="G173" s="37"/>
      <c r="H173" s="37"/>
      <c r="I173" s="160"/>
      <c r="N173" s="158"/>
    </row>
    <row r="174" spans="5:14">
      <c r="E174" s="37"/>
      <c r="F174" s="37"/>
      <c r="G174" s="37"/>
      <c r="H174" s="37"/>
      <c r="I174" s="160"/>
      <c r="N174" s="158"/>
    </row>
    <row r="175" spans="5:14">
      <c r="E175" s="37"/>
      <c r="F175" s="37"/>
      <c r="G175" s="37"/>
      <c r="H175" s="37"/>
      <c r="I175" s="160"/>
      <c r="N175" s="158"/>
    </row>
    <row r="176" spans="5:14">
      <c r="E176" s="37"/>
      <c r="F176" s="37"/>
      <c r="G176" s="37"/>
      <c r="H176" s="37"/>
      <c r="I176" s="160"/>
      <c r="N176" s="158"/>
    </row>
    <row r="177" spans="5:14">
      <c r="E177" s="37"/>
      <c r="F177" s="37"/>
      <c r="G177" s="37"/>
      <c r="H177" s="37"/>
      <c r="I177" s="160"/>
      <c r="N177" s="158"/>
    </row>
    <row r="178" spans="5:14">
      <c r="E178" s="37"/>
      <c r="F178" s="37"/>
      <c r="G178" s="37"/>
      <c r="H178" s="37"/>
      <c r="I178" s="160"/>
      <c r="N178" s="158"/>
    </row>
    <row r="179" spans="5:14">
      <c r="E179" s="37"/>
      <c r="F179" s="37"/>
      <c r="G179" s="37"/>
      <c r="H179" s="37"/>
      <c r="I179" s="160"/>
      <c r="N179" s="158"/>
    </row>
    <row r="180" spans="5:14">
      <c r="E180" s="37"/>
      <c r="F180" s="37"/>
      <c r="G180" s="37"/>
      <c r="H180" s="37"/>
      <c r="I180" s="160"/>
      <c r="N180" s="158"/>
    </row>
    <row r="181" spans="5:14">
      <c r="E181" s="37"/>
      <c r="F181" s="37"/>
      <c r="G181" s="37"/>
      <c r="H181" s="37"/>
      <c r="I181" s="160"/>
      <c r="N181" s="158"/>
    </row>
    <row r="182" spans="5:14">
      <c r="E182" s="37"/>
      <c r="F182" s="37"/>
      <c r="G182" s="37"/>
      <c r="H182" s="37"/>
      <c r="I182" s="160"/>
      <c r="N182" s="158"/>
    </row>
    <row r="183" spans="5:14">
      <c r="E183" s="37"/>
      <c r="F183" s="37"/>
      <c r="G183" s="37"/>
      <c r="H183" s="37"/>
      <c r="I183" s="160"/>
      <c r="N183" s="158"/>
    </row>
    <row r="184" spans="5:14">
      <c r="E184" s="37"/>
      <c r="F184" s="37"/>
      <c r="G184" s="37"/>
      <c r="H184" s="37"/>
      <c r="I184" s="160"/>
      <c r="N184" s="158"/>
    </row>
    <row r="185" spans="5:14">
      <c r="E185" s="37"/>
      <c r="F185" s="37"/>
      <c r="G185" s="37"/>
      <c r="H185" s="37"/>
      <c r="I185" s="160"/>
      <c r="N185" s="158"/>
    </row>
    <row r="186" spans="5:14">
      <c r="E186" s="37"/>
      <c r="F186" s="37"/>
      <c r="G186" s="37"/>
      <c r="H186" s="37"/>
      <c r="I186" s="160"/>
      <c r="N186" s="158"/>
    </row>
    <row r="187" spans="5:14">
      <c r="E187" s="37"/>
      <c r="F187" s="37"/>
      <c r="G187" s="37"/>
      <c r="H187" s="37"/>
      <c r="I187" s="160"/>
      <c r="N187" s="158"/>
    </row>
    <row r="188" spans="5:14">
      <c r="E188" s="37"/>
      <c r="F188" s="37"/>
      <c r="G188" s="37"/>
      <c r="H188" s="37"/>
      <c r="I188" s="160"/>
      <c r="N188" s="158"/>
    </row>
    <row r="189" spans="5:14">
      <c r="E189" s="37"/>
      <c r="F189" s="37"/>
      <c r="G189" s="37"/>
      <c r="H189" s="37"/>
      <c r="I189" s="160"/>
      <c r="N189" s="158"/>
    </row>
    <row r="190" spans="5:14">
      <c r="E190" s="37"/>
      <c r="F190" s="37"/>
      <c r="G190" s="37"/>
      <c r="H190" s="37"/>
      <c r="I190" s="160"/>
      <c r="N190" s="158"/>
    </row>
    <row r="191" spans="5:14">
      <c r="E191" s="37"/>
      <c r="F191" s="37"/>
      <c r="G191" s="37"/>
      <c r="H191" s="37"/>
      <c r="I191" s="160"/>
      <c r="N191" s="158"/>
    </row>
    <row r="192" spans="5:14">
      <c r="E192" s="37"/>
      <c r="F192" s="37"/>
      <c r="G192" s="37"/>
      <c r="H192" s="37"/>
      <c r="I192" s="160"/>
      <c r="N192" s="158"/>
    </row>
    <row r="193" spans="5:14">
      <c r="E193" s="37"/>
      <c r="F193" s="37"/>
      <c r="G193" s="37"/>
      <c r="H193" s="37"/>
      <c r="I193" s="160"/>
      <c r="N193" s="158"/>
    </row>
    <row r="194" spans="5:14">
      <c r="E194" s="37"/>
      <c r="F194" s="37"/>
      <c r="G194" s="37"/>
      <c r="H194" s="37"/>
      <c r="I194" s="160"/>
      <c r="N194" s="158"/>
    </row>
    <row r="195" spans="5:14">
      <c r="E195" s="37"/>
      <c r="F195" s="37"/>
      <c r="G195" s="37"/>
      <c r="H195" s="37"/>
      <c r="I195" s="160"/>
      <c r="N195" s="158"/>
    </row>
    <row r="196" spans="5:14">
      <c r="E196" s="37"/>
      <c r="F196" s="37"/>
      <c r="G196" s="37"/>
      <c r="H196" s="37"/>
      <c r="I196" s="160"/>
      <c r="N196" s="158"/>
    </row>
    <row r="197" spans="5:14">
      <c r="E197" s="37"/>
      <c r="F197" s="37"/>
      <c r="G197" s="37"/>
      <c r="H197" s="37"/>
      <c r="I197" s="160"/>
      <c r="N197" s="158"/>
    </row>
    <row r="198" spans="5:14">
      <c r="E198" s="37"/>
      <c r="F198" s="37"/>
      <c r="G198" s="37"/>
      <c r="H198" s="37"/>
      <c r="I198" s="160"/>
      <c r="N198" s="158"/>
    </row>
    <row r="199" spans="5:14">
      <c r="E199" s="37"/>
      <c r="F199" s="37"/>
      <c r="G199" s="37"/>
      <c r="H199" s="37"/>
      <c r="I199" s="160"/>
      <c r="N199" s="158"/>
    </row>
    <row r="200" spans="5:14">
      <c r="E200" s="37"/>
      <c r="F200" s="37"/>
      <c r="G200" s="37"/>
      <c r="H200" s="37"/>
      <c r="I200" s="160"/>
      <c r="N200" s="158"/>
    </row>
    <row r="201" spans="5:14">
      <c r="E201" s="37"/>
      <c r="F201" s="37"/>
      <c r="G201" s="37"/>
      <c r="H201" s="37"/>
      <c r="I201" s="160"/>
      <c r="N201" s="158"/>
    </row>
    <row r="202" spans="5:14">
      <c r="E202" s="37"/>
      <c r="F202" s="37"/>
      <c r="G202" s="37"/>
      <c r="H202" s="37"/>
      <c r="I202" s="160"/>
      <c r="N202" s="158"/>
    </row>
    <row r="203" spans="5:14">
      <c r="E203" s="37"/>
      <c r="F203" s="37"/>
      <c r="G203" s="37"/>
      <c r="H203" s="37"/>
      <c r="I203" s="160"/>
      <c r="N203" s="158"/>
    </row>
    <row r="204" spans="5:14">
      <c r="E204" s="37"/>
      <c r="F204" s="37"/>
      <c r="G204" s="37"/>
      <c r="H204" s="37"/>
      <c r="I204" s="160"/>
      <c r="N204" s="158"/>
    </row>
    <row r="205" spans="5:14">
      <c r="E205" s="37"/>
      <c r="F205" s="37"/>
      <c r="G205" s="37"/>
      <c r="H205" s="37"/>
      <c r="I205" s="160"/>
      <c r="N205" s="158"/>
    </row>
    <row r="206" spans="5:14">
      <c r="E206" s="37"/>
      <c r="F206" s="37"/>
      <c r="G206" s="37"/>
      <c r="H206" s="37"/>
      <c r="I206" s="160"/>
      <c r="N206" s="158"/>
    </row>
    <row r="207" spans="5:14">
      <c r="E207" s="37"/>
      <c r="F207" s="37"/>
      <c r="G207" s="37"/>
      <c r="H207" s="37"/>
      <c r="I207" s="160"/>
      <c r="N207" s="158"/>
    </row>
    <row r="208" spans="5:14">
      <c r="E208" s="37"/>
      <c r="F208" s="37"/>
      <c r="G208" s="37"/>
      <c r="H208" s="37"/>
      <c r="I208" s="160"/>
      <c r="N208" s="158"/>
    </row>
    <row r="209" spans="5:14">
      <c r="E209" s="37"/>
      <c r="F209" s="37"/>
      <c r="G209" s="37"/>
      <c r="H209" s="37"/>
      <c r="I209" s="160"/>
      <c r="N209" s="158"/>
    </row>
    <row r="210" spans="5:14">
      <c r="E210" s="37"/>
      <c r="F210" s="37"/>
      <c r="G210" s="37"/>
      <c r="H210" s="37"/>
      <c r="I210" s="160"/>
      <c r="N210" s="158"/>
    </row>
    <row r="211" spans="5:14">
      <c r="E211" s="37"/>
      <c r="F211" s="37"/>
      <c r="G211" s="37"/>
      <c r="H211" s="37"/>
      <c r="I211" s="160"/>
      <c r="N211" s="158"/>
    </row>
    <row r="212" spans="5:14">
      <c r="E212" s="37"/>
      <c r="F212" s="37"/>
      <c r="G212" s="37"/>
      <c r="H212" s="37"/>
      <c r="I212" s="160"/>
      <c r="N212" s="158"/>
    </row>
    <row r="213" spans="5:14">
      <c r="E213" s="37"/>
      <c r="F213" s="37"/>
      <c r="G213" s="37"/>
      <c r="H213" s="37"/>
      <c r="I213" s="160"/>
      <c r="N213" s="158"/>
    </row>
    <row r="214" spans="5:14">
      <c r="E214" s="37"/>
      <c r="F214" s="37"/>
      <c r="G214" s="37"/>
      <c r="H214" s="37"/>
      <c r="I214" s="160"/>
      <c r="N214" s="158"/>
    </row>
    <row r="215" spans="5:14">
      <c r="E215" s="37"/>
      <c r="F215" s="37"/>
      <c r="G215" s="37"/>
      <c r="H215" s="37"/>
      <c r="I215" s="160"/>
      <c r="N215" s="158"/>
    </row>
    <row r="216" spans="5:14">
      <c r="E216" s="37"/>
      <c r="F216" s="37"/>
      <c r="G216" s="37"/>
      <c r="H216" s="37"/>
      <c r="I216" s="160"/>
      <c r="N216" s="158"/>
    </row>
    <row r="217" spans="5:14">
      <c r="E217" s="37"/>
      <c r="F217" s="37"/>
      <c r="G217" s="37"/>
      <c r="H217" s="37"/>
      <c r="I217" s="160"/>
      <c r="N217" s="158"/>
    </row>
    <row r="218" spans="5:14">
      <c r="E218" s="37"/>
      <c r="F218" s="37"/>
      <c r="G218" s="37"/>
      <c r="H218" s="37"/>
      <c r="I218" s="160"/>
      <c r="N218" s="158"/>
    </row>
    <row r="219" spans="5:14">
      <c r="E219" s="37"/>
      <c r="F219" s="37"/>
      <c r="G219" s="37"/>
      <c r="H219" s="37"/>
      <c r="I219" s="160"/>
      <c r="N219" s="158"/>
    </row>
    <row r="220" spans="5:14">
      <c r="E220" s="37"/>
      <c r="F220" s="37"/>
      <c r="G220" s="37"/>
      <c r="H220" s="37"/>
      <c r="I220" s="160"/>
      <c r="N220" s="158"/>
    </row>
    <row r="221" spans="5:14">
      <c r="E221" s="37"/>
      <c r="F221" s="37"/>
      <c r="G221" s="37"/>
      <c r="H221" s="37"/>
      <c r="I221" s="160"/>
      <c r="N221" s="158"/>
    </row>
    <row r="222" spans="5:14">
      <c r="E222" s="37"/>
      <c r="F222" s="37"/>
      <c r="G222" s="37"/>
      <c r="H222" s="37"/>
      <c r="I222" s="160"/>
      <c r="N222" s="158"/>
    </row>
    <row r="223" spans="5:14">
      <c r="E223" s="37"/>
      <c r="F223" s="37"/>
      <c r="G223" s="37"/>
      <c r="H223" s="37"/>
      <c r="I223" s="160"/>
      <c r="N223" s="158"/>
    </row>
    <row r="224" spans="5:14">
      <c r="E224" s="37"/>
      <c r="F224" s="37"/>
      <c r="G224" s="37"/>
      <c r="H224" s="37"/>
      <c r="I224" s="160"/>
      <c r="N224" s="158"/>
    </row>
    <row r="225" spans="5:14">
      <c r="E225" s="37"/>
      <c r="F225" s="37"/>
      <c r="G225" s="37"/>
      <c r="H225" s="37"/>
      <c r="I225" s="160"/>
      <c r="N225" s="158"/>
    </row>
    <row r="226" spans="5:14">
      <c r="E226" s="37"/>
      <c r="F226" s="37"/>
      <c r="G226" s="37"/>
      <c r="H226" s="37"/>
      <c r="I226" s="160"/>
      <c r="N226" s="158"/>
    </row>
    <row r="227" spans="5:14">
      <c r="E227" s="37"/>
      <c r="F227" s="37"/>
      <c r="G227" s="37"/>
      <c r="H227" s="37"/>
      <c r="I227" s="160"/>
      <c r="N227" s="158"/>
    </row>
    <row r="228" spans="5:14">
      <c r="E228" s="37"/>
      <c r="F228" s="37"/>
      <c r="G228" s="37"/>
      <c r="H228" s="37"/>
      <c r="I228" s="160"/>
      <c r="N228" s="158"/>
    </row>
    <row r="229" spans="5:14">
      <c r="E229" s="37"/>
      <c r="F229" s="37"/>
      <c r="G229" s="37"/>
      <c r="H229" s="37"/>
      <c r="I229" s="160"/>
      <c r="N229" s="158"/>
    </row>
    <row r="230" spans="5:14">
      <c r="E230" s="37"/>
      <c r="F230" s="37"/>
      <c r="G230" s="37"/>
      <c r="H230" s="37"/>
      <c r="I230" s="160"/>
      <c r="N230" s="158"/>
    </row>
    <row r="231" spans="5:14">
      <c r="E231" s="37"/>
      <c r="F231" s="37"/>
      <c r="G231" s="37"/>
      <c r="H231" s="37"/>
      <c r="I231" s="160"/>
      <c r="N231" s="158"/>
    </row>
    <row r="232" spans="5:14">
      <c r="E232" s="37"/>
      <c r="F232" s="37"/>
      <c r="G232" s="37"/>
      <c r="H232" s="37"/>
      <c r="I232" s="160"/>
      <c r="N232" s="158"/>
    </row>
    <row r="233" spans="5:14">
      <c r="E233" s="37"/>
      <c r="F233" s="37"/>
      <c r="G233" s="37"/>
      <c r="H233" s="37"/>
      <c r="I233" s="160"/>
      <c r="N233" s="158"/>
    </row>
    <row r="234" spans="5:14">
      <c r="E234" s="37"/>
      <c r="F234" s="37"/>
      <c r="G234" s="37"/>
      <c r="H234" s="37"/>
      <c r="I234" s="160"/>
      <c r="N234" s="158"/>
    </row>
    <row r="235" spans="5:14">
      <c r="E235" s="37"/>
      <c r="F235" s="37"/>
      <c r="G235" s="37"/>
      <c r="H235" s="37"/>
      <c r="I235" s="160"/>
      <c r="N235" s="158"/>
    </row>
    <row r="236" spans="5:14">
      <c r="E236" s="37"/>
      <c r="F236" s="37"/>
      <c r="G236" s="37"/>
      <c r="H236" s="37"/>
      <c r="I236" s="160"/>
      <c r="N236" s="158"/>
    </row>
    <row r="237" spans="5:14">
      <c r="E237" s="37"/>
      <c r="F237" s="37"/>
      <c r="G237" s="37"/>
      <c r="H237" s="37"/>
      <c r="I237" s="160"/>
      <c r="N237" s="158"/>
    </row>
    <row r="238" spans="5:14">
      <c r="E238" s="37"/>
      <c r="F238" s="37"/>
      <c r="G238" s="37"/>
      <c r="H238" s="37"/>
      <c r="I238" s="160"/>
      <c r="N238" s="158"/>
    </row>
    <row r="239" spans="5:14">
      <c r="E239" s="37"/>
      <c r="F239" s="37"/>
      <c r="G239" s="37"/>
      <c r="H239" s="37"/>
      <c r="I239" s="160"/>
      <c r="N239" s="158"/>
    </row>
    <row r="240" spans="5:14">
      <c r="E240" s="37"/>
      <c r="F240" s="37"/>
      <c r="G240" s="37"/>
      <c r="H240" s="37"/>
      <c r="I240" s="160"/>
      <c r="N240" s="158"/>
    </row>
    <row r="241" spans="5:14">
      <c r="E241" s="37"/>
      <c r="F241" s="37"/>
      <c r="G241" s="37"/>
      <c r="H241" s="37"/>
      <c r="I241" s="160"/>
      <c r="N241" s="158"/>
    </row>
    <row r="242" spans="5:14">
      <c r="E242" s="37"/>
      <c r="F242" s="37"/>
      <c r="G242" s="37"/>
      <c r="H242" s="37"/>
      <c r="I242" s="160"/>
      <c r="N242" s="158"/>
    </row>
    <row r="243" spans="5:14">
      <c r="E243" s="37"/>
      <c r="F243" s="37"/>
      <c r="G243" s="37"/>
      <c r="H243" s="37"/>
      <c r="I243" s="160"/>
      <c r="N243" s="158"/>
    </row>
    <row r="244" spans="5:14">
      <c r="E244" s="37"/>
      <c r="F244" s="37"/>
      <c r="G244" s="37"/>
      <c r="H244" s="37"/>
      <c r="I244" s="160"/>
      <c r="N244" s="158"/>
    </row>
    <row r="245" spans="5:14">
      <c r="E245" s="37"/>
      <c r="F245" s="37"/>
      <c r="G245" s="37"/>
      <c r="H245" s="37"/>
      <c r="I245" s="160"/>
      <c r="N245" s="158"/>
    </row>
    <row r="246" spans="5:14">
      <c r="E246" s="37"/>
      <c r="F246" s="37"/>
      <c r="G246" s="37"/>
      <c r="H246" s="37"/>
      <c r="I246" s="160"/>
      <c r="N246" s="158"/>
    </row>
    <row r="247" spans="5:14">
      <c r="E247" s="37"/>
      <c r="F247" s="37"/>
      <c r="G247" s="37"/>
      <c r="H247" s="37"/>
      <c r="I247" s="160"/>
      <c r="N247" s="158"/>
    </row>
    <row r="248" spans="5:14">
      <c r="E248" s="37"/>
      <c r="F248" s="37"/>
      <c r="G248" s="37"/>
      <c r="H248" s="37"/>
      <c r="I248" s="160"/>
      <c r="N248" s="158"/>
    </row>
    <row r="249" spans="5:14">
      <c r="E249" s="37"/>
      <c r="F249" s="37"/>
      <c r="G249" s="37"/>
      <c r="H249" s="37"/>
      <c r="I249" s="160"/>
      <c r="N249" s="158"/>
    </row>
    <row r="250" spans="5:14">
      <c r="E250" s="37"/>
      <c r="F250" s="37"/>
      <c r="G250" s="37"/>
      <c r="H250" s="37"/>
      <c r="I250" s="160"/>
      <c r="N250" s="158"/>
    </row>
    <row r="251" spans="5:14">
      <c r="E251" s="37"/>
      <c r="F251" s="37"/>
      <c r="G251" s="37"/>
      <c r="H251" s="37"/>
      <c r="I251" s="160"/>
      <c r="N251" s="158"/>
    </row>
    <row r="252" spans="5:14">
      <c r="E252" s="37"/>
      <c r="F252" s="37"/>
      <c r="G252" s="37"/>
      <c r="H252" s="37"/>
      <c r="I252" s="160"/>
      <c r="N252" s="158"/>
    </row>
    <row r="253" spans="5:14">
      <c r="E253" s="37"/>
      <c r="F253" s="37"/>
      <c r="G253" s="37"/>
      <c r="H253" s="37"/>
      <c r="I253" s="160"/>
      <c r="N253" s="158"/>
    </row>
    <row r="254" spans="5:14">
      <c r="E254" s="37"/>
      <c r="F254" s="37"/>
      <c r="G254" s="37"/>
      <c r="H254" s="37"/>
      <c r="I254" s="160"/>
      <c r="N254" s="158"/>
    </row>
    <row r="255" spans="5:14">
      <c r="E255" s="37"/>
      <c r="F255" s="37"/>
      <c r="G255" s="37"/>
      <c r="H255" s="37"/>
      <c r="I255" s="160"/>
      <c r="N255" s="158"/>
    </row>
    <row r="256" spans="5:14">
      <c r="E256" s="37"/>
      <c r="F256" s="37"/>
      <c r="G256" s="37"/>
      <c r="H256" s="37"/>
      <c r="I256" s="160"/>
      <c r="N256" s="158"/>
    </row>
    <row r="257" spans="5:14">
      <c r="E257" s="37"/>
      <c r="F257" s="37"/>
      <c r="G257" s="37"/>
      <c r="H257" s="37"/>
      <c r="I257" s="160"/>
      <c r="N257" s="158"/>
    </row>
    <row r="258" spans="5:14">
      <c r="E258" s="37"/>
      <c r="F258" s="37"/>
      <c r="G258" s="37"/>
      <c r="H258" s="37"/>
      <c r="I258" s="160"/>
      <c r="N258" s="158"/>
    </row>
    <row r="259" spans="5:14">
      <c r="E259" s="37"/>
      <c r="F259" s="37"/>
      <c r="G259" s="37"/>
      <c r="H259" s="37"/>
      <c r="I259" s="160"/>
      <c r="N259" s="158"/>
    </row>
    <row r="260" spans="5:14">
      <c r="E260" s="37"/>
      <c r="F260" s="37"/>
      <c r="G260" s="37"/>
      <c r="H260" s="37"/>
      <c r="I260" s="160"/>
      <c r="N260" s="158"/>
    </row>
    <row r="261" spans="5:14">
      <c r="E261" s="37"/>
      <c r="F261" s="37"/>
      <c r="G261" s="37"/>
      <c r="H261" s="37"/>
      <c r="I261" s="160"/>
      <c r="N261" s="158"/>
    </row>
    <row r="262" spans="5:14">
      <c r="E262" s="37"/>
      <c r="F262" s="37"/>
      <c r="G262" s="37"/>
      <c r="H262" s="37"/>
      <c r="I262" s="160"/>
      <c r="N262" s="158"/>
    </row>
    <row r="263" spans="5:14">
      <c r="E263" s="37"/>
      <c r="F263" s="37"/>
      <c r="G263" s="37"/>
      <c r="H263" s="37"/>
      <c r="I263" s="160"/>
      <c r="N263" s="158"/>
    </row>
    <row r="264" spans="5:14">
      <c r="E264" s="37"/>
      <c r="F264" s="37"/>
      <c r="G264" s="37"/>
      <c r="H264" s="37"/>
      <c r="I264" s="160"/>
      <c r="N264" s="158"/>
    </row>
    <row r="265" spans="5:14">
      <c r="E265" s="37"/>
      <c r="F265" s="37"/>
      <c r="G265" s="37"/>
      <c r="H265" s="37"/>
      <c r="I265" s="160"/>
      <c r="N265" s="158"/>
    </row>
    <row r="266" spans="5:14">
      <c r="E266" s="37"/>
      <c r="F266" s="37"/>
      <c r="G266" s="37"/>
      <c r="H266" s="37"/>
      <c r="I266" s="160"/>
      <c r="N266" s="158"/>
    </row>
    <row r="267" spans="5:14">
      <c r="E267" s="37"/>
      <c r="F267" s="37"/>
      <c r="G267" s="37"/>
      <c r="H267" s="37"/>
      <c r="I267" s="160"/>
      <c r="N267" s="158"/>
    </row>
    <row r="268" spans="5:14">
      <c r="E268" s="37"/>
      <c r="F268" s="37"/>
      <c r="G268" s="37"/>
      <c r="H268" s="37"/>
      <c r="I268" s="160"/>
      <c r="N268" s="158"/>
    </row>
    <row r="269" spans="5:14">
      <c r="E269" s="37"/>
      <c r="F269" s="37"/>
      <c r="G269" s="37"/>
      <c r="H269" s="37"/>
      <c r="I269" s="160"/>
      <c r="N269" s="158"/>
    </row>
    <row r="270" spans="5:14">
      <c r="E270" s="37"/>
      <c r="F270" s="37"/>
      <c r="G270" s="37"/>
      <c r="H270" s="37"/>
      <c r="I270" s="160"/>
      <c r="N270" s="158"/>
    </row>
    <row r="271" spans="5:14">
      <c r="E271" s="37"/>
      <c r="F271" s="37"/>
      <c r="G271" s="37"/>
      <c r="H271" s="37"/>
      <c r="I271" s="160"/>
      <c r="N271" s="158"/>
    </row>
    <row r="272" spans="5:14">
      <c r="E272" s="37"/>
      <c r="F272" s="37"/>
      <c r="G272" s="37"/>
      <c r="H272" s="37"/>
      <c r="I272" s="160"/>
      <c r="N272" s="158"/>
    </row>
    <row r="273" spans="5:14">
      <c r="E273" s="37"/>
      <c r="F273" s="37"/>
      <c r="G273" s="37"/>
      <c r="H273" s="37"/>
      <c r="I273" s="160"/>
      <c r="N273" s="158"/>
    </row>
    <row r="274" spans="5:14">
      <c r="E274" s="37"/>
      <c r="F274" s="37"/>
      <c r="G274" s="37"/>
      <c r="H274" s="37"/>
      <c r="I274" s="160"/>
      <c r="N274" s="158"/>
    </row>
    <row r="275" spans="5:14">
      <c r="E275" s="37"/>
      <c r="F275" s="37"/>
      <c r="G275" s="37"/>
      <c r="H275" s="37"/>
      <c r="I275" s="160"/>
      <c r="N275" s="158"/>
    </row>
    <row r="276" spans="5:14">
      <c r="E276" s="37"/>
      <c r="F276" s="37"/>
      <c r="G276" s="37"/>
      <c r="H276" s="37"/>
      <c r="I276" s="160"/>
      <c r="N276" s="158"/>
    </row>
    <row r="277" spans="5:14">
      <c r="E277" s="37"/>
      <c r="F277" s="37"/>
      <c r="G277" s="37"/>
      <c r="H277" s="37"/>
      <c r="I277" s="160"/>
      <c r="N277" s="158"/>
    </row>
    <row r="278" spans="5:14">
      <c r="E278" s="37"/>
      <c r="F278" s="37"/>
      <c r="G278" s="37"/>
      <c r="H278" s="37"/>
      <c r="I278" s="160"/>
      <c r="N278" s="158"/>
    </row>
    <row r="279" spans="5:14">
      <c r="E279" s="37"/>
      <c r="F279" s="37"/>
      <c r="G279" s="37"/>
      <c r="H279" s="37"/>
      <c r="I279" s="160"/>
      <c r="N279" s="158"/>
    </row>
    <row r="280" spans="5:14">
      <c r="E280" s="37"/>
      <c r="F280" s="37"/>
      <c r="G280" s="37"/>
      <c r="H280" s="37"/>
      <c r="I280" s="160"/>
      <c r="N280" s="158"/>
    </row>
    <row r="281" spans="5:14">
      <c r="E281" s="37"/>
      <c r="F281" s="37"/>
      <c r="G281" s="37"/>
      <c r="H281" s="37"/>
      <c r="I281" s="160"/>
      <c r="N281" s="158"/>
    </row>
    <row r="282" spans="5:14">
      <c r="E282" s="37"/>
      <c r="F282" s="37"/>
      <c r="G282" s="37"/>
      <c r="H282" s="37"/>
      <c r="I282" s="160"/>
      <c r="N282" s="158"/>
    </row>
    <row r="283" spans="5:14">
      <c r="E283" s="37"/>
      <c r="F283" s="37"/>
      <c r="G283" s="37"/>
      <c r="H283" s="37"/>
      <c r="I283" s="160"/>
      <c r="N283" s="158"/>
    </row>
    <row r="284" spans="5:14">
      <c r="E284" s="37"/>
      <c r="F284" s="37"/>
      <c r="G284" s="37"/>
      <c r="H284" s="37"/>
      <c r="I284" s="160"/>
      <c r="N284" s="158"/>
    </row>
    <row r="285" spans="5:14">
      <c r="E285" s="37"/>
      <c r="F285" s="37"/>
      <c r="G285" s="37"/>
      <c r="H285" s="37"/>
      <c r="I285" s="160"/>
      <c r="N285" s="158"/>
    </row>
    <row r="286" spans="5:14">
      <c r="E286" s="37"/>
      <c r="F286" s="37"/>
      <c r="G286" s="37"/>
      <c r="H286" s="37"/>
      <c r="I286" s="160"/>
      <c r="N286" s="158"/>
    </row>
    <row r="287" spans="5:14">
      <c r="E287" s="37"/>
      <c r="F287" s="37"/>
      <c r="G287" s="37"/>
      <c r="H287" s="37"/>
      <c r="I287" s="160"/>
      <c r="N287" s="158"/>
    </row>
    <row r="288" spans="5:14">
      <c r="E288" s="37"/>
      <c r="F288" s="37"/>
      <c r="G288" s="37"/>
      <c r="H288" s="37"/>
      <c r="I288" s="160"/>
      <c r="N288" s="158"/>
    </row>
    <row r="289" spans="5:14">
      <c r="E289" s="37"/>
      <c r="F289" s="37"/>
      <c r="G289" s="37"/>
      <c r="H289" s="37"/>
      <c r="I289" s="160"/>
      <c r="N289" s="158"/>
    </row>
    <row r="290" spans="5:14">
      <c r="E290" s="37"/>
      <c r="F290" s="37"/>
      <c r="G290" s="37"/>
      <c r="H290" s="37"/>
      <c r="I290" s="160"/>
      <c r="N290" s="158"/>
    </row>
    <row r="291" spans="5:14">
      <c r="E291" s="37"/>
      <c r="F291" s="37"/>
      <c r="G291" s="37"/>
      <c r="H291" s="37"/>
      <c r="I291" s="160"/>
      <c r="N291" s="158"/>
    </row>
    <row r="292" spans="5:14">
      <c r="E292" s="37"/>
      <c r="F292" s="37"/>
      <c r="G292" s="37"/>
      <c r="H292" s="37"/>
      <c r="I292" s="160"/>
      <c r="N292" s="158"/>
    </row>
    <row r="293" spans="5:14">
      <c r="E293" s="37"/>
      <c r="F293" s="37"/>
      <c r="G293" s="37"/>
      <c r="H293" s="37"/>
      <c r="I293" s="160"/>
      <c r="N293" s="158"/>
    </row>
    <row r="294" spans="5:14">
      <c r="E294" s="37"/>
      <c r="F294" s="37"/>
      <c r="G294" s="37"/>
      <c r="H294" s="37"/>
      <c r="I294" s="160"/>
      <c r="N294" s="158"/>
    </row>
    <row r="295" spans="5:14">
      <c r="E295" s="37"/>
      <c r="F295" s="37"/>
      <c r="G295" s="37"/>
      <c r="H295" s="37"/>
      <c r="I295" s="160"/>
      <c r="N295" s="158"/>
    </row>
    <row r="296" spans="5:14">
      <c r="E296" s="37"/>
      <c r="F296" s="37"/>
      <c r="G296" s="37"/>
      <c r="H296" s="37"/>
      <c r="I296" s="160"/>
      <c r="N296" s="158"/>
    </row>
    <row r="297" spans="5:14">
      <c r="E297" s="37"/>
      <c r="F297" s="37"/>
      <c r="G297" s="37"/>
      <c r="H297" s="37"/>
      <c r="I297" s="160"/>
      <c r="N297" s="158"/>
    </row>
    <row r="298" spans="5:14">
      <c r="E298" s="37"/>
      <c r="F298" s="37"/>
      <c r="G298" s="37"/>
      <c r="H298" s="37"/>
      <c r="I298" s="160"/>
      <c r="N298" s="158"/>
    </row>
    <row r="299" spans="5:14">
      <c r="E299" s="37"/>
      <c r="F299" s="37"/>
      <c r="G299" s="37"/>
      <c r="H299" s="37"/>
      <c r="I299" s="160"/>
      <c r="N299" s="158"/>
    </row>
    <row r="300" spans="5:14">
      <c r="E300" s="37"/>
      <c r="F300" s="37"/>
      <c r="G300" s="37"/>
      <c r="H300" s="37"/>
      <c r="I300" s="160"/>
      <c r="N300" s="158"/>
    </row>
    <row r="301" spans="5:14">
      <c r="E301" s="37"/>
      <c r="F301" s="37"/>
      <c r="G301" s="37"/>
      <c r="H301" s="37"/>
      <c r="I301" s="160"/>
      <c r="N301" s="158"/>
    </row>
    <row r="302" spans="5:14">
      <c r="E302" s="37"/>
      <c r="F302" s="37"/>
      <c r="G302" s="37"/>
      <c r="H302" s="37"/>
      <c r="I302" s="160"/>
      <c r="N302" s="158"/>
    </row>
    <row r="303" spans="5:14">
      <c r="E303" s="37"/>
      <c r="F303" s="37"/>
      <c r="G303" s="37"/>
      <c r="H303" s="37"/>
      <c r="I303" s="160"/>
      <c r="N303" s="158"/>
    </row>
    <row r="304" spans="5:14">
      <c r="E304" s="37"/>
      <c r="F304" s="37"/>
      <c r="G304" s="37"/>
      <c r="H304" s="37"/>
      <c r="I304" s="160"/>
      <c r="N304" s="158"/>
    </row>
    <row r="305" spans="5:14">
      <c r="E305" s="37"/>
      <c r="F305" s="37"/>
      <c r="G305" s="37"/>
      <c r="H305" s="37"/>
      <c r="I305" s="160"/>
      <c r="N305" s="158"/>
    </row>
    <row r="306" spans="5:14">
      <c r="E306" s="37"/>
      <c r="F306" s="37"/>
      <c r="G306" s="37"/>
      <c r="H306" s="37"/>
      <c r="I306" s="160"/>
      <c r="N306" s="158"/>
    </row>
    <row r="307" spans="5:14">
      <c r="E307" s="37"/>
      <c r="F307" s="37"/>
      <c r="G307" s="37"/>
      <c r="H307" s="37"/>
      <c r="I307" s="160"/>
      <c r="N307" s="158"/>
    </row>
    <row r="308" spans="5:14">
      <c r="E308" s="37"/>
      <c r="F308" s="37"/>
      <c r="G308" s="37"/>
      <c r="H308" s="37"/>
      <c r="I308" s="160"/>
      <c r="N308" s="158"/>
    </row>
    <row r="309" spans="5:14">
      <c r="E309" s="37"/>
      <c r="F309" s="37"/>
      <c r="G309" s="37"/>
      <c r="H309" s="37"/>
      <c r="I309" s="160"/>
      <c r="N309" s="158"/>
    </row>
    <row r="310" spans="5:14">
      <c r="E310" s="37"/>
      <c r="F310" s="37"/>
      <c r="G310" s="37"/>
      <c r="H310" s="37"/>
      <c r="I310" s="160"/>
      <c r="N310" s="158"/>
    </row>
    <row r="311" spans="5:14">
      <c r="E311" s="37"/>
      <c r="F311" s="37"/>
      <c r="G311" s="37"/>
      <c r="H311" s="37"/>
      <c r="I311" s="160"/>
      <c r="N311" s="158"/>
    </row>
    <row r="312" spans="5:14">
      <c r="E312" s="37"/>
      <c r="F312" s="37"/>
      <c r="G312" s="37"/>
      <c r="H312" s="37"/>
      <c r="I312" s="160"/>
      <c r="N312" s="158"/>
    </row>
    <row r="313" spans="5:14">
      <c r="E313" s="37"/>
      <c r="F313" s="37"/>
      <c r="G313" s="37"/>
      <c r="H313" s="37"/>
      <c r="I313" s="160"/>
      <c r="N313" s="158"/>
    </row>
    <row r="314" spans="5:14">
      <c r="E314" s="37"/>
      <c r="F314" s="37"/>
      <c r="G314" s="37"/>
      <c r="H314" s="37"/>
      <c r="I314" s="160"/>
      <c r="N314" s="158"/>
    </row>
    <row r="315" spans="5:14">
      <c r="E315" s="37"/>
      <c r="F315" s="37"/>
      <c r="G315" s="37"/>
      <c r="H315" s="37"/>
      <c r="I315" s="160"/>
      <c r="N315" s="158"/>
    </row>
    <row r="316" spans="5:14">
      <c r="E316" s="37"/>
      <c r="F316" s="37"/>
      <c r="G316" s="37"/>
      <c r="H316" s="37"/>
      <c r="I316" s="160"/>
      <c r="N316" s="158"/>
    </row>
    <row r="317" spans="5:14">
      <c r="E317" s="37"/>
      <c r="F317" s="37"/>
      <c r="G317" s="37"/>
      <c r="H317" s="37"/>
      <c r="I317" s="160"/>
      <c r="N317" s="158"/>
    </row>
    <row r="318" spans="5:14">
      <c r="E318" s="37"/>
      <c r="F318" s="37"/>
      <c r="G318" s="37"/>
      <c r="H318" s="37"/>
      <c r="I318" s="160"/>
      <c r="N318" s="158"/>
    </row>
    <row r="319" spans="5:14">
      <c r="E319" s="37"/>
      <c r="F319" s="37"/>
      <c r="G319" s="37"/>
      <c r="H319" s="37"/>
      <c r="I319" s="160"/>
      <c r="N319" s="158"/>
    </row>
    <row r="320" spans="5:14">
      <c r="E320" s="37"/>
      <c r="F320" s="37"/>
      <c r="G320" s="37"/>
      <c r="H320" s="37"/>
      <c r="I320" s="160"/>
      <c r="N320" s="158"/>
    </row>
    <row r="321" spans="5:14">
      <c r="E321" s="37"/>
      <c r="F321" s="37"/>
      <c r="G321" s="37"/>
      <c r="H321" s="37"/>
      <c r="I321" s="160"/>
      <c r="N321" s="158"/>
    </row>
    <row r="322" spans="5:14">
      <c r="E322" s="37"/>
      <c r="F322" s="37"/>
      <c r="G322" s="37"/>
      <c r="H322" s="37"/>
      <c r="I322" s="160"/>
      <c r="N322" s="158"/>
    </row>
    <row r="323" spans="5:14">
      <c r="E323" s="37"/>
      <c r="F323" s="37"/>
      <c r="G323" s="37"/>
      <c r="H323" s="37"/>
      <c r="I323" s="160"/>
      <c r="N323" s="158"/>
    </row>
    <row r="324" spans="5:14">
      <c r="E324" s="37"/>
      <c r="F324" s="37"/>
      <c r="G324" s="37"/>
      <c r="H324" s="37"/>
      <c r="I324" s="160"/>
      <c r="N324" s="158"/>
    </row>
    <row r="325" spans="5:14">
      <c r="E325" s="37"/>
      <c r="F325" s="37"/>
      <c r="G325" s="37"/>
      <c r="H325" s="37"/>
      <c r="I325" s="160"/>
      <c r="N325" s="158"/>
    </row>
    <row r="326" spans="5:14">
      <c r="E326" s="37"/>
      <c r="F326" s="37"/>
      <c r="G326" s="37"/>
      <c r="H326" s="37"/>
      <c r="I326" s="160"/>
      <c r="N326" s="158"/>
    </row>
    <row r="327" spans="5:14">
      <c r="E327" s="37"/>
      <c r="F327" s="37"/>
      <c r="G327" s="37"/>
      <c r="H327" s="37"/>
      <c r="I327" s="160"/>
      <c r="N327" s="158"/>
    </row>
    <row r="328" spans="5:14">
      <c r="E328" s="37"/>
      <c r="F328" s="37"/>
      <c r="G328" s="37"/>
      <c r="H328" s="37"/>
      <c r="I328" s="160"/>
      <c r="N328" s="158"/>
    </row>
    <row r="329" spans="5:14">
      <c r="E329" s="37"/>
      <c r="F329" s="37"/>
      <c r="G329" s="37"/>
      <c r="H329" s="37"/>
      <c r="I329" s="160"/>
      <c r="N329" s="158"/>
    </row>
    <row r="330" spans="5:14">
      <c r="E330" s="37"/>
      <c r="F330" s="37"/>
      <c r="G330" s="37"/>
      <c r="H330" s="37"/>
      <c r="I330" s="160"/>
      <c r="N330" s="158"/>
    </row>
    <row r="331" spans="5:14">
      <c r="E331" s="37"/>
      <c r="F331" s="37"/>
      <c r="G331" s="37"/>
      <c r="H331" s="37"/>
      <c r="I331" s="160"/>
      <c r="N331" s="158"/>
    </row>
    <row r="332" spans="5:14">
      <c r="E332" s="37"/>
      <c r="F332" s="37"/>
      <c r="G332" s="37"/>
      <c r="H332" s="37"/>
      <c r="I332" s="160"/>
      <c r="N332" s="158"/>
    </row>
    <row r="333" spans="5:14">
      <c r="E333" s="37"/>
      <c r="F333" s="37"/>
      <c r="G333" s="37"/>
      <c r="H333" s="37"/>
      <c r="I333" s="160"/>
      <c r="N333" s="158"/>
    </row>
    <row r="334" spans="5:14">
      <c r="E334" s="37"/>
      <c r="F334" s="37"/>
      <c r="G334" s="37"/>
      <c r="H334" s="37"/>
      <c r="I334" s="160"/>
      <c r="N334" s="158"/>
    </row>
    <row r="335" spans="5:14">
      <c r="E335" s="37"/>
      <c r="F335" s="37"/>
      <c r="G335" s="37"/>
      <c r="H335" s="37"/>
      <c r="I335" s="160"/>
      <c r="N335" s="158"/>
    </row>
    <row r="336" spans="5:14">
      <c r="E336" s="37"/>
      <c r="F336" s="37"/>
      <c r="G336" s="37"/>
      <c r="H336" s="37"/>
      <c r="I336" s="160"/>
      <c r="N336" s="158"/>
    </row>
    <row r="337" spans="5:14">
      <c r="E337" s="37"/>
      <c r="F337" s="37"/>
      <c r="G337" s="37"/>
      <c r="H337" s="37"/>
      <c r="I337" s="160"/>
      <c r="N337" s="158"/>
    </row>
    <row r="338" spans="5:14">
      <c r="E338" s="37"/>
      <c r="F338" s="37"/>
      <c r="G338" s="37"/>
      <c r="H338" s="37"/>
      <c r="I338" s="160"/>
      <c r="N338" s="158"/>
    </row>
    <row r="339" spans="5:14">
      <c r="E339" s="37"/>
      <c r="F339" s="37"/>
      <c r="G339" s="37"/>
      <c r="H339" s="37"/>
      <c r="I339" s="160"/>
      <c r="N339" s="158"/>
    </row>
    <row r="340" spans="5:14">
      <c r="E340" s="37"/>
      <c r="F340" s="37"/>
      <c r="G340" s="37"/>
      <c r="H340" s="37"/>
      <c r="I340" s="160"/>
      <c r="N340" s="158"/>
    </row>
    <row r="341" spans="5:14">
      <c r="E341" s="37"/>
      <c r="F341" s="37"/>
      <c r="G341" s="37"/>
      <c r="H341" s="37"/>
      <c r="I341" s="160"/>
      <c r="N341" s="158"/>
    </row>
    <row r="342" spans="5:14">
      <c r="E342" s="37"/>
      <c r="F342" s="37"/>
      <c r="G342" s="37"/>
      <c r="H342" s="37"/>
      <c r="I342" s="160"/>
      <c r="N342" s="158"/>
    </row>
    <row r="343" spans="5:14">
      <c r="E343" s="37"/>
      <c r="F343" s="37"/>
      <c r="G343" s="37"/>
      <c r="H343" s="37"/>
      <c r="I343" s="160"/>
      <c r="N343" s="158"/>
    </row>
    <row r="344" spans="5:14">
      <c r="E344" s="37"/>
      <c r="F344" s="37"/>
      <c r="G344" s="37"/>
      <c r="H344" s="37"/>
      <c r="I344" s="160"/>
      <c r="N344" s="158"/>
    </row>
    <row r="345" spans="5:14">
      <c r="E345" s="37"/>
      <c r="F345" s="37"/>
      <c r="G345" s="37"/>
      <c r="H345" s="37"/>
      <c r="I345" s="160"/>
      <c r="N345" s="158"/>
    </row>
    <row r="346" spans="5:14">
      <c r="E346" s="37"/>
      <c r="F346" s="37"/>
      <c r="G346" s="37"/>
      <c r="H346" s="37"/>
      <c r="I346" s="160"/>
      <c r="N346" s="158"/>
    </row>
    <row r="347" spans="5:14">
      <c r="E347" s="37"/>
      <c r="F347" s="37"/>
      <c r="G347" s="37"/>
      <c r="H347" s="37"/>
      <c r="I347" s="160"/>
      <c r="N347" s="158"/>
    </row>
    <row r="348" spans="5:14">
      <c r="E348" s="37"/>
      <c r="F348" s="37"/>
      <c r="G348" s="37"/>
      <c r="H348" s="37"/>
      <c r="I348" s="160"/>
      <c r="N348" s="158"/>
    </row>
    <row r="349" spans="5:14">
      <c r="E349" s="37"/>
      <c r="F349" s="37"/>
      <c r="G349" s="37"/>
      <c r="H349" s="37"/>
      <c r="I349" s="160"/>
      <c r="N349" s="158"/>
    </row>
    <row r="350" spans="5:14">
      <c r="E350" s="37"/>
      <c r="F350" s="37"/>
      <c r="G350" s="37"/>
      <c r="H350" s="37"/>
      <c r="I350" s="160"/>
      <c r="N350" s="158"/>
    </row>
    <row r="351" spans="5:14">
      <c r="E351" s="37"/>
      <c r="F351" s="37"/>
      <c r="G351" s="37"/>
      <c r="H351" s="37"/>
      <c r="I351" s="160"/>
      <c r="N351" s="158"/>
    </row>
    <row r="352" spans="5:14">
      <c r="E352" s="37"/>
      <c r="F352" s="37"/>
      <c r="G352" s="37"/>
      <c r="H352" s="37"/>
      <c r="I352" s="160"/>
      <c r="N352" s="158"/>
    </row>
    <row r="353" spans="5:14">
      <c r="E353" s="37"/>
      <c r="F353" s="37"/>
      <c r="G353" s="37"/>
      <c r="H353" s="37"/>
      <c r="I353" s="160"/>
      <c r="N353" s="158"/>
    </row>
    <row r="354" spans="5:14">
      <c r="E354" s="37"/>
      <c r="F354" s="37"/>
      <c r="G354" s="37"/>
      <c r="H354" s="37"/>
      <c r="I354" s="160"/>
      <c r="N354" s="158"/>
    </row>
    <row r="355" spans="5:14">
      <c r="E355" s="37"/>
      <c r="F355" s="37"/>
      <c r="G355" s="37"/>
      <c r="H355" s="37"/>
      <c r="I355" s="160"/>
      <c r="N355" s="158"/>
    </row>
    <row r="356" spans="5:14">
      <c r="E356" s="37"/>
      <c r="F356" s="37"/>
      <c r="G356" s="37"/>
      <c r="H356" s="37"/>
      <c r="I356" s="160"/>
      <c r="N356" s="158"/>
    </row>
    <row r="357" spans="5:14">
      <c r="E357" s="37"/>
      <c r="F357" s="37"/>
      <c r="G357" s="37"/>
      <c r="H357" s="37"/>
      <c r="I357" s="160"/>
      <c r="N357" s="158"/>
    </row>
    <row r="358" spans="5:14">
      <c r="E358" s="37"/>
      <c r="F358" s="37"/>
      <c r="G358" s="37"/>
      <c r="H358" s="37"/>
      <c r="I358" s="160"/>
      <c r="N358" s="158"/>
    </row>
    <row r="359" spans="5:14">
      <c r="E359" s="37"/>
      <c r="F359" s="37"/>
      <c r="G359" s="37"/>
      <c r="H359" s="37"/>
      <c r="I359" s="160"/>
      <c r="N359" s="158"/>
    </row>
    <row r="360" spans="5:14">
      <c r="E360" s="37"/>
      <c r="F360" s="37"/>
      <c r="G360" s="37"/>
      <c r="H360" s="37"/>
      <c r="I360" s="160"/>
      <c r="N360" s="158"/>
    </row>
    <row r="361" spans="5:14">
      <c r="E361" s="37"/>
      <c r="F361" s="37"/>
      <c r="G361" s="37"/>
      <c r="H361" s="37"/>
      <c r="I361" s="160"/>
      <c r="N361" s="158"/>
    </row>
    <row r="362" spans="5:14">
      <c r="E362" s="37"/>
      <c r="F362" s="37"/>
      <c r="G362" s="37"/>
      <c r="H362" s="37"/>
      <c r="I362" s="160"/>
      <c r="N362" s="158"/>
    </row>
    <row r="363" spans="5:14">
      <c r="E363" s="37"/>
      <c r="F363" s="37"/>
      <c r="G363" s="37"/>
      <c r="H363" s="37"/>
      <c r="I363" s="160"/>
      <c r="N363" s="158"/>
    </row>
    <row r="364" spans="5:14">
      <c r="E364" s="37"/>
      <c r="F364" s="37"/>
      <c r="G364" s="37"/>
      <c r="H364" s="37"/>
      <c r="I364" s="160"/>
      <c r="N364" s="158"/>
    </row>
    <row r="365" spans="5:14">
      <c r="E365" s="37"/>
      <c r="F365" s="37"/>
      <c r="G365" s="37"/>
      <c r="H365" s="37"/>
      <c r="I365" s="160"/>
      <c r="N365" s="158"/>
    </row>
    <row r="366" spans="5:14">
      <c r="E366" s="37"/>
      <c r="F366" s="37"/>
      <c r="G366" s="37"/>
      <c r="H366" s="37"/>
      <c r="I366" s="160"/>
      <c r="N366" s="158"/>
    </row>
    <row r="367" spans="5:14">
      <c r="E367" s="37"/>
      <c r="F367" s="37"/>
      <c r="G367" s="37"/>
      <c r="H367" s="37"/>
      <c r="I367" s="160"/>
      <c r="N367" s="158"/>
    </row>
    <row r="368" spans="5:14">
      <c r="E368" s="37"/>
      <c r="F368" s="37"/>
      <c r="G368" s="37"/>
      <c r="H368" s="37"/>
      <c r="I368" s="160"/>
      <c r="N368" s="158"/>
    </row>
    <row r="369" spans="5:14">
      <c r="E369" s="37"/>
      <c r="F369" s="37"/>
      <c r="G369" s="37"/>
      <c r="H369" s="37"/>
      <c r="I369" s="160"/>
      <c r="N369" s="158"/>
    </row>
    <row r="370" spans="5:14">
      <c r="E370" s="37"/>
      <c r="F370" s="37"/>
      <c r="G370" s="37"/>
      <c r="H370" s="37"/>
      <c r="I370" s="160"/>
      <c r="N370" s="158"/>
    </row>
    <row r="371" spans="5:14">
      <c r="E371" s="37"/>
      <c r="F371" s="37"/>
      <c r="G371" s="37"/>
      <c r="H371" s="37"/>
      <c r="I371" s="160"/>
      <c r="N371" s="158"/>
    </row>
    <row r="372" spans="5:14">
      <c r="E372" s="37"/>
      <c r="F372" s="37"/>
      <c r="G372" s="37"/>
      <c r="H372" s="37"/>
      <c r="I372" s="160"/>
      <c r="N372" s="158"/>
    </row>
    <row r="373" spans="5:14">
      <c r="E373" s="37"/>
      <c r="F373" s="37"/>
      <c r="G373" s="37"/>
      <c r="H373" s="37"/>
      <c r="I373" s="160"/>
      <c r="N373" s="158"/>
    </row>
    <row r="374" spans="5:14">
      <c r="E374" s="37"/>
      <c r="F374" s="37"/>
      <c r="G374" s="37"/>
      <c r="H374" s="37"/>
      <c r="I374" s="160"/>
      <c r="N374" s="158"/>
    </row>
    <row r="375" spans="5:14">
      <c r="E375" s="37"/>
      <c r="F375" s="37"/>
      <c r="G375" s="37"/>
      <c r="H375" s="37"/>
      <c r="I375" s="160"/>
      <c r="N375" s="158"/>
    </row>
    <row r="376" spans="5:14">
      <c r="E376" s="37"/>
      <c r="F376" s="37"/>
      <c r="G376" s="37"/>
      <c r="H376" s="37"/>
      <c r="I376" s="160"/>
      <c r="N376" s="158"/>
    </row>
    <row r="377" spans="5:14">
      <c r="E377" s="37"/>
      <c r="F377" s="37"/>
      <c r="G377" s="37"/>
      <c r="H377" s="37"/>
      <c r="I377" s="160"/>
      <c r="N377" s="158"/>
    </row>
    <row r="378" spans="5:14">
      <c r="E378" s="37"/>
      <c r="F378" s="37"/>
      <c r="G378" s="37"/>
      <c r="H378" s="37"/>
      <c r="I378" s="160"/>
      <c r="N378" s="158"/>
    </row>
    <row r="379" spans="5:14">
      <c r="E379" s="37"/>
      <c r="F379" s="37"/>
      <c r="G379" s="37"/>
      <c r="H379" s="37"/>
      <c r="I379" s="160"/>
      <c r="N379" s="158"/>
    </row>
    <row r="380" spans="5:14">
      <c r="E380" s="37"/>
      <c r="F380" s="37"/>
      <c r="G380" s="37"/>
      <c r="H380" s="37"/>
      <c r="I380" s="160"/>
      <c r="N380" s="158"/>
    </row>
    <row r="381" spans="5:14">
      <c r="E381" s="37"/>
      <c r="F381" s="37"/>
      <c r="G381" s="37"/>
      <c r="H381" s="37"/>
      <c r="I381" s="160"/>
      <c r="N381" s="158"/>
    </row>
    <row r="382" spans="5:14">
      <c r="E382" s="37"/>
      <c r="F382" s="37"/>
      <c r="G382" s="37"/>
      <c r="H382" s="37"/>
      <c r="I382" s="160"/>
      <c r="N382" s="158"/>
    </row>
    <row r="383" spans="5:14">
      <c r="E383" s="37"/>
      <c r="F383" s="37"/>
      <c r="G383" s="37"/>
      <c r="H383" s="37"/>
      <c r="I383" s="160"/>
      <c r="N383" s="158"/>
    </row>
    <row r="384" spans="5:14">
      <c r="E384" s="37"/>
      <c r="F384" s="37"/>
      <c r="G384" s="37"/>
      <c r="H384" s="37"/>
      <c r="I384" s="160"/>
      <c r="N384" s="158"/>
    </row>
    <row r="385" spans="5:14">
      <c r="E385" s="37"/>
      <c r="F385" s="37"/>
      <c r="G385" s="37"/>
      <c r="H385" s="37"/>
      <c r="I385" s="160"/>
      <c r="N385" s="158"/>
    </row>
    <row r="386" spans="5:14">
      <c r="E386" s="37"/>
      <c r="F386" s="37"/>
      <c r="G386" s="37"/>
      <c r="H386" s="37"/>
      <c r="I386" s="160"/>
      <c r="N386" s="158"/>
    </row>
    <row r="387" spans="5:14">
      <c r="E387" s="37"/>
      <c r="F387" s="37"/>
      <c r="G387" s="37"/>
      <c r="H387" s="37"/>
      <c r="I387" s="160"/>
      <c r="N387" s="158"/>
    </row>
    <row r="388" spans="5:14">
      <c r="E388" s="37"/>
      <c r="F388" s="37"/>
      <c r="G388" s="37"/>
      <c r="H388" s="37"/>
      <c r="I388" s="160"/>
      <c r="N388" s="158"/>
    </row>
    <row r="389" spans="5:14">
      <c r="E389" s="37"/>
      <c r="F389" s="37"/>
      <c r="G389" s="37"/>
      <c r="H389" s="37"/>
      <c r="I389" s="160"/>
      <c r="N389" s="158"/>
    </row>
    <row r="390" spans="5:14">
      <c r="E390" s="37"/>
      <c r="F390" s="37"/>
      <c r="G390" s="37"/>
      <c r="H390" s="37"/>
      <c r="I390" s="160"/>
      <c r="N390" s="158"/>
    </row>
    <row r="391" spans="5:14">
      <c r="E391" s="37"/>
      <c r="F391" s="37"/>
      <c r="G391" s="37"/>
      <c r="H391" s="37"/>
      <c r="I391" s="160"/>
      <c r="N391" s="158"/>
    </row>
    <row r="392" spans="5:14">
      <c r="E392" s="37"/>
      <c r="F392" s="37"/>
      <c r="G392" s="37"/>
      <c r="H392" s="37"/>
      <c r="I392" s="160"/>
      <c r="N392" s="158"/>
    </row>
    <row r="393" spans="5:14">
      <c r="E393" s="37"/>
      <c r="F393" s="37"/>
      <c r="G393" s="37"/>
      <c r="H393" s="37"/>
      <c r="I393" s="160"/>
      <c r="N393" s="158"/>
    </row>
    <row r="394" spans="5:14">
      <c r="E394" s="37"/>
      <c r="F394" s="37"/>
      <c r="G394" s="37"/>
      <c r="H394" s="37"/>
      <c r="I394" s="160"/>
      <c r="N394" s="158"/>
    </row>
    <row r="395" spans="5:14">
      <c r="E395" s="37"/>
      <c r="F395" s="37"/>
      <c r="G395" s="37"/>
      <c r="H395" s="37"/>
      <c r="I395" s="160"/>
      <c r="N395" s="158"/>
    </row>
    <row r="396" spans="5:14">
      <c r="E396" s="37"/>
      <c r="F396" s="37"/>
      <c r="G396" s="37"/>
      <c r="H396" s="37"/>
      <c r="I396" s="160"/>
      <c r="N396" s="158"/>
    </row>
    <row r="397" spans="5:14">
      <c r="E397" s="37"/>
      <c r="F397" s="37"/>
      <c r="G397" s="37"/>
      <c r="H397" s="37"/>
      <c r="I397" s="160"/>
      <c r="N397" s="158"/>
    </row>
    <row r="398" spans="5:14">
      <c r="E398" s="37"/>
      <c r="F398" s="37"/>
      <c r="G398" s="37"/>
      <c r="H398" s="37"/>
      <c r="I398" s="160"/>
      <c r="N398" s="158"/>
    </row>
    <row r="399" spans="5:14">
      <c r="E399" s="37"/>
      <c r="F399" s="37"/>
      <c r="G399" s="37"/>
      <c r="H399" s="37"/>
      <c r="I399" s="160"/>
      <c r="N399" s="158"/>
    </row>
    <row r="400" spans="5:14">
      <c r="E400" s="37"/>
      <c r="F400" s="37"/>
      <c r="G400" s="37"/>
      <c r="H400" s="37"/>
      <c r="I400" s="160"/>
      <c r="N400" s="158"/>
    </row>
    <row r="401" spans="5:14">
      <c r="E401" s="37"/>
      <c r="F401" s="37"/>
      <c r="G401" s="37"/>
      <c r="H401" s="37"/>
      <c r="I401" s="160"/>
      <c r="N401" s="158"/>
    </row>
    <row r="402" spans="5:14">
      <c r="E402" s="37"/>
      <c r="F402" s="37"/>
      <c r="G402" s="37"/>
      <c r="H402" s="37"/>
      <c r="I402" s="160"/>
      <c r="N402" s="158"/>
    </row>
    <row r="403" spans="5:14">
      <c r="E403" s="37"/>
      <c r="F403" s="37"/>
      <c r="G403" s="37"/>
      <c r="H403" s="37"/>
      <c r="I403" s="160"/>
      <c r="N403" s="158"/>
    </row>
    <row r="404" spans="5:14">
      <c r="E404" s="37"/>
      <c r="F404" s="37"/>
      <c r="G404" s="37"/>
      <c r="H404" s="37"/>
      <c r="I404" s="160"/>
      <c r="N404" s="158"/>
    </row>
    <row r="405" spans="5:14">
      <c r="E405" s="37"/>
      <c r="F405" s="37"/>
      <c r="G405" s="37"/>
      <c r="H405" s="37"/>
      <c r="I405" s="160"/>
      <c r="N405" s="158"/>
    </row>
    <row r="406" spans="5:14">
      <c r="E406" s="37"/>
      <c r="F406" s="37"/>
      <c r="G406" s="37"/>
      <c r="H406" s="37"/>
      <c r="I406" s="160"/>
      <c r="N406" s="158"/>
    </row>
    <row r="407" spans="5:14">
      <c r="E407" s="37"/>
      <c r="F407" s="37"/>
      <c r="G407" s="37"/>
      <c r="H407" s="37"/>
      <c r="I407" s="160"/>
      <c r="N407" s="158"/>
    </row>
    <row r="408" spans="5:14">
      <c r="E408" s="37"/>
      <c r="F408" s="37"/>
      <c r="G408" s="37"/>
      <c r="H408" s="37"/>
      <c r="I408" s="160"/>
      <c r="N408" s="158"/>
    </row>
    <row r="409" spans="5:14">
      <c r="E409" s="37"/>
      <c r="F409" s="37"/>
      <c r="G409" s="37"/>
      <c r="H409" s="37"/>
      <c r="I409" s="160"/>
      <c r="N409" s="158"/>
    </row>
    <row r="410" spans="5:14">
      <c r="E410" s="37"/>
      <c r="F410" s="37"/>
      <c r="G410" s="37"/>
      <c r="H410" s="37"/>
      <c r="I410" s="160"/>
      <c r="N410" s="158"/>
    </row>
    <row r="411" spans="5:14">
      <c r="E411" s="37"/>
      <c r="F411" s="37"/>
      <c r="G411" s="37"/>
      <c r="H411" s="37"/>
      <c r="I411" s="160"/>
      <c r="N411" s="158"/>
    </row>
    <row r="412" spans="5:14">
      <c r="E412" s="37"/>
      <c r="F412" s="37"/>
      <c r="G412" s="37"/>
      <c r="H412" s="37"/>
      <c r="I412" s="160"/>
      <c r="N412" s="158"/>
    </row>
    <row r="413" spans="5:14">
      <c r="E413" s="37"/>
      <c r="F413" s="37"/>
      <c r="G413" s="37"/>
      <c r="H413" s="37"/>
      <c r="I413" s="160"/>
      <c r="N413" s="158"/>
    </row>
    <row r="414" spans="5:14">
      <c r="E414" s="37"/>
      <c r="F414" s="37"/>
      <c r="G414" s="37"/>
      <c r="H414" s="37"/>
      <c r="I414" s="160"/>
      <c r="N414" s="158"/>
    </row>
    <row r="415" spans="5:14">
      <c r="E415" s="37"/>
      <c r="F415" s="37"/>
      <c r="G415" s="37"/>
      <c r="H415" s="37"/>
      <c r="I415" s="160"/>
      <c r="N415" s="158"/>
    </row>
    <row r="416" spans="5:14">
      <c r="E416" s="37"/>
      <c r="F416" s="37"/>
      <c r="G416" s="37"/>
      <c r="H416" s="37"/>
      <c r="I416" s="160"/>
      <c r="N416" s="158"/>
    </row>
    <row r="417" spans="5:14">
      <c r="E417" s="37"/>
      <c r="F417" s="37"/>
      <c r="G417" s="37"/>
      <c r="H417" s="37"/>
      <c r="I417" s="160"/>
      <c r="N417" s="158"/>
    </row>
    <row r="418" spans="5:14">
      <c r="E418" s="37"/>
      <c r="F418" s="37"/>
      <c r="G418" s="37"/>
      <c r="H418" s="37"/>
      <c r="I418" s="160"/>
      <c r="N418" s="158"/>
    </row>
    <row r="419" spans="5:14">
      <c r="E419" s="37"/>
      <c r="F419" s="37"/>
      <c r="G419" s="37"/>
      <c r="H419" s="37"/>
      <c r="I419" s="160"/>
      <c r="N419" s="158"/>
    </row>
    <row r="420" spans="5:14">
      <c r="E420" s="37"/>
      <c r="F420" s="37"/>
      <c r="G420" s="37"/>
      <c r="H420" s="37"/>
      <c r="I420" s="160"/>
      <c r="N420" s="158"/>
    </row>
    <row r="421" spans="5:14">
      <c r="E421" s="37"/>
      <c r="F421" s="37"/>
      <c r="G421" s="37"/>
      <c r="H421" s="37"/>
      <c r="I421" s="160"/>
      <c r="N421" s="158"/>
    </row>
    <row r="422" spans="5:14">
      <c r="E422" s="37"/>
      <c r="F422" s="37"/>
      <c r="G422" s="37"/>
      <c r="H422" s="37"/>
      <c r="I422" s="160"/>
      <c r="N422" s="158"/>
    </row>
    <row r="423" spans="5:14">
      <c r="E423" s="37"/>
      <c r="F423" s="37"/>
      <c r="G423" s="37"/>
      <c r="H423" s="37"/>
      <c r="I423" s="160"/>
      <c r="N423" s="158"/>
    </row>
    <row r="424" spans="5:14">
      <c r="E424" s="37"/>
      <c r="F424" s="37"/>
      <c r="G424" s="37"/>
      <c r="H424" s="37"/>
      <c r="I424" s="160"/>
      <c r="N424" s="158"/>
    </row>
    <row r="425" spans="5:14">
      <c r="E425" s="37"/>
      <c r="F425" s="37"/>
      <c r="G425" s="37"/>
      <c r="H425" s="37"/>
      <c r="I425" s="160"/>
      <c r="N425" s="158"/>
    </row>
    <row r="426" spans="5:14">
      <c r="E426" s="37"/>
      <c r="F426" s="37"/>
      <c r="G426" s="37"/>
      <c r="H426" s="37"/>
      <c r="I426" s="160"/>
      <c r="N426" s="158"/>
    </row>
    <row r="427" spans="5:14">
      <c r="E427" s="37"/>
      <c r="F427" s="37"/>
      <c r="G427" s="37"/>
      <c r="H427" s="37"/>
      <c r="I427" s="160"/>
      <c r="N427" s="158"/>
    </row>
    <row r="428" spans="5:14">
      <c r="E428" s="37"/>
      <c r="F428" s="37"/>
      <c r="G428" s="37"/>
      <c r="H428" s="37"/>
      <c r="I428" s="160"/>
      <c r="N428" s="158"/>
    </row>
    <row r="429" spans="5:14">
      <c r="E429" s="37"/>
      <c r="F429" s="37"/>
      <c r="G429" s="37"/>
      <c r="H429" s="37"/>
      <c r="I429" s="160"/>
      <c r="N429" s="158"/>
    </row>
    <row r="430" spans="5:14">
      <c r="E430" s="37"/>
      <c r="F430" s="37"/>
      <c r="G430" s="37"/>
      <c r="H430" s="37"/>
      <c r="I430" s="160"/>
      <c r="N430" s="158"/>
    </row>
    <row r="431" spans="5:14">
      <c r="E431" s="37"/>
      <c r="F431" s="37"/>
      <c r="G431" s="37"/>
      <c r="H431" s="37"/>
      <c r="I431" s="160"/>
      <c r="N431" s="158"/>
    </row>
    <row r="432" spans="5:14">
      <c r="E432" s="37"/>
      <c r="F432" s="37"/>
      <c r="G432" s="37"/>
      <c r="H432" s="37"/>
      <c r="I432" s="160"/>
      <c r="N432" s="158"/>
    </row>
    <row r="433" spans="5:14">
      <c r="E433" s="37"/>
      <c r="F433" s="37"/>
      <c r="G433" s="37"/>
      <c r="H433" s="37"/>
      <c r="I433" s="160"/>
      <c r="N433" s="158"/>
    </row>
    <row r="434" spans="5:14">
      <c r="E434" s="37"/>
      <c r="F434" s="37"/>
      <c r="G434" s="37"/>
      <c r="H434" s="37"/>
      <c r="I434" s="160"/>
      <c r="N434" s="158"/>
    </row>
    <row r="435" spans="5:14">
      <c r="E435" s="37"/>
      <c r="F435" s="37"/>
      <c r="G435" s="37"/>
      <c r="H435" s="37"/>
      <c r="I435" s="160"/>
      <c r="N435" s="158"/>
    </row>
    <row r="436" spans="5:14">
      <c r="E436" s="37"/>
      <c r="F436" s="37"/>
      <c r="G436" s="37"/>
      <c r="H436" s="37"/>
      <c r="I436" s="160"/>
      <c r="N436" s="158"/>
    </row>
    <row r="437" spans="5:14">
      <c r="E437" s="37"/>
      <c r="F437" s="37"/>
      <c r="G437" s="37"/>
      <c r="H437" s="37"/>
      <c r="I437" s="160"/>
      <c r="N437" s="158"/>
    </row>
    <row r="438" spans="5:14">
      <c r="E438" s="37"/>
      <c r="F438" s="37"/>
      <c r="G438" s="37"/>
      <c r="H438" s="37"/>
      <c r="I438" s="160"/>
      <c r="N438" s="158"/>
    </row>
    <row r="439" spans="5:14">
      <c r="E439" s="37"/>
      <c r="F439" s="37"/>
      <c r="G439" s="37"/>
      <c r="H439" s="37"/>
      <c r="I439" s="160"/>
      <c r="N439" s="158"/>
    </row>
    <row r="440" spans="5:14">
      <c r="E440" s="37"/>
      <c r="F440" s="37"/>
      <c r="G440" s="37"/>
      <c r="H440" s="37"/>
      <c r="I440" s="160"/>
      <c r="N440" s="158"/>
    </row>
    <row r="441" spans="5:14">
      <c r="E441" s="37"/>
      <c r="F441" s="37"/>
      <c r="G441" s="37"/>
      <c r="H441" s="37"/>
      <c r="I441" s="160"/>
      <c r="N441" s="158"/>
    </row>
    <row r="442" spans="5:14">
      <c r="E442" s="37"/>
      <c r="F442" s="37"/>
      <c r="G442" s="37"/>
      <c r="H442" s="37"/>
      <c r="I442" s="160"/>
      <c r="N442" s="158"/>
    </row>
    <row r="443" spans="5:14">
      <c r="E443" s="37"/>
      <c r="F443" s="37"/>
      <c r="G443" s="37"/>
      <c r="H443" s="37"/>
      <c r="I443" s="160"/>
      <c r="N443" s="158"/>
    </row>
    <row r="444" spans="5:14">
      <c r="E444" s="37"/>
      <c r="F444" s="37"/>
      <c r="G444" s="37"/>
      <c r="H444" s="37"/>
      <c r="I444" s="160"/>
      <c r="N444" s="158"/>
    </row>
    <row r="445" spans="5:14">
      <c r="E445" s="37"/>
      <c r="F445" s="37"/>
      <c r="G445" s="37"/>
      <c r="H445" s="37"/>
      <c r="I445" s="160"/>
      <c r="N445" s="158"/>
    </row>
    <row r="446" spans="5:14">
      <c r="E446" s="37"/>
      <c r="F446" s="37"/>
      <c r="G446" s="37"/>
      <c r="H446" s="37"/>
      <c r="I446" s="160"/>
      <c r="N446" s="158"/>
    </row>
    <row r="447" spans="5:14">
      <c r="E447" s="37"/>
      <c r="F447" s="37"/>
      <c r="G447" s="37"/>
      <c r="H447" s="37"/>
      <c r="I447" s="160"/>
      <c r="N447" s="158"/>
    </row>
    <row r="448" spans="5:14">
      <c r="E448" s="37"/>
      <c r="F448" s="37"/>
      <c r="G448" s="37"/>
      <c r="H448" s="37"/>
      <c r="I448" s="160"/>
      <c r="N448" s="158"/>
    </row>
    <row r="449" spans="5:14">
      <c r="E449" s="37"/>
      <c r="F449" s="37"/>
      <c r="G449" s="37"/>
      <c r="H449" s="37"/>
      <c r="I449" s="160"/>
      <c r="N449" s="158"/>
    </row>
    <row r="450" spans="5:14">
      <c r="E450" s="37"/>
      <c r="F450" s="37"/>
      <c r="G450" s="37"/>
      <c r="H450" s="37"/>
      <c r="I450" s="160"/>
      <c r="N450" s="158"/>
    </row>
    <row r="451" spans="5:14">
      <c r="E451" s="37"/>
      <c r="F451" s="37"/>
      <c r="G451" s="37"/>
      <c r="H451" s="37"/>
      <c r="I451" s="160"/>
      <c r="N451" s="158"/>
    </row>
    <row r="452" spans="5:14">
      <c r="E452" s="37"/>
      <c r="F452" s="37"/>
      <c r="G452" s="37"/>
      <c r="H452" s="37"/>
      <c r="I452" s="160"/>
      <c r="N452" s="158"/>
    </row>
    <row r="453" spans="5:14">
      <c r="E453" s="37"/>
      <c r="F453" s="37"/>
      <c r="G453" s="37"/>
      <c r="H453" s="37"/>
      <c r="I453" s="160"/>
      <c r="N453" s="158"/>
    </row>
    <row r="454" spans="5:14">
      <c r="E454" s="37"/>
      <c r="F454" s="37"/>
      <c r="G454" s="37"/>
      <c r="H454" s="37"/>
      <c r="I454" s="160"/>
      <c r="N454" s="158"/>
    </row>
    <row r="455" spans="5:14">
      <c r="E455" s="37"/>
      <c r="F455" s="37"/>
      <c r="G455" s="37"/>
      <c r="H455" s="37"/>
      <c r="I455" s="160"/>
      <c r="N455" s="158"/>
    </row>
    <row r="456" spans="5:14">
      <c r="E456" s="37"/>
      <c r="F456" s="37"/>
      <c r="G456" s="37"/>
      <c r="H456" s="37"/>
      <c r="I456" s="160"/>
      <c r="N456" s="158"/>
    </row>
    <row r="457" spans="5:14">
      <c r="E457" s="37"/>
      <c r="F457" s="37"/>
      <c r="G457" s="37"/>
      <c r="H457" s="37"/>
      <c r="I457" s="160"/>
      <c r="N457" s="158"/>
    </row>
    <row r="458" spans="5:14">
      <c r="E458" s="37"/>
      <c r="F458" s="37"/>
      <c r="G458" s="37"/>
      <c r="H458" s="37"/>
      <c r="I458" s="160"/>
      <c r="N458" s="158"/>
    </row>
    <row r="459" spans="5:14">
      <c r="E459" s="37"/>
      <c r="F459" s="37"/>
      <c r="G459" s="37"/>
      <c r="H459" s="37"/>
      <c r="I459" s="160"/>
      <c r="N459" s="158"/>
    </row>
    <row r="460" spans="5:14">
      <c r="E460" s="37"/>
      <c r="F460" s="37"/>
      <c r="G460" s="37"/>
      <c r="H460" s="37"/>
      <c r="I460" s="160"/>
      <c r="N460" s="158"/>
    </row>
    <row r="461" spans="5:14">
      <c r="E461" s="37"/>
      <c r="F461" s="37"/>
      <c r="G461" s="37"/>
      <c r="H461" s="37"/>
      <c r="I461" s="160"/>
      <c r="N461" s="158"/>
    </row>
    <row r="462" spans="5:14">
      <c r="E462" s="37"/>
      <c r="F462" s="37"/>
      <c r="G462" s="37"/>
      <c r="H462" s="37"/>
      <c r="I462" s="160"/>
      <c r="N462" s="158"/>
    </row>
    <row r="463" spans="5:14">
      <c r="E463" s="37"/>
      <c r="F463" s="37"/>
      <c r="G463" s="37"/>
      <c r="H463" s="37"/>
      <c r="I463" s="160"/>
      <c r="N463" s="158"/>
    </row>
    <row r="464" spans="5:14">
      <c r="E464" s="37"/>
      <c r="F464" s="37"/>
      <c r="G464" s="37"/>
      <c r="H464" s="37"/>
      <c r="I464" s="160"/>
      <c r="N464" s="158"/>
    </row>
    <row r="465" spans="5:14">
      <c r="E465" s="37"/>
      <c r="F465" s="37"/>
      <c r="G465" s="37"/>
      <c r="H465" s="37"/>
      <c r="I465" s="160"/>
      <c r="N465" s="158"/>
    </row>
    <row r="466" spans="5:14">
      <c r="E466" s="37"/>
      <c r="F466" s="37"/>
      <c r="G466" s="37"/>
      <c r="H466" s="37"/>
      <c r="I466" s="160"/>
      <c r="N466" s="158"/>
    </row>
    <row r="467" spans="5:14">
      <c r="E467" s="37"/>
      <c r="F467" s="37"/>
      <c r="G467" s="37"/>
      <c r="H467" s="37"/>
      <c r="I467" s="160"/>
      <c r="N467" s="158"/>
    </row>
    <row r="468" spans="5:14">
      <c r="E468" s="37"/>
      <c r="F468" s="37"/>
      <c r="G468" s="37"/>
      <c r="H468" s="37"/>
      <c r="I468" s="160"/>
      <c r="N468" s="158"/>
    </row>
    <row r="469" spans="5:14">
      <c r="E469" s="37"/>
      <c r="F469" s="37"/>
      <c r="G469" s="37"/>
      <c r="H469" s="37"/>
      <c r="I469" s="160"/>
      <c r="N469" s="158"/>
    </row>
    <row r="470" spans="5:14">
      <c r="E470" s="37"/>
      <c r="F470" s="37"/>
      <c r="G470" s="37"/>
      <c r="H470" s="37"/>
      <c r="I470" s="160"/>
      <c r="N470" s="158"/>
    </row>
    <row r="471" spans="5:14">
      <c r="E471" s="37"/>
      <c r="F471" s="37"/>
      <c r="G471" s="37"/>
      <c r="H471" s="37"/>
      <c r="I471" s="160"/>
      <c r="N471" s="158"/>
    </row>
    <row r="472" spans="5:14">
      <c r="E472" s="37"/>
      <c r="F472" s="37"/>
      <c r="G472" s="37"/>
      <c r="H472" s="37"/>
      <c r="I472" s="160"/>
      <c r="N472" s="158"/>
    </row>
    <row r="473" spans="5:14">
      <c r="E473" s="37"/>
      <c r="F473" s="37"/>
      <c r="G473" s="37"/>
      <c r="H473" s="37"/>
      <c r="I473" s="160"/>
      <c r="N473" s="158"/>
    </row>
    <row r="474" spans="5:14">
      <c r="E474" s="37"/>
      <c r="F474" s="37"/>
      <c r="G474" s="37"/>
      <c r="H474" s="37"/>
      <c r="I474" s="160"/>
      <c r="N474" s="158"/>
    </row>
    <row r="475" spans="5:14">
      <c r="E475" s="37"/>
      <c r="F475" s="37"/>
      <c r="G475" s="37"/>
      <c r="H475" s="37"/>
      <c r="I475" s="160"/>
      <c r="N475" s="158"/>
    </row>
    <row r="476" spans="5:14">
      <c r="E476" s="37"/>
      <c r="F476" s="37"/>
      <c r="G476" s="37"/>
      <c r="H476" s="37"/>
      <c r="I476" s="160"/>
      <c r="N476" s="158"/>
    </row>
    <row r="477" spans="5:14">
      <c r="E477" s="37"/>
      <c r="F477" s="37"/>
      <c r="G477" s="37"/>
      <c r="H477" s="37"/>
      <c r="I477" s="160"/>
      <c r="N477" s="158"/>
    </row>
    <row r="478" spans="5:14">
      <c r="E478" s="37"/>
      <c r="F478" s="37"/>
      <c r="G478" s="37"/>
      <c r="H478" s="37"/>
      <c r="I478" s="160"/>
      <c r="N478" s="158"/>
    </row>
    <row r="479" spans="5:14">
      <c r="E479" s="37"/>
      <c r="F479" s="37"/>
      <c r="G479" s="37"/>
      <c r="H479" s="37"/>
      <c r="I479" s="160"/>
      <c r="N479" s="158"/>
    </row>
    <row r="480" spans="5:14">
      <c r="E480" s="37"/>
      <c r="F480" s="37"/>
      <c r="G480" s="37"/>
      <c r="H480" s="37"/>
      <c r="I480" s="160"/>
      <c r="N480" s="158"/>
    </row>
    <row r="481" spans="5:14">
      <c r="E481" s="37"/>
      <c r="F481" s="37"/>
      <c r="G481" s="37"/>
      <c r="H481" s="37"/>
      <c r="I481" s="160"/>
      <c r="N481" s="158"/>
    </row>
    <row r="482" spans="5:14">
      <c r="E482" s="37"/>
      <c r="F482" s="37"/>
      <c r="G482" s="37"/>
      <c r="H482" s="37"/>
      <c r="I482" s="160"/>
      <c r="N482" s="158"/>
    </row>
    <row r="483" spans="5:14">
      <c r="E483" s="37"/>
      <c r="F483" s="37"/>
      <c r="G483" s="37"/>
      <c r="H483" s="37"/>
      <c r="I483" s="160"/>
      <c r="N483" s="158"/>
    </row>
    <row r="484" spans="5:14">
      <c r="E484" s="37"/>
      <c r="F484" s="37"/>
      <c r="G484" s="37"/>
      <c r="H484" s="37"/>
      <c r="I484" s="160"/>
      <c r="N484" s="158"/>
    </row>
    <row r="485" spans="5:14">
      <c r="E485" s="37"/>
      <c r="F485" s="37"/>
      <c r="G485" s="37"/>
      <c r="H485" s="37"/>
      <c r="I485" s="160"/>
      <c r="N485" s="158"/>
    </row>
    <row r="486" spans="5:14">
      <c r="E486" s="37"/>
      <c r="F486" s="37"/>
      <c r="G486" s="37"/>
      <c r="H486" s="37"/>
      <c r="I486" s="160"/>
      <c r="N486" s="158"/>
    </row>
    <row r="487" spans="5:14">
      <c r="E487" s="37"/>
      <c r="F487" s="37"/>
      <c r="G487" s="37"/>
      <c r="H487" s="37"/>
      <c r="I487" s="160"/>
      <c r="N487" s="158"/>
    </row>
    <row r="488" spans="5:14">
      <c r="E488" s="37"/>
      <c r="F488" s="37"/>
      <c r="G488" s="37"/>
      <c r="H488" s="37"/>
      <c r="I488" s="160"/>
      <c r="N488" s="158"/>
    </row>
    <row r="489" spans="5:14">
      <c r="E489" s="37"/>
      <c r="F489" s="37"/>
      <c r="G489" s="37"/>
      <c r="H489" s="37"/>
      <c r="I489" s="160"/>
      <c r="N489" s="158"/>
    </row>
    <row r="490" spans="5:14">
      <c r="E490" s="37"/>
      <c r="F490" s="37"/>
      <c r="G490" s="37"/>
      <c r="H490" s="37"/>
      <c r="I490" s="160"/>
      <c r="N490" s="158"/>
    </row>
    <row r="491" spans="5:14">
      <c r="E491" s="37"/>
      <c r="F491" s="37"/>
      <c r="G491" s="37"/>
      <c r="H491" s="37"/>
      <c r="I491" s="160"/>
      <c r="N491" s="158"/>
    </row>
    <row r="492" spans="5:14">
      <c r="E492" s="37"/>
      <c r="F492" s="37"/>
      <c r="G492" s="37"/>
      <c r="H492" s="37"/>
      <c r="I492" s="160"/>
      <c r="N492" s="158"/>
    </row>
    <row r="493" spans="5:14">
      <c r="E493" s="37"/>
      <c r="F493" s="37"/>
      <c r="G493" s="37"/>
      <c r="H493" s="37"/>
      <c r="I493" s="160"/>
      <c r="N493" s="158"/>
    </row>
    <row r="494" spans="5:14">
      <c r="E494" s="37"/>
      <c r="F494" s="37"/>
      <c r="G494" s="37"/>
      <c r="H494" s="37"/>
      <c r="I494" s="160"/>
      <c r="N494" s="158"/>
    </row>
    <row r="495" spans="5:14">
      <c r="E495" s="37"/>
      <c r="F495" s="37"/>
      <c r="G495" s="37"/>
      <c r="H495" s="37"/>
      <c r="I495" s="160"/>
      <c r="N495" s="158"/>
    </row>
    <row r="496" spans="5:14">
      <c r="E496" s="37"/>
      <c r="F496" s="37"/>
      <c r="G496" s="37"/>
      <c r="H496" s="37"/>
      <c r="I496" s="160"/>
      <c r="N496" s="158"/>
    </row>
    <row r="497" spans="5:14">
      <c r="E497" s="37"/>
      <c r="F497" s="37"/>
      <c r="G497" s="37"/>
      <c r="H497" s="37"/>
      <c r="I497" s="160"/>
      <c r="N497" s="158"/>
    </row>
    <row r="498" spans="5:14">
      <c r="E498" s="37"/>
      <c r="F498" s="37"/>
      <c r="G498" s="37"/>
      <c r="H498" s="37"/>
      <c r="I498" s="160"/>
      <c r="N498" s="158"/>
    </row>
    <row r="499" spans="5:14">
      <c r="E499" s="37"/>
      <c r="F499" s="37"/>
      <c r="G499" s="37"/>
      <c r="H499" s="37"/>
      <c r="I499" s="160"/>
      <c r="N499" s="158"/>
    </row>
    <row r="500" spans="5:14">
      <c r="E500" s="37"/>
      <c r="F500" s="37"/>
      <c r="G500" s="37"/>
      <c r="H500" s="37"/>
      <c r="I500" s="160"/>
      <c r="N500" s="158"/>
    </row>
    <row r="501" spans="5:14">
      <c r="E501" s="37"/>
      <c r="F501" s="37"/>
      <c r="G501" s="37"/>
      <c r="H501" s="37"/>
      <c r="I501" s="160"/>
      <c r="N501" s="158"/>
    </row>
    <row r="502" spans="5:14">
      <c r="E502" s="37"/>
      <c r="F502" s="37"/>
      <c r="G502" s="37"/>
      <c r="H502" s="37"/>
      <c r="I502" s="160"/>
      <c r="N502" s="158"/>
    </row>
    <row r="503" spans="5:14">
      <c r="E503" s="37"/>
      <c r="F503" s="37"/>
      <c r="G503" s="37"/>
      <c r="H503" s="37"/>
      <c r="I503" s="160"/>
      <c r="N503" s="158"/>
    </row>
    <row r="504" spans="5:14">
      <c r="E504" s="37"/>
      <c r="F504" s="37"/>
      <c r="G504" s="37"/>
      <c r="H504" s="37"/>
      <c r="I504" s="160"/>
      <c r="N504" s="158"/>
    </row>
    <row r="505" spans="5:14">
      <c r="E505" s="37"/>
      <c r="F505" s="37"/>
      <c r="G505" s="37"/>
      <c r="H505" s="37"/>
      <c r="I505" s="160"/>
      <c r="N505" s="158"/>
    </row>
    <row r="506" spans="5:14">
      <c r="E506" s="37"/>
      <c r="F506" s="37"/>
      <c r="G506" s="37"/>
      <c r="H506" s="37"/>
      <c r="I506" s="160"/>
      <c r="N506" s="158"/>
    </row>
    <row r="507" spans="5:14">
      <c r="E507" s="37"/>
      <c r="F507" s="37"/>
      <c r="G507" s="37"/>
      <c r="H507" s="37"/>
      <c r="I507" s="160"/>
      <c r="N507" s="158"/>
    </row>
    <row r="508" spans="5:14">
      <c r="E508" s="37"/>
      <c r="F508" s="37"/>
      <c r="G508" s="37"/>
      <c r="H508" s="37"/>
      <c r="I508" s="160"/>
      <c r="N508" s="158"/>
    </row>
    <row r="509" spans="5:14">
      <c r="E509" s="37"/>
      <c r="F509" s="37"/>
      <c r="G509" s="37"/>
      <c r="H509" s="37"/>
      <c r="I509" s="160"/>
      <c r="N509" s="158"/>
    </row>
    <row r="510" spans="5:14">
      <c r="E510" s="37"/>
      <c r="F510" s="37"/>
      <c r="G510" s="37"/>
      <c r="H510" s="37"/>
      <c r="I510" s="160"/>
      <c r="N510" s="158"/>
    </row>
    <row r="511" spans="5:14">
      <c r="E511" s="37"/>
      <c r="F511" s="37"/>
      <c r="G511" s="37"/>
      <c r="H511" s="37"/>
      <c r="I511" s="160"/>
      <c r="N511" s="158"/>
    </row>
    <row r="512" spans="5:14">
      <c r="E512" s="37"/>
      <c r="F512" s="37"/>
      <c r="G512" s="37"/>
      <c r="H512" s="37"/>
      <c r="I512" s="160"/>
      <c r="N512" s="158"/>
    </row>
    <row r="513" spans="5:14">
      <c r="E513" s="37"/>
      <c r="F513" s="37"/>
      <c r="G513" s="37"/>
      <c r="H513" s="37"/>
      <c r="I513" s="160"/>
      <c r="N513" s="158"/>
    </row>
    <row r="514" spans="5:14">
      <c r="E514" s="37"/>
      <c r="F514" s="37"/>
      <c r="G514" s="37"/>
      <c r="H514" s="37"/>
      <c r="I514" s="160"/>
      <c r="N514" s="158"/>
    </row>
    <row r="515" spans="5:14">
      <c r="E515" s="37"/>
      <c r="F515" s="37"/>
      <c r="G515" s="37"/>
      <c r="H515" s="37"/>
      <c r="I515" s="160"/>
      <c r="N515" s="158"/>
    </row>
    <row r="516" spans="5:14">
      <c r="E516" s="37"/>
      <c r="F516" s="37"/>
      <c r="G516" s="37"/>
      <c r="H516" s="37"/>
      <c r="I516" s="160"/>
      <c r="N516" s="158"/>
    </row>
    <row r="517" spans="5:14">
      <c r="E517" s="37"/>
      <c r="F517" s="37"/>
      <c r="G517" s="37"/>
      <c r="H517" s="37"/>
      <c r="I517" s="160"/>
      <c r="N517" s="158"/>
    </row>
    <row r="518" spans="5:14">
      <c r="E518" s="37"/>
      <c r="F518" s="37"/>
      <c r="G518" s="37"/>
      <c r="H518" s="37"/>
      <c r="I518" s="160"/>
      <c r="N518" s="158"/>
    </row>
    <row r="519" spans="5:14">
      <c r="E519" s="37"/>
      <c r="F519" s="37"/>
      <c r="G519" s="37"/>
      <c r="H519" s="37"/>
      <c r="I519" s="160"/>
      <c r="N519" s="158"/>
    </row>
    <row r="520" spans="5:14">
      <c r="E520" s="37"/>
      <c r="F520" s="37"/>
      <c r="G520" s="37"/>
      <c r="H520" s="37"/>
      <c r="I520" s="160"/>
      <c r="N520" s="158"/>
    </row>
    <row r="521" spans="5:14">
      <c r="E521" s="37"/>
      <c r="F521" s="37"/>
      <c r="G521" s="37"/>
      <c r="H521" s="37"/>
      <c r="I521" s="160"/>
      <c r="N521" s="158"/>
    </row>
    <row r="522" spans="5:14">
      <c r="E522" s="37"/>
      <c r="F522" s="37"/>
      <c r="G522" s="37"/>
      <c r="H522" s="37"/>
      <c r="I522" s="160"/>
      <c r="N522" s="158"/>
    </row>
    <row r="523" spans="5:14">
      <c r="E523" s="37"/>
      <c r="F523" s="37"/>
      <c r="G523" s="37"/>
      <c r="H523" s="37"/>
      <c r="I523" s="160"/>
      <c r="N523" s="158"/>
    </row>
    <row r="524" spans="5:14">
      <c r="E524" s="37"/>
      <c r="F524" s="37"/>
      <c r="G524" s="37"/>
      <c r="H524" s="37"/>
      <c r="I524" s="160"/>
      <c r="N524" s="158"/>
    </row>
    <row r="525" spans="5:14">
      <c r="E525" s="37"/>
      <c r="F525" s="37"/>
      <c r="G525" s="37"/>
      <c r="H525" s="37"/>
      <c r="I525" s="160"/>
      <c r="N525" s="158"/>
    </row>
    <row r="526" spans="5:14">
      <c r="E526" s="37"/>
      <c r="F526" s="37"/>
      <c r="G526" s="37"/>
      <c r="H526" s="37"/>
      <c r="I526" s="160"/>
      <c r="N526" s="158"/>
    </row>
    <row r="527" spans="5:14">
      <c r="E527" s="37"/>
      <c r="F527" s="37"/>
      <c r="G527" s="37"/>
      <c r="H527" s="37"/>
      <c r="I527" s="160"/>
      <c r="N527" s="158"/>
    </row>
    <row r="528" spans="5:14">
      <c r="E528" s="37"/>
      <c r="F528" s="37"/>
      <c r="G528" s="37"/>
      <c r="H528" s="37"/>
      <c r="I528" s="160"/>
      <c r="N528" s="158"/>
    </row>
    <row r="529" spans="5:14">
      <c r="E529" s="37"/>
      <c r="F529" s="37"/>
      <c r="G529" s="37"/>
      <c r="H529" s="37"/>
      <c r="I529" s="160"/>
      <c r="N529" s="158"/>
    </row>
    <row r="530" spans="5:14">
      <c r="E530" s="37"/>
      <c r="F530" s="37"/>
      <c r="G530" s="37"/>
      <c r="H530" s="37"/>
      <c r="I530" s="160"/>
      <c r="N530" s="158"/>
    </row>
    <row r="531" spans="5:14">
      <c r="E531" s="37"/>
      <c r="F531" s="37"/>
      <c r="G531" s="37"/>
      <c r="H531" s="37"/>
      <c r="I531" s="160"/>
      <c r="N531" s="158"/>
    </row>
    <row r="532" spans="5:14">
      <c r="E532" s="37"/>
      <c r="F532" s="37"/>
      <c r="G532" s="37"/>
      <c r="H532" s="37"/>
      <c r="I532" s="160"/>
      <c r="N532" s="158"/>
    </row>
    <row r="533" spans="5:14">
      <c r="E533" s="37"/>
      <c r="F533" s="37"/>
      <c r="G533" s="37"/>
      <c r="H533" s="37"/>
      <c r="I533" s="160"/>
      <c r="N533" s="158"/>
    </row>
    <row r="534" spans="5:14">
      <c r="E534" s="37"/>
      <c r="F534" s="37"/>
      <c r="G534" s="37"/>
      <c r="H534" s="37"/>
      <c r="I534" s="160"/>
      <c r="N534" s="158"/>
    </row>
    <row r="535" spans="5:14">
      <c r="E535" s="37"/>
      <c r="F535" s="37"/>
      <c r="G535" s="37"/>
      <c r="H535" s="37"/>
      <c r="I535" s="160"/>
      <c r="N535" s="158"/>
    </row>
    <row r="536" spans="5:14">
      <c r="E536" s="37"/>
      <c r="F536" s="37"/>
      <c r="G536" s="37"/>
      <c r="H536" s="37"/>
      <c r="I536" s="160"/>
      <c r="N536" s="158"/>
    </row>
    <row r="537" spans="5:14">
      <c r="E537" s="37"/>
      <c r="F537" s="37"/>
      <c r="G537" s="37"/>
      <c r="H537" s="37"/>
      <c r="I537" s="160"/>
      <c r="N537" s="158"/>
    </row>
    <row r="538" spans="5:14">
      <c r="E538" s="37"/>
      <c r="F538" s="37"/>
      <c r="G538" s="37"/>
      <c r="H538" s="37"/>
      <c r="I538" s="160"/>
      <c r="N538" s="158"/>
    </row>
    <row r="539" spans="5:14">
      <c r="E539" s="37"/>
      <c r="F539" s="37"/>
      <c r="G539" s="37"/>
      <c r="H539" s="37"/>
      <c r="I539" s="160"/>
      <c r="N539" s="158"/>
    </row>
    <row r="540" spans="5:14">
      <c r="E540" s="37"/>
      <c r="F540" s="37"/>
      <c r="G540" s="37"/>
      <c r="H540" s="37"/>
      <c r="I540" s="160"/>
      <c r="N540" s="158"/>
    </row>
    <row r="541" spans="5:14">
      <c r="E541" s="37"/>
      <c r="F541" s="37"/>
      <c r="G541" s="37"/>
      <c r="H541" s="37"/>
      <c r="I541" s="160"/>
      <c r="N541" s="158"/>
    </row>
    <row r="542" spans="5:14">
      <c r="E542" s="37"/>
      <c r="F542" s="37"/>
      <c r="G542" s="37"/>
      <c r="H542" s="37"/>
      <c r="I542" s="160"/>
      <c r="N542" s="158"/>
    </row>
    <row r="543" spans="5:14">
      <c r="E543" s="37"/>
      <c r="F543" s="37"/>
      <c r="G543" s="37"/>
      <c r="H543" s="37"/>
      <c r="I543" s="160"/>
      <c r="N543" s="158"/>
    </row>
    <row r="544" spans="5:14">
      <c r="E544" s="37"/>
      <c r="F544" s="37"/>
      <c r="G544" s="37"/>
      <c r="H544" s="37"/>
      <c r="I544" s="160"/>
      <c r="N544" s="158"/>
    </row>
    <row r="545" spans="5:14">
      <c r="E545" s="37"/>
      <c r="F545" s="37"/>
      <c r="G545" s="37"/>
      <c r="H545" s="37"/>
      <c r="I545" s="160"/>
      <c r="N545" s="158"/>
    </row>
    <row r="546" spans="5:14">
      <c r="E546" s="37"/>
      <c r="F546" s="37"/>
      <c r="G546" s="37"/>
      <c r="H546" s="37"/>
      <c r="I546" s="160"/>
      <c r="N546" s="158"/>
    </row>
    <row r="547" spans="5:14">
      <c r="E547" s="37"/>
      <c r="F547" s="37"/>
      <c r="G547" s="37"/>
      <c r="H547" s="37"/>
      <c r="I547" s="160"/>
      <c r="N547" s="158"/>
    </row>
    <row r="548" spans="5:14">
      <c r="E548" s="37"/>
      <c r="F548" s="37"/>
      <c r="G548" s="37"/>
      <c r="H548" s="37"/>
      <c r="I548" s="160"/>
      <c r="N548" s="158"/>
    </row>
    <row r="549" spans="5:14">
      <c r="E549" s="37"/>
      <c r="F549" s="37"/>
      <c r="G549" s="37"/>
      <c r="H549" s="37"/>
      <c r="I549" s="160"/>
      <c r="N549" s="158"/>
    </row>
    <row r="550" spans="5:14">
      <c r="E550" s="37"/>
      <c r="F550" s="37"/>
      <c r="G550" s="37"/>
      <c r="H550" s="37"/>
      <c r="I550" s="160"/>
      <c r="N550" s="158"/>
    </row>
    <row r="551" spans="5:14">
      <c r="E551" s="37"/>
      <c r="F551" s="37"/>
      <c r="G551" s="37"/>
      <c r="H551" s="37"/>
      <c r="I551" s="160"/>
      <c r="N551" s="158"/>
    </row>
    <row r="552" spans="5:14">
      <c r="E552" s="37"/>
      <c r="F552" s="37"/>
      <c r="G552" s="37"/>
      <c r="H552" s="37"/>
      <c r="I552" s="160"/>
      <c r="N552" s="158"/>
    </row>
    <row r="553" spans="5:14">
      <c r="E553" s="37"/>
      <c r="F553" s="37"/>
      <c r="G553" s="37"/>
      <c r="H553" s="37"/>
      <c r="I553" s="160"/>
      <c r="N553" s="158"/>
    </row>
    <row r="554" spans="5:14">
      <c r="E554" s="37"/>
      <c r="F554" s="37"/>
      <c r="G554" s="37"/>
      <c r="H554" s="37"/>
      <c r="I554" s="160"/>
      <c r="N554" s="158"/>
    </row>
    <row r="555" spans="5:14">
      <c r="E555" s="37"/>
      <c r="F555" s="37"/>
      <c r="G555" s="37"/>
      <c r="H555" s="37"/>
      <c r="I555" s="160"/>
      <c r="N555" s="158"/>
    </row>
    <row r="556" spans="5:14">
      <c r="E556" s="37"/>
      <c r="F556" s="37"/>
      <c r="G556" s="37"/>
      <c r="H556" s="37"/>
      <c r="I556" s="160"/>
      <c r="N556" s="158"/>
    </row>
    <row r="557" spans="5:14">
      <c r="E557" s="37"/>
      <c r="F557" s="37"/>
      <c r="G557" s="37"/>
      <c r="H557" s="37"/>
      <c r="I557" s="160"/>
      <c r="N557" s="158"/>
    </row>
    <row r="558" spans="5:14">
      <c r="E558" s="37"/>
      <c r="F558" s="37"/>
      <c r="G558" s="37"/>
      <c r="H558" s="37"/>
      <c r="I558" s="160"/>
      <c r="N558" s="158"/>
    </row>
    <row r="559" spans="5:14">
      <c r="E559" s="37"/>
      <c r="F559" s="37"/>
      <c r="G559" s="37"/>
      <c r="H559" s="37"/>
      <c r="I559" s="160"/>
      <c r="N559" s="158"/>
    </row>
    <row r="560" spans="5:14">
      <c r="E560" s="37"/>
      <c r="F560" s="37"/>
      <c r="G560" s="37"/>
      <c r="H560" s="37"/>
      <c r="I560" s="160"/>
      <c r="N560" s="158"/>
    </row>
    <row r="561" spans="5:14">
      <c r="E561" s="37"/>
      <c r="F561" s="37"/>
      <c r="G561" s="37"/>
      <c r="H561" s="37"/>
      <c r="I561" s="160"/>
      <c r="N561" s="158"/>
    </row>
    <row r="562" spans="5:14">
      <c r="E562" s="37"/>
      <c r="F562" s="37"/>
      <c r="G562" s="37"/>
      <c r="H562" s="37"/>
      <c r="I562" s="160"/>
      <c r="N562" s="158"/>
    </row>
    <row r="563" spans="5:14">
      <c r="E563" s="37"/>
      <c r="F563" s="37"/>
      <c r="G563" s="37"/>
      <c r="H563" s="37"/>
      <c r="I563" s="160"/>
      <c r="N563" s="158"/>
    </row>
    <row r="564" spans="5:14">
      <c r="E564" s="37"/>
      <c r="F564" s="37"/>
      <c r="G564" s="37"/>
      <c r="H564" s="37"/>
      <c r="I564" s="160"/>
      <c r="N564" s="158"/>
    </row>
    <row r="565" spans="5:14">
      <c r="E565" s="37"/>
      <c r="F565" s="37"/>
      <c r="G565" s="37"/>
      <c r="H565" s="37"/>
      <c r="I565" s="160"/>
      <c r="N565" s="158"/>
    </row>
    <row r="566" spans="5:14">
      <c r="E566" s="37"/>
      <c r="F566" s="37"/>
      <c r="G566" s="37"/>
      <c r="H566" s="37"/>
      <c r="I566" s="160"/>
      <c r="N566" s="158"/>
    </row>
    <row r="567" spans="5:14">
      <c r="E567" s="37"/>
      <c r="F567" s="37"/>
      <c r="G567" s="37"/>
      <c r="H567" s="37"/>
      <c r="I567" s="160"/>
      <c r="N567" s="158"/>
    </row>
    <row r="568" spans="5:14">
      <c r="E568" s="37"/>
      <c r="F568" s="37"/>
      <c r="G568" s="37"/>
      <c r="H568" s="37"/>
      <c r="I568" s="160"/>
      <c r="N568" s="158"/>
    </row>
    <row r="569" spans="5:14">
      <c r="E569" s="37"/>
      <c r="F569" s="37"/>
      <c r="G569" s="37"/>
      <c r="H569" s="37"/>
      <c r="I569" s="160"/>
      <c r="N569" s="158"/>
    </row>
    <row r="570" spans="5:14">
      <c r="E570" s="37"/>
      <c r="F570" s="37"/>
      <c r="G570" s="37"/>
      <c r="H570" s="37"/>
      <c r="I570" s="160"/>
      <c r="N570" s="158"/>
    </row>
    <row r="571" spans="5:14">
      <c r="E571" s="37"/>
      <c r="F571" s="37"/>
      <c r="G571" s="37"/>
      <c r="H571" s="37"/>
      <c r="I571" s="160"/>
      <c r="N571" s="158"/>
    </row>
    <row r="572" spans="5:14">
      <c r="E572" s="37"/>
      <c r="F572" s="37"/>
      <c r="G572" s="37"/>
      <c r="H572" s="37"/>
      <c r="I572" s="160"/>
      <c r="N572" s="158"/>
    </row>
    <row r="573" spans="5:14">
      <c r="E573" s="37"/>
      <c r="F573" s="37"/>
      <c r="G573" s="37"/>
      <c r="H573" s="37"/>
      <c r="I573" s="160"/>
      <c r="N573" s="158"/>
    </row>
    <row r="574" spans="5:14">
      <c r="E574" s="37"/>
      <c r="F574" s="37"/>
      <c r="G574" s="37"/>
      <c r="H574" s="37"/>
      <c r="I574" s="160"/>
      <c r="N574" s="158"/>
    </row>
    <row r="575" spans="5:14">
      <c r="E575" s="37"/>
      <c r="F575" s="37"/>
      <c r="G575" s="37"/>
      <c r="H575" s="37"/>
      <c r="I575" s="160"/>
      <c r="N575" s="158"/>
    </row>
    <row r="576" spans="5:14">
      <c r="E576" s="37"/>
      <c r="F576" s="37"/>
      <c r="G576" s="37"/>
      <c r="H576" s="37"/>
      <c r="I576" s="160"/>
      <c r="N576" s="158"/>
    </row>
    <row r="577" spans="5:14">
      <c r="E577" s="37"/>
      <c r="F577" s="37"/>
      <c r="G577" s="37"/>
      <c r="H577" s="37"/>
      <c r="I577" s="160"/>
      <c r="N577" s="158"/>
    </row>
    <row r="578" spans="5:14">
      <c r="E578" s="37"/>
      <c r="F578" s="37"/>
      <c r="G578" s="37"/>
      <c r="H578" s="37"/>
      <c r="I578" s="160"/>
      <c r="N578" s="158"/>
    </row>
    <row r="579" spans="5:14">
      <c r="E579" s="37"/>
      <c r="F579" s="37"/>
      <c r="G579" s="37"/>
      <c r="H579" s="37"/>
      <c r="I579" s="160"/>
      <c r="N579" s="158"/>
    </row>
    <row r="580" spans="5:14">
      <c r="E580" s="37"/>
      <c r="F580" s="37"/>
      <c r="G580" s="37"/>
      <c r="H580" s="37"/>
      <c r="I580" s="160"/>
      <c r="N580" s="158"/>
    </row>
    <row r="581" spans="5:14">
      <c r="E581" s="37"/>
      <c r="F581" s="37"/>
      <c r="G581" s="37"/>
      <c r="H581" s="37"/>
      <c r="I581" s="160"/>
      <c r="N581" s="158"/>
    </row>
    <row r="582" spans="5:14">
      <c r="E582" s="37"/>
      <c r="F582" s="37"/>
      <c r="G582" s="37"/>
      <c r="H582" s="37"/>
      <c r="I582" s="160"/>
      <c r="N582" s="158"/>
    </row>
    <row r="583" spans="5:14">
      <c r="E583" s="37"/>
      <c r="F583" s="37"/>
      <c r="G583" s="37"/>
      <c r="H583" s="37"/>
      <c r="I583" s="160"/>
      <c r="N583" s="158"/>
    </row>
    <row r="584" spans="5:14">
      <c r="E584" s="37"/>
      <c r="F584" s="37"/>
      <c r="G584" s="37"/>
      <c r="H584" s="37"/>
      <c r="I584" s="160"/>
      <c r="N584" s="158"/>
    </row>
    <row r="585" spans="5:14">
      <c r="E585" s="37"/>
      <c r="F585" s="37"/>
      <c r="G585" s="37"/>
      <c r="H585" s="37"/>
      <c r="I585" s="160"/>
      <c r="N585" s="158"/>
    </row>
    <row r="586" spans="5:14">
      <c r="E586" s="37"/>
      <c r="F586" s="37"/>
      <c r="G586" s="37"/>
      <c r="H586" s="37"/>
      <c r="I586" s="160"/>
      <c r="N586" s="158"/>
    </row>
    <row r="587" spans="5:14">
      <c r="E587" s="37"/>
      <c r="F587" s="37"/>
      <c r="G587" s="37"/>
      <c r="H587" s="37"/>
      <c r="I587" s="160"/>
      <c r="N587" s="158"/>
    </row>
    <row r="588" spans="5:14">
      <c r="E588" s="37"/>
      <c r="F588" s="37"/>
      <c r="G588" s="37"/>
      <c r="H588" s="37"/>
      <c r="I588" s="160"/>
      <c r="N588" s="158"/>
    </row>
    <row r="589" spans="5:14">
      <c r="E589" s="37"/>
      <c r="F589" s="37"/>
      <c r="G589" s="37"/>
      <c r="H589" s="37"/>
      <c r="I589" s="160"/>
      <c r="N589" s="158"/>
    </row>
    <row r="590" spans="5:14">
      <c r="E590" s="37"/>
      <c r="F590" s="37"/>
      <c r="G590" s="37"/>
      <c r="H590" s="37"/>
      <c r="I590" s="160"/>
      <c r="N590" s="158"/>
    </row>
    <row r="591" spans="5:14">
      <c r="E591" s="37"/>
      <c r="F591" s="37"/>
      <c r="G591" s="37"/>
      <c r="H591" s="37"/>
      <c r="I591" s="160"/>
      <c r="N591" s="158"/>
    </row>
    <row r="592" spans="5:14">
      <c r="E592" s="37"/>
      <c r="F592" s="37"/>
      <c r="G592" s="37"/>
      <c r="H592" s="37"/>
      <c r="I592" s="160"/>
      <c r="N592" s="158"/>
    </row>
    <row r="593" spans="5:14">
      <c r="E593" s="37"/>
      <c r="F593" s="37"/>
      <c r="G593" s="37"/>
      <c r="H593" s="37"/>
      <c r="I593" s="160"/>
      <c r="N593" s="158"/>
    </row>
    <row r="594" spans="5:14">
      <c r="E594" s="37"/>
      <c r="F594" s="37"/>
      <c r="G594" s="37"/>
      <c r="H594" s="37"/>
      <c r="I594" s="160"/>
      <c r="N594" s="158"/>
    </row>
    <row r="595" spans="5:14">
      <c r="E595" s="37"/>
      <c r="F595" s="37"/>
      <c r="G595" s="37"/>
      <c r="H595" s="37"/>
      <c r="I595" s="160"/>
      <c r="N595" s="158"/>
    </row>
    <row r="596" spans="5:14">
      <c r="E596" s="37"/>
      <c r="F596" s="37"/>
      <c r="G596" s="37"/>
      <c r="H596" s="37"/>
      <c r="I596" s="160"/>
      <c r="N596" s="158"/>
    </row>
    <row r="597" spans="5:14">
      <c r="E597" s="37"/>
      <c r="F597" s="37"/>
      <c r="G597" s="37"/>
      <c r="H597" s="37"/>
      <c r="I597" s="160"/>
      <c r="N597" s="158"/>
    </row>
    <row r="598" spans="5:14">
      <c r="E598" s="37"/>
      <c r="F598" s="37"/>
      <c r="G598" s="37"/>
      <c r="H598" s="37"/>
      <c r="I598" s="160"/>
      <c r="N598" s="158"/>
    </row>
    <row r="599" spans="5:14">
      <c r="E599" s="37"/>
      <c r="F599" s="37"/>
      <c r="G599" s="37"/>
      <c r="H599" s="37"/>
      <c r="I599" s="160"/>
      <c r="N599" s="158"/>
    </row>
    <row r="600" spans="5:14">
      <c r="E600" s="37"/>
      <c r="F600" s="37"/>
      <c r="G600" s="37"/>
      <c r="H600" s="37"/>
      <c r="I600" s="160"/>
      <c r="N600" s="158"/>
    </row>
    <row r="601" spans="5:14">
      <c r="E601" s="37"/>
      <c r="F601" s="37"/>
      <c r="G601" s="37"/>
      <c r="H601" s="37"/>
      <c r="I601" s="160"/>
      <c r="N601" s="158"/>
    </row>
    <row r="602" spans="5:14">
      <c r="E602" s="37"/>
      <c r="F602" s="37"/>
      <c r="G602" s="37"/>
      <c r="H602" s="37"/>
      <c r="I602" s="160"/>
      <c r="N602" s="158"/>
    </row>
    <row r="603" spans="5:14">
      <c r="E603" s="37"/>
      <c r="F603" s="37"/>
      <c r="G603" s="37"/>
      <c r="H603" s="37"/>
      <c r="I603" s="160"/>
      <c r="N603" s="158"/>
    </row>
    <row r="604" spans="5:14">
      <c r="E604" s="37"/>
      <c r="F604" s="37"/>
      <c r="G604" s="37"/>
      <c r="H604" s="37"/>
      <c r="I604" s="160"/>
      <c r="N604" s="158"/>
    </row>
    <row r="605" spans="5:14">
      <c r="E605" s="37"/>
      <c r="F605" s="37"/>
      <c r="G605" s="37"/>
      <c r="H605" s="37"/>
      <c r="I605" s="160"/>
      <c r="N605" s="158"/>
    </row>
    <row r="606" spans="5:14">
      <c r="E606" s="37"/>
      <c r="F606" s="37"/>
      <c r="G606" s="37"/>
      <c r="H606" s="37"/>
      <c r="I606" s="160"/>
      <c r="N606" s="158"/>
    </row>
    <row r="607" spans="5:14">
      <c r="E607" s="37"/>
      <c r="F607" s="37"/>
      <c r="G607" s="37"/>
      <c r="H607" s="37"/>
      <c r="I607" s="160"/>
      <c r="N607" s="158"/>
    </row>
    <row r="608" spans="5:14">
      <c r="E608" s="37"/>
      <c r="F608" s="37"/>
      <c r="G608" s="37"/>
      <c r="H608" s="37"/>
      <c r="I608" s="160"/>
      <c r="N608" s="158"/>
    </row>
    <row r="609" spans="5:14">
      <c r="E609" s="37"/>
      <c r="F609" s="37"/>
      <c r="G609" s="37"/>
      <c r="H609" s="37"/>
      <c r="I609" s="160"/>
      <c r="N609" s="158"/>
    </row>
    <row r="610" spans="5:14">
      <c r="E610" s="37"/>
      <c r="F610" s="37"/>
      <c r="G610" s="37"/>
      <c r="H610" s="37"/>
      <c r="I610" s="160"/>
      <c r="N610" s="158"/>
    </row>
    <row r="611" spans="5:14">
      <c r="E611" s="37"/>
      <c r="F611" s="37"/>
      <c r="G611" s="37"/>
      <c r="H611" s="37"/>
      <c r="I611" s="160"/>
      <c r="N611" s="158"/>
    </row>
    <row r="612" spans="5:14">
      <c r="E612" s="37"/>
      <c r="F612" s="37"/>
      <c r="G612" s="37"/>
      <c r="H612" s="37"/>
      <c r="I612" s="160"/>
      <c r="N612" s="158"/>
    </row>
    <row r="613" spans="5:14">
      <c r="E613" s="37"/>
      <c r="F613" s="37"/>
      <c r="G613" s="37"/>
      <c r="H613" s="37"/>
      <c r="I613" s="160"/>
      <c r="N613" s="158"/>
    </row>
    <row r="614" spans="5:14">
      <c r="E614" s="37"/>
      <c r="F614" s="37"/>
      <c r="G614" s="37"/>
      <c r="H614" s="37"/>
      <c r="I614" s="160"/>
      <c r="N614" s="158"/>
    </row>
    <row r="615" spans="5:14">
      <c r="E615" s="37"/>
      <c r="F615" s="37"/>
      <c r="G615" s="37"/>
      <c r="H615" s="37"/>
      <c r="I615" s="160"/>
      <c r="N615" s="158"/>
    </row>
    <row r="616" spans="5:14">
      <c r="E616" s="37"/>
      <c r="F616" s="37"/>
      <c r="G616" s="37"/>
      <c r="H616" s="37"/>
      <c r="I616" s="160"/>
      <c r="N616" s="158"/>
    </row>
    <row r="617" spans="5:14">
      <c r="E617" s="37"/>
      <c r="F617" s="37"/>
      <c r="G617" s="37"/>
      <c r="H617" s="37"/>
      <c r="I617" s="160"/>
      <c r="N617" s="158"/>
    </row>
    <row r="618" spans="5:14">
      <c r="E618" s="37"/>
      <c r="F618" s="37"/>
      <c r="G618" s="37"/>
      <c r="H618" s="37"/>
      <c r="I618" s="160"/>
      <c r="N618" s="158"/>
    </row>
    <row r="619" spans="5:14">
      <c r="E619" s="37"/>
      <c r="F619" s="37"/>
      <c r="G619" s="37"/>
      <c r="H619" s="37"/>
      <c r="I619" s="160"/>
      <c r="N619" s="158"/>
    </row>
    <row r="620" spans="5:14">
      <c r="E620" s="37"/>
      <c r="F620" s="37"/>
      <c r="G620" s="37"/>
      <c r="H620" s="37"/>
      <c r="I620" s="160"/>
      <c r="N620" s="158"/>
    </row>
    <row r="621" spans="5:14">
      <c r="E621" s="37"/>
      <c r="F621" s="37"/>
      <c r="G621" s="37"/>
      <c r="H621" s="37"/>
      <c r="I621" s="160"/>
      <c r="N621" s="158"/>
    </row>
    <row r="622" spans="5:14">
      <c r="E622" s="37"/>
      <c r="F622" s="37"/>
      <c r="G622" s="37"/>
      <c r="H622" s="37"/>
      <c r="I622" s="160"/>
      <c r="N622" s="158"/>
    </row>
    <row r="623" spans="5:14">
      <c r="E623" s="37"/>
      <c r="F623" s="37"/>
      <c r="G623" s="37"/>
      <c r="H623" s="37"/>
      <c r="I623" s="160"/>
      <c r="N623" s="158"/>
    </row>
    <row r="624" spans="5:14">
      <c r="E624" s="37"/>
      <c r="F624" s="37"/>
      <c r="G624" s="37"/>
      <c r="H624" s="37"/>
      <c r="I624" s="160"/>
      <c r="N624" s="158"/>
    </row>
    <row r="625" spans="5:14">
      <c r="E625" s="37"/>
      <c r="F625" s="37"/>
      <c r="G625" s="37"/>
      <c r="H625" s="37"/>
      <c r="I625" s="160"/>
      <c r="N625" s="158"/>
    </row>
    <row r="626" spans="5:14">
      <c r="E626" s="37"/>
      <c r="F626" s="37"/>
      <c r="G626" s="37"/>
      <c r="H626" s="37"/>
      <c r="I626" s="160"/>
      <c r="N626" s="158"/>
    </row>
    <row r="627" spans="5:14">
      <c r="E627" s="37"/>
      <c r="F627" s="37"/>
      <c r="G627" s="37"/>
      <c r="H627" s="37"/>
      <c r="I627" s="160"/>
      <c r="N627" s="158"/>
    </row>
    <row r="628" spans="5:14">
      <c r="E628" s="37"/>
      <c r="F628" s="37"/>
      <c r="G628" s="37"/>
      <c r="H628" s="37"/>
      <c r="I628" s="160"/>
      <c r="N628" s="158"/>
    </row>
    <row r="629" spans="5:14">
      <c r="E629" s="37"/>
      <c r="F629" s="37"/>
      <c r="G629" s="37"/>
      <c r="H629" s="37"/>
      <c r="I629" s="160"/>
      <c r="N629" s="158"/>
    </row>
    <row r="630" spans="5:14">
      <c r="E630" s="37"/>
      <c r="F630" s="37"/>
      <c r="G630" s="37"/>
      <c r="H630" s="37"/>
      <c r="I630" s="160"/>
      <c r="N630" s="158"/>
    </row>
    <row r="631" spans="5:14">
      <c r="E631" s="37"/>
      <c r="F631" s="37"/>
      <c r="G631" s="37"/>
      <c r="H631" s="37"/>
      <c r="I631" s="160"/>
      <c r="N631" s="158"/>
    </row>
    <row r="632" spans="5:14">
      <c r="E632" s="37"/>
      <c r="F632" s="37"/>
      <c r="G632" s="37"/>
      <c r="H632" s="37"/>
      <c r="I632" s="160"/>
      <c r="N632" s="158"/>
    </row>
    <row r="633" spans="5:14">
      <c r="E633" s="37"/>
      <c r="F633" s="37"/>
      <c r="G633" s="37"/>
      <c r="H633" s="37"/>
      <c r="I633" s="160"/>
      <c r="N633" s="158"/>
    </row>
    <row r="634" spans="5:14">
      <c r="E634" s="37"/>
      <c r="F634" s="37"/>
      <c r="G634" s="37"/>
      <c r="H634" s="37"/>
      <c r="I634" s="160"/>
      <c r="N634" s="158"/>
    </row>
    <row r="635" spans="5:14">
      <c r="E635" s="37"/>
      <c r="F635" s="37"/>
      <c r="G635" s="37"/>
      <c r="H635" s="37"/>
      <c r="I635" s="160"/>
      <c r="N635" s="158"/>
    </row>
    <row r="636" spans="5:14">
      <c r="E636" s="37"/>
      <c r="F636" s="37"/>
      <c r="G636" s="37"/>
      <c r="H636" s="37"/>
      <c r="I636" s="160"/>
      <c r="N636" s="158"/>
    </row>
    <row r="637" spans="5:14">
      <c r="E637" s="37"/>
      <c r="F637" s="37"/>
      <c r="G637" s="37"/>
      <c r="H637" s="37"/>
      <c r="I637" s="160"/>
      <c r="N637" s="158"/>
    </row>
    <row r="638" spans="5:14">
      <c r="E638" s="37"/>
      <c r="F638" s="37"/>
      <c r="G638" s="37"/>
      <c r="H638" s="37"/>
      <c r="I638" s="160"/>
      <c r="N638" s="158"/>
    </row>
    <row r="639" spans="5:14">
      <c r="E639" s="37"/>
      <c r="F639" s="37"/>
      <c r="G639" s="37"/>
      <c r="H639" s="37"/>
      <c r="I639" s="160"/>
      <c r="N639" s="158"/>
    </row>
    <row r="640" spans="5:14">
      <c r="E640" s="37"/>
      <c r="F640" s="37"/>
      <c r="G640" s="37"/>
      <c r="H640" s="37"/>
      <c r="I640" s="160"/>
      <c r="N640" s="158"/>
    </row>
    <row r="641" spans="5:14">
      <c r="E641" s="37"/>
      <c r="F641" s="37"/>
      <c r="G641" s="37"/>
      <c r="H641" s="37"/>
      <c r="I641" s="160"/>
      <c r="N641" s="158"/>
    </row>
    <row r="642" spans="5:14">
      <c r="E642" s="37"/>
      <c r="F642" s="37"/>
      <c r="G642" s="37"/>
      <c r="H642" s="37"/>
      <c r="I642" s="160"/>
      <c r="N642" s="158"/>
    </row>
    <row r="643" spans="5:14">
      <c r="E643" s="37"/>
      <c r="F643" s="37"/>
      <c r="G643" s="37"/>
      <c r="H643" s="37"/>
      <c r="I643" s="160"/>
      <c r="N643" s="158"/>
    </row>
    <row r="644" spans="5:14">
      <c r="E644" s="37"/>
      <c r="F644" s="37"/>
      <c r="G644" s="37"/>
      <c r="H644" s="37"/>
      <c r="I644" s="160"/>
      <c r="N644" s="158"/>
    </row>
    <row r="645" spans="5:14">
      <c r="E645" s="37"/>
      <c r="F645" s="37"/>
      <c r="G645" s="37"/>
      <c r="H645" s="37"/>
      <c r="I645" s="160"/>
      <c r="N645" s="158"/>
    </row>
    <row r="646" spans="5:14">
      <c r="E646" s="37"/>
      <c r="F646" s="37"/>
      <c r="G646" s="37"/>
      <c r="H646" s="37"/>
      <c r="I646" s="160"/>
      <c r="N646" s="158"/>
    </row>
    <row r="647" spans="5:14">
      <c r="E647" s="37"/>
      <c r="F647" s="37"/>
      <c r="G647" s="37"/>
      <c r="H647" s="37"/>
      <c r="I647" s="160"/>
      <c r="N647" s="158"/>
    </row>
    <row r="648" spans="5:14">
      <c r="E648" s="37"/>
      <c r="F648" s="37"/>
      <c r="G648" s="37"/>
      <c r="H648" s="37"/>
      <c r="I648" s="160"/>
      <c r="N648" s="158"/>
    </row>
    <row r="649" spans="5:14">
      <c r="E649" s="37"/>
      <c r="F649" s="37"/>
      <c r="G649" s="37"/>
      <c r="H649" s="37"/>
      <c r="I649" s="160"/>
      <c r="N649" s="158"/>
    </row>
    <row r="650" spans="5:14">
      <c r="E650" s="37"/>
      <c r="F650" s="37"/>
      <c r="G650" s="37"/>
      <c r="H650" s="37"/>
      <c r="I650" s="160"/>
      <c r="N650" s="158"/>
    </row>
    <row r="651" spans="5:14">
      <c r="E651" s="37"/>
      <c r="F651" s="37"/>
      <c r="G651" s="37"/>
      <c r="H651" s="37"/>
      <c r="I651" s="160"/>
      <c r="N651" s="158"/>
    </row>
    <row r="652" spans="5:14">
      <c r="E652" s="37"/>
      <c r="F652" s="37"/>
      <c r="G652" s="37"/>
      <c r="H652" s="37"/>
      <c r="I652" s="160"/>
      <c r="N652" s="158"/>
    </row>
    <row r="653" spans="5:14">
      <c r="E653" s="37"/>
      <c r="F653" s="37"/>
      <c r="G653" s="37"/>
      <c r="H653" s="37"/>
      <c r="I653" s="160"/>
      <c r="N653" s="158"/>
    </row>
    <row r="654" spans="5:14">
      <c r="E654" s="37"/>
      <c r="F654" s="37"/>
      <c r="G654" s="37"/>
      <c r="H654" s="37"/>
      <c r="I654" s="160"/>
      <c r="N654" s="158"/>
    </row>
    <row r="655" spans="5:14">
      <c r="E655" s="37"/>
      <c r="F655" s="37"/>
      <c r="G655" s="37"/>
      <c r="H655" s="37"/>
      <c r="I655" s="160"/>
      <c r="N655" s="158"/>
    </row>
    <row r="656" spans="5:14">
      <c r="E656" s="37"/>
      <c r="F656" s="37"/>
      <c r="G656" s="37"/>
      <c r="H656" s="37"/>
      <c r="I656" s="160"/>
      <c r="N656" s="158"/>
    </row>
    <row r="657" spans="5:14">
      <c r="E657" s="37"/>
      <c r="F657" s="37"/>
      <c r="G657" s="37"/>
      <c r="H657" s="37"/>
      <c r="I657" s="160"/>
      <c r="N657" s="158"/>
    </row>
    <row r="658" spans="5:14">
      <c r="E658" s="37"/>
      <c r="F658" s="37"/>
      <c r="G658" s="37"/>
      <c r="H658" s="37"/>
      <c r="I658" s="160"/>
      <c r="N658" s="158"/>
    </row>
    <row r="659" spans="5:14">
      <c r="E659" s="37"/>
      <c r="F659" s="37"/>
      <c r="G659" s="37"/>
      <c r="H659" s="37"/>
      <c r="I659" s="160"/>
      <c r="N659" s="158"/>
    </row>
    <row r="660" spans="5:14">
      <c r="E660" s="37"/>
      <c r="F660" s="37"/>
      <c r="G660" s="37"/>
      <c r="H660" s="37"/>
      <c r="I660" s="160"/>
      <c r="N660" s="158"/>
    </row>
    <row r="661" spans="5:14">
      <c r="E661" s="37"/>
      <c r="F661" s="37"/>
      <c r="G661" s="37"/>
      <c r="H661" s="37"/>
      <c r="I661" s="160"/>
      <c r="N661" s="158"/>
    </row>
    <row r="662" spans="5:14">
      <c r="E662" s="37"/>
      <c r="F662" s="37"/>
      <c r="G662" s="37"/>
      <c r="H662" s="37"/>
      <c r="I662" s="160"/>
      <c r="N662" s="158"/>
    </row>
    <row r="663" spans="5:14">
      <c r="E663" s="37"/>
      <c r="F663" s="37"/>
      <c r="G663" s="37"/>
      <c r="H663" s="37"/>
      <c r="I663" s="160"/>
      <c r="N663" s="158"/>
    </row>
    <row r="664" spans="5:14">
      <c r="E664" s="37"/>
      <c r="F664" s="37"/>
      <c r="G664" s="37"/>
      <c r="H664" s="37"/>
      <c r="I664" s="160"/>
      <c r="N664" s="158"/>
    </row>
    <row r="665" spans="5:14">
      <c r="E665" s="37"/>
      <c r="F665" s="37"/>
      <c r="G665" s="37"/>
      <c r="H665" s="37"/>
      <c r="I665" s="160"/>
      <c r="N665" s="158"/>
    </row>
    <row r="666" spans="5:14">
      <c r="E666" s="37"/>
      <c r="F666" s="37"/>
      <c r="G666" s="37"/>
      <c r="H666" s="37"/>
      <c r="I666" s="160"/>
      <c r="N666" s="158"/>
    </row>
    <row r="667" spans="5:14">
      <c r="E667" s="37"/>
      <c r="F667" s="37"/>
      <c r="G667" s="37"/>
      <c r="H667" s="37"/>
      <c r="I667" s="160"/>
      <c r="N667" s="158"/>
    </row>
    <row r="668" spans="5:14">
      <c r="E668" s="37"/>
      <c r="F668" s="37"/>
      <c r="G668" s="37"/>
      <c r="H668" s="37"/>
      <c r="I668" s="160"/>
      <c r="N668" s="158"/>
    </row>
    <row r="669" spans="5:14">
      <c r="E669" s="37"/>
      <c r="F669" s="37"/>
      <c r="G669" s="37"/>
      <c r="H669" s="37"/>
      <c r="I669" s="160"/>
      <c r="N669" s="158"/>
    </row>
    <row r="670" spans="5:14">
      <c r="E670" s="37"/>
      <c r="F670" s="37"/>
      <c r="G670" s="37"/>
      <c r="H670" s="37"/>
      <c r="I670" s="160"/>
      <c r="N670" s="158"/>
    </row>
    <row r="671" spans="5:14">
      <c r="E671" s="37"/>
      <c r="F671" s="37"/>
      <c r="G671" s="37"/>
      <c r="H671" s="37"/>
      <c r="I671" s="160"/>
      <c r="N671" s="158"/>
    </row>
    <row r="672" spans="5:14">
      <c r="E672" s="37"/>
      <c r="F672" s="37"/>
      <c r="G672" s="37"/>
      <c r="H672" s="37"/>
      <c r="I672" s="160"/>
      <c r="N672" s="158"/>
    </row>
    <row r="673" spans="5:14">
      <c r="E673" s="37"/>
      <c r="F673" s="37"/>
      <c r="G673" s="37"/>
      <c r="H673" s="37"/>
      <c r="I673" s="160"/>
      <c r="N673" s="158"/>
    </row>
    <row r="674" spans="5:14">
      <c r="E674" s="37"/>
      <c r="F674" s="37"/>
      <c r="G674" s="37"/>
      <c r="H674" s="37"/>
      <c r="I674" s="160"/>
      <c r="N674" s="158"/>
    </row>
    <row r="675" spans="5:14">
      <c r="E675" s="37"/>
      <c r="F675" s="37"/>
      <c r="G675" s="37"/>
      <c r="H675" s="37"/>
      <c r="I675" s="160"/>
      <c r="N675" s="158"/>
    </row>
    <row r="676" spans="5:14">
      <c r="E676" s="37"/>
      <c r="F676" s="37"/>
      <c r="G676" s="37"/>
      <c r="H676" s="37"/>
      <c r="I676" s="160"/>
      <c r="N676" s="158"/>
    </row>
    <row r="677" spans="5:14">
      <c r="E677" s="37"/>
      <c r="F677" s="37"/>
      <c r="G677" s="37"/>
      <c r="H677" s="37"/>
      <c r="I677" s="160"/>
      <c r="N677" s="158"/>
    </row>
    <row r="678" spans="5:14">
      <c r="E678" s="37"/>
      <c r="F678" s="37"/>
      <c r="G678" s="37"/>
      <c r="H678" s="37"/>
      <c r="I678" s="160"/>
      <c r="N678" s="158"/>
    </row>
    <row r="679" spans="5:14">
      <c r="E679" s="37"/>
      <c r="F679" s="37"/>
      <c r="G679" s="37"/>
      <c r="H679" s="37"/>
      <c r="I679" s="160"/>
      <c r="N679" s="158"/>
    </row>
    <row r="680" spans="5:14">
      <c r="E680" s="37"/>
      <c r="F680" s="37"/>
      <c r="G680" s="37"/>
      <c r="H680" s="37"/>
      <c r="I680" s="160"/>
      <c r="N680" s="158"/>
    </row>
    <row r="681" spans="5:14">
      <c r="E681" s="37"/>
      <c r="F681" s="37"/>
      <c r="G681" s="37"/>
      <c r="H681" s="37"/>
      <c r="I681" s="160"/>
      <c r="N681" s="158"/>
    </row>
    <row r="682" spans="5:14">
      <c r="E682" s="37"/>
      <c r="F682" s="37"/>
      <c r="G682" s="37"/>
      <c r="H682" s="37"/>
      <c r="I682" s="160"/>
      <c r="N682" s="158"/>
    </row>
    <row r="683" spans="5:14">
      <c r="E683" s="37"/>
      <c r="F683" s="37"/>
      <c r="G683" s="37"/>
      <c r="H683" s="37"/>
      <c r="I683" s="160"/>
      <c r="N683" s="158"/>
    </row>
    <row r="684" spans="5:14">
      <c r="E684" s="37"/>
      <c r="F684" s="37"/>
      <c r="G684" s="37"/>
      <c r="H684" s="37"/>
      <c r="I684" s="160"/>
      <c r="N684" s="158"/>
    </row>
    <row r="685" spans="5:14">
      <c r="E685" s="37"/>
      <c r="F685" s="37"/>
      <c r="G685" s="37"/>
      <c r="H685" s="37"/>
      <c r="I685" s="160"/>
      <c r="N685" s="158"/>
    </row>
    <row r="686" spans="5:14">
      <c r="E686" s="37"/>
      <c r="F686" s="37"/>
      <c r="G686" s="37"/>
      <c r="H686" s="37"/>
      <c r="I686" s="160"/>
      <c r="N686" s="158"/>
    </row>
    <row r="687" spans="5:14">
      <c r="E687" s="37"/>
      <c r="F687" s="37"/>
      <c r="G687" s="37"/>
      <c r="H687" s="37"/>
      <c r="I687" s="160"/>
      <c r="N687" s="158"/>
    </row>
    <row r="688" spans="5:14">
      <c r="E688" s="37"/>
      <c r="F688" s="37"/>
      <c r="G688" s="37"/>
      <c r="H688" s="37"/>
      <c r="I688" s="160"/>
      <c r="N688" s="158"/>
    </row>
    <row r="689" spans="5:14">
      <c r="E689" s="37"/>
      <c r="F689" s="37"/>
      <c r="G689" s="37"/>
      <c r="H689" s="37"/>
      <c r="I689" s="160"/>
      <c r="N689" s="158"/>
    </row>
    <row r="690" spans="5:14">
      <c r="E690" s="37"/>
      <c r="F690" s="37"/>
      <c r="G690" s="37"/>
      <c r="H690" s="37"/>
      <c r="I690" s="160"/>
      <c r="N690" s="158"/>
    </row>
    <row r="691" spans="5:14">
      <c r="E691" s="37"/>
      <c r="F691" s="37"/>
      <c r="G691" s="37"/>
      <c r="H691" s="37"/>
      <c r="I691" s="160"/>
    </row>
    <row r="692" spans="5:14">
      <c r="E692" s="37"/>
      <c r="F692" s="37"/>
      <c r="G692" s="37"/>
      <c r="H692" s="37"/>
      <c r="I692" s="160"/>
    </row>
    <row r="693" spans="5:14">
      <c r="E693" s="37"/>
      <c r="F693" s="37"/>
      <c r="G693" s="37"/>
      <c r="H693" s="37"/>
      <c r="I693" s="160"/>
    </row>
    <row r="694" spans="5:14">
      <c r="E694" s="37"/>
      <c r="F694" s="37"/>
      <c r="G694" s="37"/>
      <c r="H694" s="37"/>
      <c r="I694" s="160"/>
    </row>
    <row r="695" spans="5:14">
      <c r="E695" s="37"/>
      <c r="F695" s="37"/>
      <c r="G695" s="37"/>
      <c r="H695" s="37"/>
      <c r="I695" s="160"/>
    </row>
    <row r="696" spans="5:14">
      <c r="E696" s="37"/>
      <c r="F696" s="37"/>
      <c r="G696" s="37"/>
      <c r="H696" s="37"/>
      <c r="I696" s="160"/>
    </row>
    <row r="697" spans="5:14">
      <c r="E697" s="37"/>
      <c r="F697" s="37"/>
      <c r="G697" s="37"/>
      <c r="H697" s="37"/>
      <c r="I697" s="160"/>
    </row>
    <row r="698" spans="5:14">
      <c r="E698" s="37"/>
      <c r="F698" s="37"/>
      <c r="G698" s="37"/>
      <c r="H698" s="37"/>
      <c r="I698" s="160"/>
    </row>
    <row r="699" spans="5:14">
      <c r="E699" s="37"/>
      <c r="F699" s="37"/>
      <c r="G699" s="37"/>
      <c r="H699" s="37"/>
      <c r="I699" s="160"/>
    </row>
    <row r="700" spans="5:14">
      <c r="E700" s="37"/>
      <c r="F700" s="37"/>
      <c r="G700" s="37"/>
      <c r="H700" s="37"/>
      <c r="I700" s="160"/>
    </row>
    <row r="701" spans="5:14">
      <c r="E701" s="37"/>
      <c r="F701" s="37"/>
      <c r="G701" s="37"/>
      <c r="H701" s="37"/>
      <c r="I701" s="160"/>
    </row>
    <row r="702" spans="5:14">
      <c r="E702" s="37"/>
      <c r="F702" s="37"/>
      <c r="G702" s="37"/>
      <c r="H702" s="37"/>
      <c r="I702" s="160"/>
    </row>
    <row r="703" spans="5:14">
      <c r="E703" s="37"/>
      <c r="F703" s="37"/>
      <c r="G703" s="37"/>
      <c r="H703" s="37"/>
      <c r="I703" s="160"/>
    </row>
    <row r="704" spans="5:14">
      <c r="E704" s="37"/>
      <c r="F704" s="37"/>
      <c r="G704" s="37"/>
      <c r="H704" s="37"/>
      <c r="I704" s="160"/>
    </row>
    <row r="705" spans="5:9">
      <c r="E705" s="37"/>
      <c r="F705" s="37"/>
      <c r="G705" s="37"/>
      <c r="H705" s="37"/>
      <c r="I705" s="160"/>
    </row>
    <row r="706" spans="5:9">
      <c r="E706" s="37"/>
      <c r="F706" s="37"/>
      <c r="G706" s="37"/>
      <c r="H706" s="37"/>
      <c r="I706" s="160"/>
    </row>
  </sheetData>
  <sheetProtection password="85F4" sheet="1" objects="1" scenarios="1" formatCells="0" formatColumns="0" formatRows="0" pivotTables="0"/>
  <mergeCells count="14">
    <mergeCell ref="E38:G38"/>
    <mergeCell ref="A5:C5"/>
    <mergeCell ref="B6:C6"/>
    <mergeCell ref="B8:C8"/>
    <mergeCell ref="B9:C9"/>
    <mergeCell ref="E37:G37"/>
    <mergeCell ref="B58:B59"/>
    <mergeCell ref="B10:C10"/>
    <mergeCell ref="B45:C45"/>
    <mergeCell ref="B37:C37"/>
    <mergeCell ref="B38:C38"/>
    <mergeCell ref="A17:C17"/>
    <mergeCell ref="B48:C48"/>
    <mergeCell ref="A16:D16"/>
  </mergeCells>
  <phoneticPr fontId="25" type="noConversion"/>
  <conditionalFormatting sqref="G41:G44">
    <cfRule type="expression" dxfId="36" priority="6" stopIfTrue="1">
      <formula>(D41)&gt;2</formula>
    </cfRule>
  </conditionalFormatting>
  <conditionalFormatting sqref="B62">
    <cfRule type="cellIs" dxfId="35" priority="7" stopIfTrue="1" operator="equal">
      <formula>"granular"</formula>
    </cfRule>
    <cfRule type="cellIs" dxfId="34" priority="8" stopIfTrue="1" operator="equal">
      <formula>"liquid"</formula>
    </cfRule>
  </conditionalFormatting>
  <conditionalFormatting sqref="B63:B64">
    <cfRule type="cellIs" dxfId="33" priority="9" stopIfTrue="1" operator="greaterThan">
      <formula>0</formula>
    </cfRule>
  </conditionalFormatting>
  <conditionalFormatting sqref="B58">
    <cfRule type="cellIs" dxfId="32" priority="10" stopIfTrue="1" operator="equal">
      <formula>"Enter values in cells below"</formula>
    </cfRule>
  </conditionalFormatting>
  <conditionalFormatting sqref="A59:A61">
    <cfRule type="cellIs" dxfId="31" priority="11" stopIfTrue="1" operator="equal">
      <formula>"Is this application:"</formula>
    </cfRule>
  </conditionalFormatting>
  <conditionalFormatting sqref="A64">
    <cfRule type="cellIs" dxfId="30" priority="12" stopIfTrue="1" operator="equal">
      <formula>"oz. product/1000 ft row:"</formula>
    </cfRule>
  </conditionalFormatting>
  <conditionalFormatting sqref="A62">
    <cfRule type="cellIs" dxfId="29" priority="13" stopIfTrue="1" operator="equal">
      <formula>"BROADCAST or applied in ROWS?"</formula>
    </cfRule>
  </conditionalFormatting>
  <conditionalFormatting sqref="A63">
    <cfRule type="cellIs" dxfId="28" priority="14" stopIfTrue="1" operator="equal">
      <formula>"GRANULAR or LIQUID?"</formula>
    </cfRule>
  </conditionalFormatting>
  <conditionalFormatting sqref="B54">
    <cfRule type="expression" dxfId="27" priority="15" stopIfTrue="1">
      <formula>$C$53="no"</formula>
    </cfRule>
  </conditionalFormatting>
  <conditionalFormatting sqref="C54">
    <cfRule type="expression" dxfId="26" priority="16" stopIfTrue="1">
      <formula>$C$53="yes"</formula>
    </cfRule>
    <cfRule type="expression" dxfId="25" priority="17" stopIfTrue="1">
      <formula>$C$53="no"</formula>
    </cfRule>
  </conditionalFormatting>
  <conditionalFormatting sqref="B55">
    <cfRule type="expression" dxfId="24" priority="18" stopIfTrue="1">
      <formula>$C$53="yes"</formula>
    </cfRule>
  </conditionalFormatting>
  <conditionalFormatting sqref="C55:D55">
    <cfRule type="expression" dxfId="23" priority="19" stopIfTrue="1">
      <formula>$C$53="yes"</formula>
    </cfRule>
  </conditionalFormatting>
  <conditionalFormatting sqref="D60">
    <cfRule type="expression" dxfId="22" priority="20" stopIfTrue="1">
      <formula>$C$60="Do not use this input"</formula>
    </cfRule>
  </conditionalFormatting>
  <conditionalFormatting sqref="D62">
    <cfRule type="expression" dxfId="21" priority="21" stopIfTrue="1">
      <formula>$C$62="Do not use this input"</formula>
    </cfRule>
    <cfRule type="expression" dxfId="20" priority="22" stopIfTrue="1">
      <formula>$C$62="fl oz per acre"</formula>
    </cfRule>
  </conditionalFormatting>
  <conditionalFormatting sqref="D61">
    <cfRule type="expression" dxfId="19" priority="23" stopIfTrue="1">
      <formula>$C$61="Do not use this input"</formula>
    </cfRule>
    <cfRule type="expression" dxfId="18" priority="24" stopIfTrue="1">
      <formula>$D$60="yes"</formula>
    </cfRule>
  </conditionalFormatting>
  <conditionalFormatting sqref="D63">
    <cfRule type="expression" dxfId="17" priority="25" stopIfTrue="1">
      <formula>$C$63="Do not use this input"</formula>
    </cfRule>
    <cfRule type="expression" dxfId="16" priority="26" stopIfTrue="1">
      <formula>$C$63="Row spacing (in):"</formula>
    </cfRule>
  </conditionalFormatting>
  <conditionalFormatting sqref="D64">
    <cfRule type="expression" dxfId="15" priority="27" stopIfTrue="1">
      <formula>$C$64="Do not use this input"</formula>
    </cfRule>
    <cfRule type="expression" dxfId="14" priority="28" stopIfTrue="1">
      <formula>$C$64="Bandwidth (in):"</formula>
    </cfRule>
  </conditionalFormatting>
  <conditionalFormatting sqref="A16:C16">
    <cfRule type="expression" dxfId="13" priority="29" stopIfTrue="1">
      <formula>B15="yes"</formula>
    </cfRule>
    <cfRule type="expression" dxfId="12" priority="30" stopIfTrue="1">
      <formula>B15="no"</formula>
    </cfRule>
  </conditionalFormatting>
  <conditionalFormatting sqref="F5:G5 H6:H7 E5:E35">
    <cfRule type="expression" dxfId="11" priority="31" stopIfTrue="1">
      <formula>$B$15="no"</formula>
    </cfRule>
  </conditionalFormatting>
  <conditionalFormatting sqref="F6:G35">
    <cfRule type="expression" dxfId="10" priority="32" stopIfTrue="1">
      <formula>$B$15="no"</formula>
    </cfRule>
  </conditionalFormatting>
  <conditionalFormatting sqref="D16">
    <cfRule type="expression" dxfId="9" priority="57" stopIfTrue="1">
      <formula>E14="yes"</formula>
    </cfRule>
    <cfRule type="expression" dxfId="8" priority="58" stopIfTrue="1">
      <formula>E14="no"</formula>
    </cfRule>
  </conditionalFormatting>
  <conditionalFormatting sqref="B11 B13 B14">
    <cfRule type="expression" dxfId="7" priority="5">
      <formula>$B$15="yes"</formula>
    </cfRule>
  </conditionalFormatting>
  <conditionalFormatting sqref="A11 A13 A14">
    <cfRule type="expression" dxfId="6" priority="4">
      <formula>$B$15="yes"</formula>
    </cfRule>
    <cfRule type="expression" priority="1">
      <formula>$B$15="no"</formula>
    </cfRule>
  </conditionalFormatting>
  <conditionalFormatting sqref="C11 C13 C14">
    <cfRule type="expression" dxfId="5" priority="3">
      <formula>$B$15="yes"</formula>
    </cfRule>
  </conditionalFormatting>
  <conditionalFormatting sqref="A11">
    <cfRule type="expression" priority="2">
      <formula>$B$15="no"</formula>
    </cfRule>
  </conditionalFormatting>
  <dataValidations count="1">
    <dataValidation type="list" allowBlank="1" showInputMessage="1" showErrorMessage="1" sqref="C53 D60">
      <formula1>$I$53:$J$53</formula1>
    </dataValidation>
  </dataValidations>
  <pageMargins left="0.61" right="0.36" top="0.75" bottom="1" header="0.5" footer="0.5"/>
  <pageSetup scale="45" orientation="portrait" horizontalDpi="4294967293" r:id="rId1"/>
  <headerFooter alignWithMargins="0">
    <oddHeader>&amp;A</oddHeader>
    <oddFooter>&amp;F</oddFooter>
  </headerFooter>
  <colBreaks count="1" manualBreakCount="1">
    <brk id="9" max="66" man="1"/>
  </colBreaks>
  <legacyDrawing r:id="rId2"/>
</worksheet>
</file>

<file path=xl/worksheets/sheet4.xml><?xml version="1.0" encoding="utf-8"?>
<worksheet xmlns="http://schemas.openxmlformats.org/spreadsheetml/2006/main" xmlns:r="http://schemas.openxmlformats.org/officeDocument/2006/relationships">
  <sheetPr codeName="Sheet4" enableFormatConditionsCalculation="0">
    <tabColor indexed="13"/>
  </sheetPr>
  <dimension ref="A1:AP392"/>
  <sheetViews>
    <sheetView showGridLines="0" view="pageBreakPreview" zoomScaleNormal="70" zoomScaleSheetLayoutView="100" workbookViewId="0">
      <selection sqref="A1:C2"/>
    </sheetView>
  </sheetViews>
  <sheetFormatPr defaultColWidth="8.42578125" defaultRowHeight="12.75"/>
  <cols>
    <col min="1" max="1" width="38.5703125" style="1" customWidth="1"/>
    <col min="2" max="2" width="19.5703125" style="1" customWidth="1"/>
    <col min="3" max="3" width="19.28515625" style="1" customWidth="1"/>
    <col min="4" max="4" width="15.28515625" style="3" customWidth="1"/>
    <col min="5" max="5" width="16.5703125" style="1" customWidth="1"/>
    <col min="6" max="6" width="14.7109375" style="1" customWidth="1"/>
    <col min="7" max="7" width="14.5703125" style="1" customWidth="1"/>
    <col min="8" max="8" width="26.85546875" style="1" customWidth="1"/>
    <col min="9" max="9" width="14.5703125" style="1" customWidth="1"/>
    <col min="10" max="10" width="9.7109375" style="6" customWidth="1"/>
    <col min="11" max="11" width="40.85546875" customWidth="1"/>
    <col min="12" max="12" width="35.42578125" style="1" customWidth="1"/>
    <col min="13" max="13" width="14.42578125" style="6" customWidth="1"/>
    <col min="14" max="14" width="8.42578125" style="6" customWidth="1"/>
    <col min="15" max="15" width="8.28515625" style="6" customWidth="1"/>
    <col min="16" max="20" width="24.7109375" style="6" customWidth="1"/>
    <col min="21" max="21" width="19.140625" style="1" customWidth="1"/>
    <col min="22" max="22" width="16.28515625" style="1" customWidth="1"/>
    <col min="23" max="23" width="17.85546875" style="1" customWidth="1"/>
    <col min="24" max="24" width="18.5703125" style="1" customWidth="1"/>
    <col min="25" max="25" width="16" style="1" customWidth="1"/>
    <col min="26" max="26" width="18.28515625" style="1" customWidth="1"/>
    <col min="27" max="27" width="16.7109375" style="1" customWidth="1"/>
    <col min="28" max="28" width="16" style="1" customWidth="1"/>
    <col min="29" max="29" width="18.28515625" style="1" customWidth="1"/>
    <col min="30" max="30" width="16.7109375" style="1" customWidth="1"/>
    <col min="31" max="31" width="8.42578125" style="1" customWidth="1"/>
    <col min="32" max="32" width="24.42578125" style="1" bestFit="1" customWidth="1"/>
    <col min="33" max="33" width="0.5703125" style="1" customWidth="1"/>
    <col min="34" max="34" width="32.85546875" style="1" bestFit="1" customWidth="1"/>
    <col min="35" max="35" width="0.7109375" style="1" customWidth="1"/>
    <col min="36" max="36" width="26.85546875" style="1" customWidth="1"/>
    <col min="37" max="37" width="31.7109375" style="1" bestFit="1" customWidth="1"/>
    <col min="38" max="42" width="8.42578125" style="1" customWidth="1"/>
    <col min="43" max="43" width="11.5703125" style="1" customWidth="1"/>
    <col min="44" max="16384" width="8.42578125" style="1"/>
  </cols>
  <sheetData>
    <row r="1" spans="1:42" ht="15">
      <c r="A1" s="862" t="s">
        <v>131</v>
      </c>
      <c r="B1" s="863"/>
      <c r="C1" s="863"/>
      <c r="E1" s="150" t="s">
        <v>58</v>
      </c>
      <c r="F1" s="36"/>
      <c r="G1" s="36"/>
      <c r="H1" s="36"/>
      <c r="K1" s="36"/>
      <c r="L1" s="36"/>
      <c r="M1" s="135"/>
      <c r="N1" s="135"/>
      <c r="O1" s="135"/>
      <c r="P1" s="135"/>
      <c r="Q1" s="135"/>
      <c r="R1" s="135"/>
      <c r="S1" s="135"/>
      <c r="T1" s="135"/>
      <c r="U1" s="36"/>
      <c r="V1" s="36"/>
      <c r="W1" s="36"/>
      <c r="X1" s="36"/>
      <c r="Y1" s="36"/>
      <c r="Z1" s="36"/>
      <c r="AA1" s="36"/>
      <c r="AB1" s="36"/>
      <c r="AC1" s="36"/>
      <c r="AD1" s="36"/>
      <c r="AE1" s="36"/>
      <c r="AF1" s="36"/>
      <c r="AG1" s="36"/>
      <c r="AH1" s="36"/>
      <c r="AI1" s="36"/>
      <c r="AJ1" s="36"/>
      <c r="AK1" s="36"/>
      <c r="AL1" s="36"/>
      <c r="AM1" s="36"/>
      <c r="AN1" s="36"/>
      <c r="AO1" s="36"/>
    </row>
    <row r="2" spans="1:42" ht="15" customHeight="1" thickBot="1">
      <c r="A2" s="864"/>
      <c r="B2" s="864"/>
      <c r="C2" s="864"/>
      <c r="E2" s="150" t="s">
        <v>59</v>
      </c>
      <c r="F2" s="36"/>
      <c r="G2" s="36"/>
      <c r="H2" s="36"/>
      <c r="K2" s="36"/>
      <c r="L2" s="36"/>
      <c r="M2" s="135"/>
      <c r="N2" s="135"/>
      <c r="O2" s="135"/>
      <c r="P2" s="135"/>
      <c r="Q2" s="135"/>
      <c r="R2" s="135"/>
      <c r="S2" s="135"/>
      <c r="T2" s="135"/>
      <c r="U2" s="36"/>
      <c r="V2" s="36"/>
      <c r="W2" s="36"/>
      <c r="X2" s="36"/>
      <c r="Y2" s="36"/>
      <c r="Z2" s="36"/>
      <c r="AA2" s="36"/>
      <c r="AB2" s="36"/>
      <c r="AC2" s="36"/>
      <c r="AD2" s="36"/>
      <c r="AE2" s="36"/>
      <c r="AF2" s="36"/>
      <c r="AG2" s="36"/>
      <c r="AH2" s="36"/>
      <c r="AI2" s="36"/>
      <c r="AJ2" s="36"/>
      <c r="AK2" s="36"/>
      <c r="AL2" s="36"/>
      <c r="AM2" s="36"/>
      <c r="AN2" s="36"/>
      <c r="AO2" s="36"/>
    </row>
    <row r="3" spans="1:42" ht="20.25" customHeight="1">
      <c r="A3" s="281" t="s">
        <v>0</v>
      </c>
      <c r="B3" s="877">
        <f>INPUTS!B6</f>
        <v>0</v>
      </c>
      <c r="C3" s="878"/>
      <c r="D3" s="134"/>
      <c r="E3" s="150" t="s">
        <v>60</v>
      </c>
      <c r="F3" s="36"/>
      <c r="G3" s="36"/>
      <c r="H3" s="36"/>
      <c r="K3" s="36"/>
      <c r="L3" s="36"/>
      <c r="M3" s="135"/>
      <c r="N3" s="135"/>
      <c r="O3" s="135"/>
      <c r="P3" s="135"/>
      <c r="Q3" s="135"/>
      <c r="R3" s="135"/>
      <c r="S3" s="135"/>
      <c r="T3" s="135"/>
      <c r="U3" s="36"/>
      <c r="V3" s="36"/>
      <c r="W3" s="36"/>
      <c r="X3" s="36"/>
      <c r="Y3" s="36"/>
      <c r="Z3" s="36"/>
      <c r="AA3" s="36"/>
      <c r="AB3" s="36"/>
      <c r="AC3" s="36"/>
      <c r="AD3" s="36"/>
      <c r="AE3" s="36"/>
      <c r="AF3" s="36"/>
      <c r="AG3" s="36"/>
      <c r="AH3" s="36"/>
      <c r="AI3" s="36"/>
      <c r="AJ3" s="36"/>
      <c r="AK3" s="36"/>
      <c r="AL3" s="36"/>
      <c r="AM3" s="36"/>
      <c r="AN3" s="36"/>
      <c r="AO3" s="36"/>
    </row>
    <row r="4" spans="1:42" ht="15" customHeight="1">
      <c r="A4" s="235" t="s">
        <v>1</v>
      </c>
      <c r="B4" s="879">
        <f>INPUTS!B8</f>
        <v>0</v>
      </c>
      <c r="C4" s="880"/>
      <c r="D4" s="134"/>
      <c r="E4" s="150" t="s">
        <v>61</v>
      </c>
      <c r="F4" s="36"/>
      <c r="G4" s="36"/>
      <c r="H4" s="36"/>
      <c r="K4" s="36"/>
      <c r="L4" s="36"/>
      <c r="M4" s="135"/>
      <c r="N4" s="135"/>
      <c r="O4" s="135"/>
      <c r="P4" s="135"/>
      <c r="Q4" s="135"/>
      <c r="R4" s="135"/>
      <c r="S4" s="135"/>
      <c r="T4" s="135"/>
      <c r="U4" s="36"/>
      <c r="V4" s="36"/>
      <c r="W4" s="36"/>
      <c r="X4" s="36"/>
      <c r="Y4" s="36"/>
      <c r="Z4" s="36"/>
      <c r="AA4" s="36"/>
      <c r="AB4" s="36"/>
      <c r="AC4" s="36"/>
      <c r="AD4" s="36"/>
      <c r="AE4" s="36"/>
      <c r="AF4" s="36"/>
      <c r="AG4" s="36"/>
      <c r="AH4" s="36"/>
      <c r="AI4" s="36"/>
      <c r="AJ4" s="36"/>
      <c r="AK4" s="36"/>
      <c r="AL4" s="36"/>
      <c r="AM4" s="36"/>
      <c r="AN4" s="36"/>
      <c r="AO4" s="36"/>
    </row>
    <row r="5" spans="1:42" ht="15" customHeight="1">
      <c r="A5" s="234" t="s">
        <v>2</v>
      </c>
      <c r="B5" s="879">
        <f>INPUTS!B9</f>
        <v>0</v>
      </c>
      <c r="C5" s="880"/>
      <c r="D5" s="134"/>
      <c r="E5" s="36"/>
      <c r="F5" s="36"/>
      <c r="G5" s="36"/>
      <c r="H5" s="36"/>
      <c r="K5" s="36"/>
      <c r="L5" s="36"/>
      <c r="M5" s="135"/>
      <c r="N5" s="135"/>
      <c r="O5" s="135"/>
      <c r="P5" s="135" t="s">
        <v>3</v>
      </c>
      <c r="Q5" s="135"/>
      <c r="R5" s="135"/>
      <c r="S5" s="135"/>
      <c r="T5" s="135"/>
      <c r="U5" s="135"/>
      <c r="V5" s="36"/>
      <c r="W5" s="36"/>
      <c r="X5" s="36"/>
      <c r="Y5" s="36"/>
      <c r="Z5" s="36"/>
      <c r="AA5" s="36"/>
      <c r="AB5" s="36"/>
      <c r="AC5" s="36"/>
      <c r="AD5" s="36"/>
      <c r="AE5" s="36"/>
      <c r="AF5" s="36"/>
      <c r="AG5" s="36"/>
      <c r="AH5" s="36"/>
      <c r="AI5" s="36"/>
      <c r="AJ5" s="36"/>
      <c r="AK5" s="36"/>
      <c r="AL5" s="36"/>
      <c r="AM5" s="36"/>
      <c r="AN5" s="36"/>
      <c r="AO5" s="36"/>
      <c r="AP5" s="36"/>
    </row>
    <row r="6" spans="1:42" ht="15" customHeight="1">
      <c r="A6" s="234" t="s">
        <v>4</v>
      </c>
      <c r="B6" s="282">
        <f>INPUTS!B11*INPUTS!B10</f>
        <v>0</v>
      </c>
      <c r="C6" s="283" t="s">
        <v>5</v>
      </c>
      <c r="D6" s="134"/>
      <c r="E6" s="212" t="s">
        <v>219</v>
      </c>
      <c r="F6" s="36"/>
      <c r="G6" s="36"/>
      <c r="H6" s="36"/>
      <c r="K6" s="36"/>
      <c r="L6" s="36"/>
      <c r="M6" s="135"/>
      <c r="N6" s="135"/>
      <c r="O6" s="135"/>
      <c r="P6" s="135"/>
      <c r="Q6" s="135"/>
      <c r="R6" s="135"/>
      <c r="S6" s="135"/>
      <c r="T6" s="135"/>
      <c r="U6" s="135"/>
      <c r="V6" s="36"/>
      <c r="W6" s="36"/>
      <c r="X6" s="36"/>
      <c r="Y6" s="36"/>
      <c r="Z6" s="36"/>
      <c r="AA6" s="36"/>
      <c r="AB6" s="36"/>
      <c r="AC6" s="36"/>
      <c r="AD6" s="36"/>
      <c r="AE6" s="36"/>
      <c r="AF6" s="36"/>
      <c r="AG6" s="36"/>
      <c r="AH6" s="36"/>
      <c r="AI6" s="36"/>
      <c r="AJ6" s="36"/>
      <c r="AK6" s="36"/>
      <c r="AL6" s="36"/>
      <c r="AM6" s="36"/>
      <c r="AN6" s="36"/>
      <c r="AO6" s="36"/>
      <c r="AP6" s="36"/>
    </row>
    <row r="7" spans="1:42" ht="15" customHeight="1">
      <c r="A7" s="234" t="s">
        <v>7</v>
      </c>
      <c r="B7" s="282">
        <f>INPUTS!B12</f>
        <v>0</v>
      </c>
      <c r="C7" s="283" t="s">
        <v>8</v>
      </c>
      <c r="D7" s="134"/>
      <c r="E7" s="212" t="s">
        <v>220</v>
      </c>
      <c r="F7" s="36"/>
      <c r="G7" s="36"/>
      <c r="H7" s="36"/>
      <c r="K7" s="36"/>
      <c r="L7" s="36"/>
      <c r="M7" s="135"/>
      <c r="N7" s="135"/>
      <c r="O7" s="135"/>
      <c r="P7" s="135"/>
      <c r="Q7" s="135"/>
      <c r="R7" s="135"/>
      <c r="S7" s="135"/>
      <c r="T7" s="135"/>
      <c r="U7" s="135"/>
      <c r="V7" s="36"/>
      <c r="W7" s="36"/>
      <c r="X7" s="36"/>
      <c r="Y7" s="36"/>
      <c r="Z7" s="36"/>
      <c r="AA7" s="36"/>
      <c r="AB7" s="36"/>
      <c r="AC7" s="36"/>
      <c r="AD7" s="36"/>
      <c r="AE7" s="36"/>
      <c r="AF7" s="36"/>
      <c r="AG7" s="36"/>
      <c r="AH7" s="36"/>
      <c r="AI7" s="36"/>
      <c r="AJ7" s="36"/>
      <c r="AK7" s="36"/>
      <c r="AL7" s="36"/>
      <c r="AM7" s="36"/>
      <c r="AN7" s="36"/>
      <c r="AO7" s="36"/>
      <c r="AP7" s="36"/>
    </row>
    <row r="8" spans="1:42" ht="15" customHeight="1">
      <c r="A8" s="234" t="s">
        <v>41</v>
      </c>
      <c r="B8" s="282">
        <f>INPUTS!B13</f>
        <v>0</v>
      </c>
      <c r="C8" s="283" t="s">
        <v>9</v>
      </c>
      <c r="D8" s="134"/>
      <c r="E8" s="212" t="s">
        <v>221</v>
      </c>
      <c r="F8" s="36"/>
      <c r="G8" s="36"/>
      <c r="H8" s="36"/>
      <c r="K8" s="36"/>
      <c r="L8" s="36"/>
      <c r="M8" s="135"/>
      <c r="N8" s="135"/>
      <c r="O8" s="135"/>
      <c r="P8" s="535" t="s">
        <v>268</v>
      </c>
      <c r="Q8" s="610" t="s">
        <v>420</v>
      </c>
      <c r="R8" s="174" t="s">
        <v>6</v>
      </c>
      <c r="S8" s="535"/>
      <c r="T8" s="535"/>
      <c r="U8" s="535"/>
      <c r="W8" s="174"/>
      <c r="X8" s="174"/>
      <c r="Y8" s="36"/>
      <c r="Z8" s="36"/>
      <c r="AA8" s="36"/>
      <c r="AB8" s="36"/>
      <c r="AC8" s="36"/>
      <c r="AD8" s="36"/>
      <c r="AE8" s="36"/>
      <c r="AF8" s="36"/>
      <c r="AG8" s="36"/>
      <c r="AH8" s="36"/>
      <c r="AI8" s="36"/>
      <c r="AJ8" s="36"/>
      <c r="AK8" s="36"/>
      <c r="AL8" s="36"/>
      <c r="AM8" s="36"/>
      <c r="AN8" s="36"/>
      <c r="AO8" s="36"/>
      <c r="AP8" s="36"/>
    </row>
    <row r="9" spans="1:42" ht="15" customHeight="1">
      <c r="A9" s="234" t="s">
        <v>10</v>
      </c>
      <c r="B9" s="282">
        <f>INPUTS!B14</f>
        <v>0</v>
      </c>
      <c r="C9" s="755"/>
      <c r="D9" s="134"/>
      <c r="F9" s="36"/>
      <c r="G9" s="36"/>
      <c r="H9" s="36"/>
      <c r="K9" s="36"/>
      <c r="L9" s="36"/>
      <c r="M9" s="135"/>
      <c r="N9" s="135"/>
      <c r="O9" s="135"/>
      <c r="P9" s="135"/>
      <c r="Q9" s="135"/>
      <c r="R9" s="36"/>
      <c r="S9" s="135"/>
      <c r="T9" s="135"/>
      <c r="U9" s="135"/>
      <c r="W9" s="36"/>
      <c r="X9" s="36"/>
      <c r="Y9" s="36"/>
      <c r="Z9" s="36"/>
      <c r="AA9" s="36"/>
      <c r="AB9" s="36"/>
      <c r="AC9" s="36"/>
      <c r="AD9" s="36"/>
      <c r="AE9" s="36"/>
      <c r="AF9" s="36"/>
      <c r="AG9" s="36"/>
      <c r="AH9" s="36"/>
      <c r="AI9" s="36"/>
      <c r="AJ9" s="36"/>
      <c r="AK9" s="36"/>
      <c r="AL9" s="36"/>
      <c r="AM9" s="36"/>
      <c r="AN9" s="36"/>
      <c r="AO9" s="36"/>
      <c r="AP9" s="36"/>
    </row>
    <row r="10" spans="1:42" ht="15" customHeight="1">
      <c r="A10" s="234" t="s">
        <v>28</v>
      </c>
      <c r="B10" s="754">
        <v>1</v>
      </c>
      <c r="C10" s="283" t="s">
        <v>46</v>
      </c>
      <c r="D10" s="134"/>
      <c r="F10" s="36"/>
      <c r="G10" s="36"/>
      <c r="H10" s="36"/>
      <c r="K10" s="36"/>
      <c r="L10" s="36"/>
      <c r="M10" s="135"/>
      <c r="N10" s="135"/>
      <c r="O10" s="135"/>
      <c r="P10" s="135"/>
      <c r="Q10" s="135"/>
      <c r="R10" s="36"/>
      <c r="S10" s="135"/>
      <c r="T10" s="135"/>
      <c r="U10" s="135"/>
      <c r="W10" s="36"/>
      <c r="X10" s="36"/>
      <c r="Y10" s="36"/>
      <c r="Z10" s="36"/>
      <c r="AA10" s="36"/>
      <c r="AB10" s="36"/>
      <c r="AC10" s="36"/>
      <c r="AD10" s="36"/>
      <c r="AE10" s="36"/>
      <c r="AF10" s="36"/>
      <c r="AG10" s="36"/>
      <c r="AH10" s="36"/>
      <c r="AI10" s="36"/>
      <c r="AJ10" s="36"/>
      <c r="AK10" s="36"/>
      <c r="AL10" s="36"/>
      <c r="AM10" s="36"/>
      <c r="AN10" s="36"/>
      <c r="AO10" s="36"/>
      <c r="AP10" s="36"/>
    </row>
    <row r="11" spans="1:42" ht="15" customHeight="1" thickBot="1">
      <c r="A11" s="752" t="s">
        <v>583</v>
      </c>
      <c r="B11" s="753" t="str">
        <f>INPUTS!B15</f>
        <v>no</v>
      </c>
      <c r="C11" s="756"/>
      <c r="D11" s="134"/>
      <c r="F11" s="36"/>
      <c r="G11" s="36"/>
      <c r="H11" s="36"/>
      <c r="K11" s="36"/>
      <c r="L11" s="36"/>
      <c r="M11" s="135"/>
      <c r="N11" s="135"/>
      <c r="O11" s="135"/>
      <c r="P11" s="558" t="s">
        <v>27</v>
      </c>
      <c r="Q11" s="135">
        <v>240</v>
      </c>
      <c r="R11" s="36">
        <f>(B6*Q11)</f>
        <v>0</v>
      </c>
      <c r="S11" s="135"/>
      <c r="T11" s="135"/>
      <c r="U11" s="135"/>
      <c r="W11" s="36"/>
      <c r="X11" s="36"/>
      <c r="Y11" s="36"/>
      <c r="Z11" s="36"/>
      <c r="AA11" s="36"/>
      <c r="AB11" s="36"/>
      <c r="AC11" s="36"/>
      <c r="AD11" s="36"/>
      <c r="AE11" s="36"/>
      <c r="AF11" s="36"/>
      <c r="AG11" s="36"/>
      <c r="AH11" s="36"/>
      <c r="AI11" s="36"/>
      <c r="AJ11" s="36"/>
      <c r="AK11" s="36"/>
      <c r="AL11" s="36"/>
      <c r="AM11" s="36"/>
      <c r="AN11" s="36"/>
      <c r="AO11" s="36"/>
      <c r="AP11" s="36"/>
    </row>
    <row r="12" spans="1:42" ht="15" customHeight="1" thickBot="1">
      <c r="A12" s="176"/>
      <c r="B12" s="881"/>
      <c r="C12" s="881"/>
      <c r="D12" s="134"/>
      <c r="E12" s="36"/>
      <c r="F12" s="36"/>
      <c r="G12" s="36"/>
      <c r="H12" s="36"/>
      <c r="K12" s="36"/>
      <c r="L12" s="36"/>
      <c r="M12" s="135"/>
      <c r="N12" s="135"/>
      <c r="O12" s="135"/>
      <c r="P12" s="558" t="s">
        <v>23</v>
      </c>
      <c r="Q12" s="135">
        <v>110</v>
      </c>
      <c r="R12" s="36">
        <f>(B6*Q12)</f>
        <v>0</v>
      </c>
      <c r="S12" s="135"/>
      <c r="T12" s="135"/>
      <c r="U12" s="135"/>
      <c r="W12" s="36"/>
      <c r="X12" s="36"/>
      <c r="Y12" s="36"/>
      <c r="Z12" s="36"/>
      <c r="AA12" s="36"/>
      <c r="AB12" s="36"/>
      <c r="AC12" s="36"/>
      <c r="AD12" s="36"/>
      <c r="AE12" s="36"/>
      <c r="AF12" s="36"/>
      <c r="AG12" s="36"/>
      <c r="AH12" s="36"/>
      <c r="AI12" s="36"/>
      <c r="AJ12" s="36"/>
      <c r="AK12" s="36"/>
      <c r="AL12" s="36"/>
      <c r="AM12" s="36"/>
      <c r="AN12" s="36"/>
      <c r="AO12" s="36"/>
      <c r="AP12" s="36"/>
    </row>
    <row r="13" spans="1:42" ht="15" customHeight="1">
      <c r="A13" s="848" t="s">
        <v>45</v>
      </c>
      <c r="B13" s="849"/>
      <c r="C13" s="849"/>
      <c r="D13" s="850"/>
      <c r="E13" s="36"/>
      <c r="F13" s="36"/>
      <c r="G13" s="36"/>
      <c r="H13" s="36"/>
      <c r="K13" s="36"/>
      <c r="L13" s="36"/>
      <c r="M13" s="135"/>
      <c r="N13" s="135"/>
      <c r="O13" s="135"/>
      <c r="P13" s="558" t="s">
        <v>415</v>
      </c>
      <c r="Q13" s="135">
        <v>135</v>
      </c>
      <c r="R13" s="36">
        <f>(B6*Q13)</f>
        <v>0</v>
      </c>
      <c r="S13" s="135"/>
      <c r="T13" s="135"/>
      <c r="U13" s="135"/>
      <c r="W13" s="36"/>
      <c r="X13" s="36"/>
      <c r="Y13" s="36"/>
      <c r="Z13" s="36"/>
      <c r="AA13" s="36"/>
      <c r="AB13" s="36"/>
      <c r="AC13" s="36"/>
      <c r="AD13" s="36"/>
      <c r="AE13" s="36"/>
      <c r="AF13" s="36"/>
      <c r="AG13" s="36"/>
      <c r="AH13" s="36"/>
      <c r="AI13" s="36"/>
      <c r="AJ13" s="36"/>
      <c r="AK13" s="36"/>
      <c r="AL13" s="36"/>
      <c r="AM13" s="36"/>
      <c r="AN13" s="36"/>
      <c r="AO13" s="36"/>
      <c r="AP13" s="36"/>
    </row>
    <row r="14" spans="1:42" ht="13.5" thickBot="1">
      <c r="A14" s="851"/>
      <c r="B14" s="852"/>
      <c r="C14" s="852"/>
      <c r="D14" s="853"/>
      <c r="E14" s="36"/>
      <c r="F14" s="36"/>
      <c r="G14" s="36"/>
      <c r="H14" s="36"/>
      <c r="K14" s="36"/>
      <c r="L14" s="36"/>
      <c r="M14" s="135"/>
      <c r="N14" s="135"/>
      <c r="O14" s="135"/>
      <c r="P14" s="558" t="s">
        <v>418</v>
      </c>
      <c r="Q14" s="135">
        <v>15</v>
      </c>
      <c r="R14" s="36">
        <f>(B6*Q14)</f>
        <v>0</v>
      </c>
      <c r="S14" s="135"/>
      <c r="T14" s="135"/>
      <c r="U14" s="135"/>
      <c r="W14" s="36"/>
      <c r="X14" s="36"/>
      <c r="Y14" s="36"/>
      <c r="Z14" s="36"/>
      <c r="AA14" s="36"/>
      <c r="AB14" s="36"/>
      <c r="AC14" s="36"/>
      <c r="AD14" s="36"/>
      <c r="AE14" s="36"/>
      <c r="AF14" s="36"/>
      <c r="AG14" s="36"/>
      <c r="AH14" s="36"/>
      <c r="AI14" s="36"/>
      <c r="AJ14" s="36"/>
      <c r="AK14" s="36"/>
      <c r="AL14" s="36"/>
      <c r="AM14" s="36"/>
      <c r="AN14" s="36"/>
      <c r="AO14" s="36"/>
      <c r="AP14" s="36"/>
    </row>
    <row r="15" spans="1:42" ht="15" customHeight="1">
      <c r="A15" s="882" t="s">
        <v>14</v>
      </c>
      <c r="B15" s="284" t="str">
        <f>IF(INPUTS!D41=3,INPUTS!G41,IF(INPUTS!D41=1,"Bobwhite quail ","Mallard duck "))</f>
        <v xml:space="preserve">Bobwhite quail </v>
      </c>
      <c r="C15" s="285" t="s">
        <v>137</v>
      </c>
      <c r="D15" s="286">
        <f>INPUTS!C41</f>
        <v>0</v>
      </c>
      <c r="E15" s="1" t="str">
        <f>IF(INPUTS!$F$41=0,"",IF(INPUTS!$D$41&lt;3,"Toxicity adjustments not based on standard assumed test animal body weight",""))</f>
        <v/>
      </c>
      <c r="G15" s="36"/>
      <c r="H15" s="36"/>
      <c r="K15" s="36"/>
      <c r="L15" s="36"/>
      <c r="M15" s="135"/>
      <c r="N15" s="135"/>
      <c r="O15" s="135"/>
      <c r="P15" s="558" t="s">
        <v>414</v>
      </c>
      <c r="Q15" s="558">
        <v>94</v>
      </c>
      <c r="R15" s="36">
        <f>(B6*Q15)</f>
        <v>0</v>
      </c>
      <c r="S15" s="135"/>
      <c r="T15" s="135"/>
      <c r="U15" s="135"/>
      <c r="W15" s="36"/>
      <c r="X15" s="36"/>
      <c r="Y15" s="36"/>
      <c r="Z15" s="36"/>
      <c r="AA15" s="36"/>
      <c r="AB15" s="36"/>
      <c r="AC15" s="36"/>
      <c r="AD15" s="36"/>
      <c r="AE15" s="36"/>
      <c r="AF15" s="36"/>
      <c r="AG15" s="847" t="s">
        <v>569</v>
      </c>
      <c r="AH15" s="847"/>
      <c r="AI15" s="847"/>
      <c r="AJ15" s="847"/>
      <c r="AK15" s="847"/>
      <c r="AL15" s="847"/>
      <c r="AM15" s="36"/>
      <c r="AN15" s="36"/>
      <c r="AO15" s="36"/>
      <c r="AP15" s="36"/>
    </row>
    <row r="16" spans="1:42" ht="32.25" customHeight="1">
      <c r="A16" s="883"/>
      <c r="B16" s="287" t="str">
        <f>IF(INPUTS!D42=3,INPUTS!G42,IF(INPUTS!D42=1,"Bobwhite quail ","Mallard duck)"))</f>
        <v xml:space="preserve">Bobwhite quail </v>
      </c>
      <c r="C16" s="288" t="s">
        <v>136</v>
      </c>
      <c r="D16" s="289">
        <f>INPUTS!C42</f>
        <v>0</v>
      </c>
      <c r="G16" s="36"/>
      <c r="H16" s="36"/>
      <c r="K16" s="36"/>
      <c r="L16" s="36"/>
      <c r="M16" s="135"/>
      <c r="N16" s="135"/>
      <c r="O16" s="135"/>
      <c r="P16" s="135" t="s">
        <v>12</v>
      </c>
      <c r="Q16" s="135"/>
      <c r="R16" s="80" t="e">
        <f>(LN(2)/B7)</f>
        <v>#DIV/0!</v>
      </c>
      <c r="S16" s="135"/>
      <c r="T16" s="135"/>
      <c r="U16" s="135"/>
      <c r="W16" s="80"/>
      <c r="X16" s="80"/>
      <c r="Y16" s="36"/>
      <c r="Z16" s="36"/>
      <c r="AA16" s="36"/>
      <c r="AB16" s="36"/>
      <c r="AC16" s="36"/>
      <c r="AD16" s="36"/>
      <c r="AE16" s="36"/>
      <c r="AF16" s="36"/>
      <c r="AG16" s="388" t="s">
        <v>364</v>
      </c>
      <c r="AH16" s="388"/>
      <c r="AI16" s="388" t="s">
        <v>366</v>
      </c>
      <c r="AJ16" s="388"/>
      <c r="AK16" s="388" t="s">
        <v>367</v>
      </c>
      <c r="AL16" s="388" t="s">
        <v>369</v>
      </c>
      <c r="AM16" s="36"/>
      <c r="AN16" s="36"/>
      <c r="AO16" s="36"/>
      <c r="AP16" s="36"/>
    </row>
    <row r="17" spans="1:41" ht="15" customHeight="1">
      <c r="A17" s="883"/>
      <c r="B17" s="287" t="str">
        <f>IF(INPUTS!D43=3,INPUTS!G43,IF(INPUTS!D43=1,"Bobwhite quail ","Mallard duck "))</f>
        <v xml:space="preserve">Bobwhite quail </v>
      </c>
      <c r="C17" s="288" t="s">
        <v>242</v>
      </c>
      <c r="D17" s="290">
        <f>INPUTS!C43</f>
        <v>0</v>
      </c>
      <c r="G17" s="36"/>
      <c r="H17" s="36"/>
      <c r="K17" s="36"/>
      <c r="L17" s="36"/>
      <c r="M17" s="135"/>
      <c r="N17" s="135"/>
      <c r="O17" s="135"/>
      <c r="P17" s="135"/>
      <c r="Q17" s="135"/>
      <c r="R17" s="135"/>
      <c r="S17" s="135"/>
      <c r="T17" s="135"/>
      <c r="U17" s="36"/>
      <c r="V17" s="36"/>
      <c r="W17" s="36"/>
      <c r="X17" s="36"/>
      <c r="Y17" s="36"/>
      <c r="Z17" s="36"/>
      <c r="AA17" s="36"/>
      <c r="AB17" s="36"/>
      <c r="AC17" s="36"/>
      <c r="AD17" s="36"/>
      <c r="AE17" s="36"/>
      <c r="AF17" s="175" t="s">
        <v>14</v>
      </c>
      <c r="AG17" s="175"/>
      <c r="AH17" s="175" t="s">
        <v>14</v>
      </c>
      <c r="AI17" s="175"/>
      <c r="AJ17" s="175" t="s">
        <v>15</v>
      </c>
      <c r="AK17" s="175" t="s">
        <v>15</v>
      </c>
      <c r="AL17" s="175"/>
      <c r="AM17" s="36"/>
      <c r="AN17" s="36"/>
      <c r="AO17" s="36"/>
    </row>
    <row r="18" spans="1:41" ht="65.25" customHeight="1" thickBot="1">
      <c r="A18" s="884"/>
      <c r="B18" s="291" t="str">
        <f>IF(INPUTS!D44=3,INPUTS!G44,IF(INPUTS!D44=1,"Bobwhite quail ","Mallard duck "))</f>
        <v xml:space="preserve">Bobwhite quail </v>
      </c>
      <c r="C18" s="292" t="s">
        <v>135</v>
      </c>
      <c r="D18" s="293">
        <f>INPUTS!C44</f>
        <v>0</v>
      </c>
      <c r="E18" s="36"/>
      <c r="F18" s="36"/>
      <c r="G18" s="36"/>
      <c r="H18" s="36"/>
      <c r="K18" s="854" t="s">
        <v>411</v>
      </c>
      <c r="L18" s="855"/>
      <c r="M18" s="135"/>
      <c r="N18" s="135"/>
      <c r="O18" s="135"/>
      <c r="P18" s="135"/>
      <c r="Q18" s="135"/>
      <c r="R18" s="135"/>
      <c r="S18" s="135"/>
      <c r="T18" s="135"/>
      <c r="U18" s="175" t="s">
        <v>11</v>
      </c>
      <c r="V18" s="175"/>
      <c r="W18" s="175"/>
      <c r="X18" s="36"/>
      <c r="Y18" s="36"/>
      <c r="Z18" s="36"/>
      <c r="AA18" s="36"/>
      <c r="AB18" s="36"/>
      <c r="AC18" s="36"/>
      <c r="AD18" s="36"/>
      <c r="AE18" s="36" t="s">
        <v>17</v>
      </c>
      <c r="AF18" s="175" t="s">
        <v>18</v>
      </c>
      <c r="AG18" s="175"/>
      <c r="AH18" s="175" t="s">
        <v>19</v>
      </c>
      <c r="AI18" s="175"/>
      <c r="AJ18" s="175" t="s">
        <v>18</v>
      </c>
      <c r="AK18" s="175" t="s">
        <v>19</v>
      </c>
      <c r="AL18" s="175"/>
      <c r="AM18" s="36"/>
      <c r="AN18" s="36"/>
      <c r="AO18" s="36"/>
    </row>
    <row r="19" spans="1:41" ht="15" customHeight="1" thickTop="1" thickBot="1">
      <c r="A19" s="136"/>
      <c r="B19" s="137"/>
      <c r="C19" s="137"/>
      <c r="D19" s="117"/>
      <c r="E19" s="36"/>
      <c r="F19" s="36"/>
      <c r="G19" s="36"/>
      <c r="H19" s="36"/>
      <c r="J19" s="6" t="s">
        <v>410</v>
      </c>
      <c r="K19" s="532" t="s">
        <v>402</v>
      </c>
      <c r="L19" s="544" t="s">
        <v>403</v>
      </c>
      <c r="M19" s="528" t="s">
        <v>20</v>
      </c>
      <c r="N19" s="528" t="s">
        <v>21</v>
      </c>
      <c r="O19" s="528" t="s">
        <v>22</v>
      </c>
      <c r="P19" s="860" t="s">
        <v>13</v>
      </c>
      <c r="Q19" s="861"/>
      <c r="R19" s="861"/>
      <c r="S19" s="856" t="s">
        <v>23</v>
      </c>
      <c r="T19" s="857"/>
      <c r="U19" s="857"/>
      <c r="V19" s="858" t="s">
        <v>415</v>
      </c>
      <c r="W19" s="856"/>
      <c r="X19" s="859"/>
      <c r="Y19" s="858" t="s">
        <v>417</v>
      </c>
      <c r="Z19" s="857"/>
      <c r="AA19" s="857"/>
      <c r="AB19" s="858" t="s">
        <v>414</v>
      </c>
      <c r="AC19" s="857"/>
      <c r="AD19" s="857"/>
      <c r="AE19" s="36" t="s">
        <v>24</v>
      </c>
      <c r="AF19" s="175" t="s">
        <v>25</v>
      </c>
      <c r="AG19" s="175"/>
      <c r="AH19" s="175" t="s">
        <v>25</v>
      </c>
      <c r="AI19" s="175"/>
      <c r="AJ19" s="175" t="s">
        <v>25</v>
      </c>
      <c r="AK19" s="175" t="s">
        <v>25</v>
      </c>
      <c r="AL19" s="175"/>
      <c r="AM19" s="36"/>
      <c r="AN19" s="36"/>
      <c r="AO19" s="36"/>
    </row>
    <row r="20" spans="1:41" ht="25.5">
      <c r="A20" s="871" t="s">
        <v>44</v>
      </c>
      <c r="B20" s="874" t="s">
        <v>137</v>
      </c>
      <c r="C20" s="875"/>
      <c r="D20" s="294">
        <f>INPUTS!C50</f>
        <v>0</v>
      </c>
      <c r="E20" s="36"/>
      <c r="F20" s="36"/>
      <c r="G20" s="36"/>
      <c r="H20" s="36"/>
      <c r="K20" s="533"/>
      <c r="L20" s="534"/>
      <c r="M20" s="529" t="s">
        <v>11</v>
      </c>
      <c r="N20" s="529" t="s">
        <v>11</v>
      </c>
      <c r="O20" s="529" t="s">
        <v>26</v>
      </c>
      <c r="P20" s="549" t="s">
        <v>404</v>
      </c>
      <c r="Q20" s="550" t="s">
        <v>405</v>
      </c>
      <c r="R20" s="551" t="s">
        <v>412</v>
      </c>
      <c r="S20" s="549" t="s">
        <v>404</v>
      </c>
      <c r="T20" s="550" t="s">
        <v>405</v>
      </c>
      <c r="U20" s="551" t="s">
        <v>412</v>
      </c>
      <c r="V20" s="549" t="s">
        <v>404</v>
      </c>
      <c r="W20" s="550" t="s">
        <v>405</v>
      </c>
      <c r="X20" s="551" t="s">
        <v>412</v>
      </c>
      <c r="Y20" s="549" t="s">
        <v>404</v>
      </c>
      <c r="Z20" s="550" t="s">
        <v>405</v>
      </c>
      <c r="AA20" s="551" t="s">
        <v>412</v>
      </c>
      <c r="AB20" s="549" t="s">
        <v>404</v>
      </c>
      <c r="AC20" s="550" t="s">
        <v>405</v>
      </c>
      <c r="AD20" s="551" t="s">
        <v>412</v>
      </c>
      <c r="AE20" s="36" t="s">
        <v>11</v>
      </c>
      <c r="AF20" s="175" t="s">
        <v>27</v>
      </c>
      <c r="AG20" s="175" t="s">
        <v>365</v>
      </c>
      <c r="AH20" s="175" t="s">
        <v>27</v>
      </c>
      <c r="AI20" s="175"/>
      <c r="AJ20" s="175" t="s">
        <v>27</v>
      </c>
      <c r="AK20" s="175" t="s">
        <v>27</v>
      </c>
      <c r="AL20" s="175"/>
      <c r="AM20" s="36"/>
      <c r="AN20" s="36"/>
      <c r="AO20" s="36"/>
    </row>
    <row r="21" spans="1:41">
      <c r="A21" s="872"/>
      <c r="B21" s="867" t="s">
        <v>136</v>
      </c>
      <c r="C21" s="876"/>
      <c r="D21" s="295">
        <f>INPUTS!C51</f>
        <v>0</v>
      </c>
      <c r="E21" s="36"/>
      <c r="F21" s="36"/>
      <c r="G21" s="36"/>
      <c r="H21" s="36"/>
      <c r="J21" s="6">
        <f>COUNTIF(K$21,"=yes")</f>
        <v>1</v>
      </c>
      <c r="K21" s="533" t="str">
        <f>IF(LOOKUP(VALUE(M21),INPUTS!$G$6:$G$35)=M21,"yes","no")</f>
        <v>yes</v>
      </c>
      <c r="L21" s="533">
        <f>IF(K21="yes",(LOOKUP(J21,INPUTS!$E$6:$E$35,INPUTS!$F$6:$F$35)),0)</f>
        <v>0</v>
      </c>
      <c r="M21" s="106">
        <v>0</v>
      </c>
      <c r="N21" s="106">
        <v>1</v>
      </c>
      <c r="O21" s="135">
        <v>0</v>
      </c>
      <c r="P21" s="536">
        <f>(R11)</f>
        <v>0</v>
      </c>
      <c r="Q21" s="537">
        <f>240*L21</f>
        <v>0</v>
      </c>
      <c r="R21" s="538">
        <f>IF(INPUTS!$B$15="yes",Q21,P21)</f>
        <v>0</v>
      </c>
      <c r="S21" s="536">
        <f>(R12)</f>
        <v>0</v>
      </c>
      <c r="T21" s="537">
        <f>110*L21</f>
        <v>0</v>
      </c>
      <c r="U21" s="538">
        <f>IF(INPUTS!$B$15="yes",T21,S21)</f>
        <v>0</v>
      </c>
      <c r="V21" s="536">
        <f>(R13)</f>
        <v>0</v>
      </c>
      <c r="W21" s="537">
        <f>135*L21</f>
        <v>0</v>
      </c>
      <c r="X21" s="538">
        <f>IF(INPUTS!$B$15="yes",W21,V21)</f>
        <v>0</v>
      </c>
      <c r="Y21" s="536">
        <f>(R14)</f>
        <v>0</v>
      </c>
      <c r="Z21" s="537">
        <f>15*$L21</f>
        <v>0</v>
      </c>
      <c r="AA21" s="538">
        <f>IF(INPUTS!$B$15="yes",Z21,Y21)</f>
        <v>0</v>
      </c>
      <c r="AB21" s="536">
        <f>(R15)</f>
        <v>0</v>
      </c>
      <c r="AC21" s="537">
        <f>94*$L21</f>
        <v>0</v>
      </c>
      <c r="AD21" s="538">
        <f>IF(INPUTS!$B$15="yes",AC21,AB21)</f>
        <v>0</v>
      </c>
      <c r="AE21" s="36" t="str">
        <f t="shared" ref="AE21:AE89" si="0">$B$11</f>
        <v>no</v>
      </c>
      <c r="AF21" s="403">
        <f>COUNTIF(P21:P76,"&gt;"&amp;INPUTS!C44)</f>
        <v>0</v>
      </c>
      <c r="AG21" s="389">
        <f>P21*('upper bound Kenaga'!$F$36/100)</f>
        <v>0</v>
      </c>
      <c r="AH21" s="135">
        <f>COUNTIF(AG21:AG76,"&gt;="&amp;(C46*0.1))</f>
        <v>1</v>
      </c>
      <c r="AI21" s="389">
        <f>P21*('upper bound Kenaga'!$F$96/100)</f>
        <v>0</v>
      </c>
      <c r="AJ21" s="135">
        <f>COUNTIF(AI21:AI76,"&gt;="&amp;(E105))</f>
        <v>1</v>
      </c>
      <c r="AK21" s="135">
        <f>COUNTIF(AI21:AI76,"&gt;="&amp;(D105*0.1))</f>
        <v>1</v>
      </c>
      <c r="AL21" s="36"/>
      <c r="AM21" s="36"/>
      <c r="AN21" s="36"/>
      <c r="AO21" s="36"/>
    </row>
    <row r="22" spans="1:41">
      <c r="A22" s="872"/>
      <c r="B22" s="867" t="s">
        <v>138</v>
      </c>
      <c r="C22" s="868"/>
      <c r="D22" s="289">
        <f>IF(INPUTS!D52=2,INPUTS!C55,INPUTS!C52)</f>
        <v>0</v>
      </c>
      <c r="E22" s="36"/>
      <c r="F22" s="36"/>
      <c r="G22" s="36"/>
      <c r="H22" s="36"/>
      <c r="J22" s="6">
        <f>COUNTIF(K$21:K22,"=yes")</f>
        <v>1</v>
      </c>
      <c r="K22" s="533" t="str">
        <f>IF(LOOKUP(VALUE(M22),INPUTS!$G$6:$G$35)=M22,"yes","no")</f>
        <v>no</v>
      </c>
      <c r="L22" s="533">
        <f>IF(K22="yes",(LOOKUP(J22,INPUTS!$E$6:$E$35,INPUTS!$F$6:$F$35)),0)</f>
        <v>0</v>
      </c>
      <c r="M22" s="135">
        <f t="shared" ref="M22:M90" si="1">(M21+1)</f>
        <v>1</v>
      </c>
      <c r="N22" s="135">
        <f t="shared" ref="N22:N90" si="2">IF($B$9&gt;N21,IF(O21=($B$8-1),(N21+1),(N21)),(N21))</f>
        <v>1</v>
      </c>
      <c r="O22" s="135">
        <f t="shared" ref="O22:O90" si="3">IF(O21&lt;($B$8-1),(1+O21),0)</f>
        <v>0</v>
      </c>
      <c r="P22" s="536" t="e">
        <f>IF(($N22&gt;$N21),(EXP(-$R$16)*(P21)+$R$11),((EXP(-$R$16)*(P21))))</f>
        <v>#DIV/0!</v>
      </c>
      <c r="Q22" s="537" t="e">
        <f t="shared" ref="Q22:Q85" si="4">IF($K22="yes",(EXP(-$R$16)*(Q21)+(240*$L22)),((EXP(-$R$16)*(Q21))))</f>
        <v>#DIV/0!</v>
      </c>
      <c r="R22" s="538" t="e">
        <f>IF(INPUTS!$B$15="yes",Q22,P22)</f>
        <v>#DIV/0!</v>
      </c>
      <c r="S22" s="536" t="e">
        <f t="shared" ref="S22:S85" si="5">IF(($N22&gt;$N21),(EXP(-$R$16)*(S21)+$R$12),((EXP(-$R$16)*(S21))))</f>
        <v>#DIV/0!</v>
      </c>
      <c r="T22" s="537" t="e">
        <f t="shared" ref="T22:T85" si="6">IF($K22="yes",(EXP(-$R$16)*(T21)+(110*$L22)),((EXP(-$R$16)*(T21))))</f>
        <v>#DIV/0!</v>
      </c>
      <c r="U22" s="538" t="e">
        <f>IF(INPUTS!$B$15="yes",T22,S22)</f>
        <v>#DIV/0!</v>
      </c>
      <c r="V22" s="536" t="e">
        <f t="shared" ref="V22:V85" si="7">IF(($N22&gt;$N21),(EXP(-$R$16)*(V21)+$R$13),((EXP(-$R$16)*(V21))))</f>
        <v>#DIV/0!</v>
      </c>
      <c r="W22" s="537" t="e">
        <f t="shared" ref="W22:W85" si="8">IF($K22="yes",(EXP(-$R$16)*(W21)+(135*$L22)),((EXP(-$R$16)*(W21))))</f>
        <v>#DIV/0!</v>
      </c>
      <c r="X22" s="538" t="e">
        <f>IF(INPUTS!$B$15="yes",W22,V22)</f>
        <v>#DIV/0!</v>
      </c>
      <c r="Y22" s="536" t="e">
        <f t="shared" ref="Y22:Y85" si="9">IF(($N22&gt;$N21),(EXP(-$R$16)*(Y21)+$R$14),((EXP(-$R$16)*(Y21))))</f>
        <v>#DIV/0!</v>
      </c>
      <c r="Z22" s="537" t="e">
        <f t="shared" ref="Z22:Z85" si="10">IF($K22="yes",(EXP(-$R$16)*(Z21)+(15*$L22)),((EXP(-$R$16)*(Z21))))</f>
        <v>#DIV/0!</v>
      </c>
      <c r="AA22" s="538" t="e">
        <f>IF(INPUTS!$B$15="yes",Z22,Y22)</f>
        <v>#DIV/0!</v>
      </c>
      <c r="AB22" s="536" t="e">
        <f t="shared" ref="AB22:AB85" si="11">IF(($N22&gt;$N21),(EXP(-$R$16)*(AB21)+$R$15),((EXP(-$R$16)*(AB21))))</f>
        <v>#DIV/0!</v>
      </c>
      <c r="AC22" s="537" t="e">
        <f t="shared" ref="AC22:AC85" si="12">IF($K22="yes",(EXP(-$R$16)*(AC21)+(94*$L22)),((EXP(-$R$16)*(AC21))))</f>
        <v>#DIV/0!</v>
      </c>
      <c r="AD22" s="538" t="e">
        <f>IF(INPUTS!$B$15="yes",AC22,AB22)</f>
        <v>#DIV/0!</v>
      </c>
      <c r="AE22" s="36" t="str">
        <f t="shared" si="0"/>
        <v>no</v>
      </c>
      <c r="AG22" s="389" t="e">
        <f>P22*('upper bound Kenaga'!$F$36/100)</f>
        <v>#DIV/0!</v>
      </c>
      <c r="AI22" s="389" t="e">
        <f>P22*('upper bound Kenaga'!$F$96/100)</f>
        <v>#DIV/0!</v>
      </c>
      <c r="AJ22" s="135"/>
      <c r="AK22" s="135"/>
      <c r="AL22" s="36"/>
      <c r="AM22" s="36"/>
      <c r="AN22" s="36"/>
      <c r="AO22" s="36"/>
    </row>
    <row r="23" spans="1:41" ht="13.5" thickBot="1">
      <c r="A23" s="873"/>
      <c r="B23" s="869" t="s">
        <v>135</v>
      </c>
      <c r="C23" s="870"/>
      <c r="D23" s="296">
        <f>IF(INPUTS!D52=1,INPUTS!C55,INPUTS!C52)</f>
        <v>0</v>
      </c>
      <c r="E23" s="36"/>
      <c r="F23" s="36"/>
      <c r="G23" s="36"/>
      <c r="H23" s="36"/>
      <c r="I23" s="10"/>
      <c r="J23" s="6">
        <f>COUNTIF(K$21:K23,"=yes")</f>
        <v>1</v>
      </c>
      <c r="K23" s="533" t="str">
        <f>IF(LOOKUP(VALUE(M23),INPUTS!$G$6:$G$35)=M23,"yes","no")</f>
        <v>no</v>
      </c>
      <c r="L23" s="533">
        <f>IF(K23="yes",(LOOKUP(J23,INPUTS!$E$6:$E$35,INPUTS!$F$6:$F$35)),0)</f>
        <v>0</v>
      </c>
      <c r="M23" s="135">
        <f t="shared" si="1"/>
        <v>2</v>
      </c>
      <c r="N23" s="135">
        <f t="shared" si="2"/>
        <v>1</v>
      </c>
      <c r="O23" s="135">
        <f t="shared" si="3"/>
        <v>0</v>
      </c>
      <c r="P23" s="536" t="e">
        <f t="shared" ref="P23:P29" si="13">IF((N23&gt;N22),(EXP(-$R$16)*(P22)+$R$11),((EXP(-$R$16)*(P22))))</f>
        <v>#DIV/0!</v>
      </c>
      <c r="Q23" s="537" t="e">
        <f t="shared" si="4"/>
        <v>#DIV/0!</v>
      </c>
      <c r="R23" s="538" t="e">
        <f>IF(INPUTS!$B$15="yes",Q23,P23)</f>
        <v>#DIV/0!</v>
      </c>
      <c r="S23" s="536" t="e">
        <f t="shared" si="5"/>
        <v>#DIV/0!</v>
      </c>
      <c r="T23" s="537" t="e">
        <f t="shared" si="6"/>
        <v>#DIV/0!</v>
      </c>
      <c r="U23" s="538" t="e">
        <f>IF(INPUTS!$B$15="yes",T23,S23)</f>
        <v>#DIV/0!</v>
      </c>
      <c r="V23" s="536" t="e">
        <f t="shared" si="7"/>
        <v>#DIV/0!</v>
      </c>
      <c r="W23" s="537" t="e">
        <f t="shared" si="8"/>
        <v>#DIV/0!</v>
      </c>
      <c r="X23" s="538" t="e">
        <f>IF(INPUTS!$B$15="yes",W23,V23)</f>
        <v>#DIV/0!</v>
      </c>
      <c r="Y23" s="536" t="e">
        <f t="shared" si="9"/>
        <v>#DIV/0!</v>
      </c>
      <c r="Z23" s="537" t="e">
        <f t="shared" si="10"/>
        <v>#DIV/0!</v>
      </c>
      <c r="AA23" s="538" t="e">
        <f>IF(INPUTS!$B$15="yes",Z23,Y23)</f>
        <v>#DIV/0!</v>
      </c>
      <c r="AB23" s="536" t="e">
        <f t="shared" si="11"/>
        <v>#DIV/0!</v>
      </c>
      <c r="AC23" s="537" t="e">
        <f t="shared" si="12"/>
        <v>#DIV/0!</v>
      </c>
      <c r="AD23" s="538" t="e">
        <f>IF(INPUTS!$B$15="yes",AC23,AB23)</f>
        <v>#DIV/0!</v>
      </c>
      <c r="AE23" s="36" t="str">
        <f t="shared" si="0"/>
        <v>no</v>
      </c>
      <c r="AF23" s="36"/>
      <c r="AG23" s="389" t="e">
        <f>P23*('upper bound Kenaga'!$F$36/100)</f>
        <v>#DIV/0!</v>
      </c>
      <c r="AH23" s="36"/>
      <c r="AI23" s="389" t="e">
        <f>P23*('upper bound Kenaga'!$F$96/100)</f>
        <v>#DIV/0!</v>
      </c>
      <c r="AJ23" s="36"/>
      <c r="AK23" s="36"/>
      <c r="AL23" s="36"/>
      <c r="AM23" s="36"/>
      <c r="AN23" s="36"/>
      <c r="AO23" s="36"/>
    </row>
    <row r="24" spans="1:41" ht="13.5" thickBot="1">
      <c r="A24" s="136"/>
      <c r="B24" s="36"/>
      <c r="C24" s="137"/>
      <c r="D24" s="117"/>
      <c r="E24" s="36"/>
      <c r="F24" s="36"/>
      <c r="G24" s="36"/>
      <c r="H24" s="36"/>
      <c r="I24" s="10"/>
      <c r="J24" s="6">
        <f>COUNTIF(K$21:K24,"=yes")</f>
        <v>1</v>
      </c>
      <c r="K24" s="533" t="str">
        <f>IF(LOOKUP(VALUE(M24),INPUTS!$G$6:$G$35)=M24,"yes","no")</f>
        <v>no</v>
      </c>
      <c r="L24" s="533">
        <f>IF(K24="yes",(LOOKUP(J24,INPUTS!$E$6:$E$35,INPUTS!$F$6:$F$35)),0)</f>
        <v>0</v>
      </c>
      <c r="M24" s="135">
        <f t="shared" si="1"/>
        <v>3</v>
      </c>
      <c r="N24" s="135">
        <f t="shared" si="2"/>
        <v>1</v>
      </c>
      <c r="O24" s="135">
        <f t="shared" si="3"/>
        <v>0</v>
      </c>
      <c r="P24" s="536" t="e">
        <f t="shared" si="13"/>
        <v>#DIV/0!</v>
      </c>
      <c r="Q24" s="537" t="e">
        <f t="shared" si="4"/>
        <v>#DIV/0!</v>
      </c>
      <c r="R24" s="538" t="e">
        <f>IF(INPUTS!$B$15="yes",Q24,P24)</f>
        <v>#DIV/0!</v>
      </c>
      <c r="S24" s="536" t="e">
        <f t="shared" si="5"/>
        <v>#DIV/0!</v>
      </c>
      <c r="T24" s="537" t="e">
        <f t="shared" si="6"/>
        <v>#DIV/0!</v>
      </c>
      <c r="U24" s="538" t="e">
        <f>IF(INPUTS!$B$15="yes",T24,S24)</f>
        <v>#DIV/0!</v>
      </c>
      <c r="V24" s="536" t="e">
        <f t="shared" si="7"/>
        <v>#DIV/0!</v>
      </c>
      <c r="W24" s="537" t="e">
        <f t="shared" si="8"/>
        <v>#DIV/0!</v>
      </c>
      <c r="X24" s="538" t="e">
        <f>IF(INPUTS!$B$15="yes",W24,V24)</f>
        <v>#DIV/0!</v>
      </c>
      <c r="Y24" s="536" t="e">
        <f t="shared" si="9"/>
        <v>#DIV/0!</v>
      </c>
      <c r="Z24" s="537" t="e">
        <f t="shared" si="10"/>
        <v>#DIV/0!</v>
      </c>
      <c r="AA24" s="538" t="e">
        <f>IF(INPUTS!$B$15="yes",Z24,Y24)</f>
        <v>#DIV/0!</v>
      </c>
      <c r="AB24" s="536" t="e">
        <f t="shared" si="11"/>
        <v>#DIV/0!</v>
      </c>
      <c r="AC24" s="537" t="e">
        <f t="shared" si="12"/>
        <v>#DIV/0!</v>
      </c>
      <c r="AD24" s="538" t="e">
        <f>IF(INPUTS!$B$15="yes",AC24,AB24)</f>
        <v>#DIV/0!</v>
      </c>
      <c r="AE24" s="36" t="str">
        <f t="shared" si="0"/>
        <v>no</v>
      </c>
      <c r="AF24" s="36"/>
      <c r="AG24" s="389" t="e">
        <f>P24*('upper bound Kenaga'!$F$36/100)</f>
        <v>#DIV/0!</v>
      </c>
      <c r="AH24" s="36"/>
      <c r="AI24" s="389" t="e">
        <f>P24*('upper bound Kenaga'!$F$96/100)</f>
        <v>#DIV/0!</v>
      </c>
      <c r="AJ24" s="36"/>
      <c r="AK24" s="36"/>
      <c r="AL24" s="36"/>
      <c r="AM24" s="36"/>
      <c r="AN24" s="36"/>
      <c r="AO24" s="36"/>
    </row>
    <row r="25" spans="1:41" ht="12.75" customHeight="1">
      <c r="A25" s="865" t="s">
        <v>274</v>
      </c>
      <c r="B25" s="312" t="s">
        <v>42</v>
      </c>
      <c r="E25" s="36"/>
      <c r="F25" s="36"/>
      <c r="G25" s="36"/>
      <c r="H25" s="36"/>
      <c r="I25" s="10"/>
      <c r="J25" s="6">
        <f>COUNTIF(K$21:K25,"=yes")</f>
        <v>1</v>
      </c>
      <c r="K25" s="533" t="str">
        <f>IF(LOOKUP(VALUE(M25),INPUTS!$G$6:$G$35)=M25,"yes","no")</f>
        <v>no</v>
      </c>
      <c r="L25" s="533">
        <f>IF(K25="yes",(LOOKUP(J25,INPUTS!$E$6:$E$35,INPUTS!$F$6:$F$35)),0)</f>
        <v>0</v>
      </c>
      <c r="M25" s="135">
        <f t="shared" si="1"/>
        <v>4</v>
      </c>
      <c r="N25" s="135">
        <f t="shared" si="2"/>
        <v>1</v>
      </c>
      <c r="O25" s="135">
        <f t="shared" si="3"/>
        <v>0</v>
      </c>
      <c r="P25" s="536" t="e">
        <f t="shared" si="13"/>
        <v>#DIV/0!</v>
      </c>
      <c r="Q25" s="537" t="e">
        <f t="shared" si="4"/>
        <v>#DIV/0!</v>
      </c>
      <c r="R25" s="538" t="e">
        <f>IF(INPUTS!$B$15="yes",Q25,P25)</f>
        <v>#DIV/0!</v>
      </c>
      <c r="S25" s="536" t="e">
        <f t="shared" si="5"/>
        <v>#DIV/0!</v>
      </c>
      <c r="T25" s="537" t="e">
        <f t="shared" si="6"/>
        <v>#DIV/0!</v>
      </c>
      <c r="U25" s="538" t="e">
        <f>IF(INPUTS!$B$15="yes",T25,S25)</f>
        <v>#DIV/0!</v>
      </c>
      <c r="V25" s="536" t="e">
        <f t="shared" si="7"/>
        <v>#DIV/0!</v>
      </c>
      <c r="W25" s="537" t="e">
        <f t="shared" si="8"/>
        <v>#DIV/0!</v>
      </c>
      <c r="X25" s="538" t="e">
        <f>IF(INPUTS!$B$15="yes",W25,V25)</f>
        <v>#DIV/0!</v>
      </c>
      <c r="Y25" s="536" t="e">
        <f t="shared" si="9"/>
        <v>#DIV/0!</v>
      </c>
      <c r="Z25" s="537" t="e">
        <f t="shared" si="10"/>
        <v>#DIV/0!</v>
      </c>
      <c r="AA25" s="538" t="e">
        <f>IF(INPUTS!$B$15="yes",Z25,Y25)</f>
        <v>#DIV/0!</v>
      </c>
      <c r="AB25" s="536" t="e">
        <f t="shared" si="11"/>
        <v>#DIV/0!</v>
      </c>
      <c r="AC25" s="537" t="e">
        <f t="shared" si="12"/>
        <v>#DIV/0!</v>
      </c>
      <c r="AD25" s="538" t="e">
        <f>IF(INPUTS!$B$15="yes",AC25,AB25)</f>
        <v>#DIV/0!</v>
      </c>
      <c r="AE25" s="36" t="str">
        <f t="shared" si="0"/>
        <v>no</v>
      </c>
      <c r="AF25" s="36"/>
      <c r="AG25" s="389" t="e">
        <f>P25*('upper bound Kenaga'!$F$36/100)</f>
        <v>#DIV/0!</v>
      </c>
      <c r="AH25" s="36"/>
      <c r="AI25" s="389" t="e">
        <f>P25*('upper bound Kenaga'!$F$96/100)</f>
        <v>#DIV/0!</v>
      </c>
      <c r="AJ25" s="36"/>
      <c r="AK25" s="36"/>
      <c r="AL25" s="36"/>
      <c r="AM25" s="36"/>
      <c r="AN25" s="36"/>
      <c r="AO25" s="36"/>
    </row>
    <row r="26" spans="1:41" ht="12.75" customHeight="1">
      <c r="A26" s="866"/>
      <c r="B26" s="313" t="s">
        <v>43</v>
      </c>
      <c r="E26" s="36"/>
      <c r="F26" s="36"/>
      <c r="G26" s="36"/>
      <c r="H26" s="36"/>
      <c r="I26" s="10"/>
      <c r="J26" s="6">
        <f>COUNTIF(K$21:K26,"=yes")</f>
        <v>1</v>
      </c>
      <c r="K26" s="533" t="str">
        <f>IF(LOOKUP(VALUE(M26),INPUTS!$G$6:$G$35)=M26,"yes","no")</f>
        <v>no</v>
      </c>
      <c r="L26" s="533">
        <f>IF(K26="yes",(LOOKUP(J26,INPUTS!$E$6:$E$35,INPUTS!$F$6:$F$35)),0)</f>
        <v>0</v>
      </c>
      <c r="M26" s="135">
        <f t="shared" si="1"/>
        <v>5</v>
      </c>
      <c r="N26" s="135">
        <f t="shared" si="2"/>
        <v>1</v>
      </c>
      <c r="O26" s="135">
        <f t="shared" si="3"/>
        <v>0</v>
      </c>
      <c r="P26" s="536" t="e">
        <f t="shared" si="13"/>
        <v>#DIV/0!</v>
      </c>
      <c r="Q26" s="537" t="e">
        <f t="shared" si="4"/>
        <v>#DIV/0!</v>
      </c>
      <c r="R26" s="538" t="e">
        <f>IF(INPUTS!$B$15="yes",Q26,P26)</f>
        <v>#DIV/0!</v>
      </c>
      <c r="S26" s="536" t="e">
        <f t="shared" si="5"/>
        <v>#DIV/0!</v>
      </c>
      <c r="T26" s="537" t="e">
        <f t="shared" si="6"/>
        <v>#DIV/0!</v>
      </c>
      <c r="U26" s="538" t="e">
        <f>IF(INPUTS!$B$15="yes",T26,S26)</f>
        <v>#DIV/0!</v>
      </c>
      <c r="V26" s="536" t="e">
        <f t="shared" si="7"/>
        <v>#DIV/0!</v>
      </c>
      <c r="W26" s="537" t="e">
        <f t="shared" si="8"/>
        <v>#DIV/0!</v>
      </c>
      <c r="X26" s="538" t="e">
        <f>IF(INPUTS!$B$15="yes",W26,V26)</f>
        <v>#DIV/0!</v>
      </c>
      <c r="Y26" s="536" t="e">
        <f t="shared" si="9"/>
        <v>#DIV/0!</v>
      </c>
      <c r="Z26" s="537" t="e">
        <f t="shared" si="10"/>
        <v>#DIV/0!</v>
      </c>
      <c r="AA26" s="538" t="e">
        <f>IF(INPUTS!$B$15="yes",Z26,Y26)</f>
        <v>#DIV/0!</v>
      </c>
      <c r="AB26" s="536" t="e">
        <f t="shared" si="11"/>
        <v>#DIV/0!</v>
      </c>
      <c r="AC26" s="537" t="e">
        <f t="shared" si="12"/>
        <v>#DIV/0!</v>
      </c>
      <c r="AD26" s="538" t="e">
        <f>IF(INPUTS!$B$15="yes",AC26,AB26)</f>
        <v>#DIV/0!</v>
      </c>
      <c r="AE26" s="36" t="str">
        <f t="shared" si="0"/>
        <v>no</v>
      </c>
      <c r="AF26" s="36"/>
      <c r="AG26" s="389" t="e">
        <f>P26*('upper bound Kenaga'!$F$36/100)</f>
        <v>#DIV/0!</v>
      </c>
      <c r="AH26" s="36"/>
      <c r="AI26" s="389" t="e">
        <f>P26*('upper bound Kenaga'!$F$96/100)</f>
        <v>#DIV/0!</v>
      </c>
      <c r="AJ26" s="36"/>
      <c r="AK26" s="36"/>
      <c r="AL26" s="36"/>
      <c r="AM26" s="36"/>
      <c r="AN26" s="36"/>
      <c r="AO26" s="36"/>
    </row>
    <row r="27" spans="1:41">
      <c r="A27" s="297" t="s">
        <v>13</v>
      </c>
      <c r="B27" s="298" t="e">
        <f>MAX(R21:R391)</f>
        <v>#DIV/0!</v>
      </c>
      <c r="E27" s="36"/>
      <c r="F27" s="36"/>
      <c r="G27" s="36"/>
      <c r="H27" s="36"/>
      <c r="I27" s="10"/>
      <c r="J27" s="6">
        <f>COUNTIF(K$21:K27,"=yes")</f>
        <v>1</v>
      </c>
      <c r="K27" s="533" t="str">
        <f>IF(LOOKUP(VALUE(M27),INPUTS!$G$6:$G$35)=M27,"yes","no")</f>
        <v>no</v>
      </c>
      <c r="L27" s="533">
        <f>IF(K27="yes",(LOOKUP(J27,INPUTS!$E$6:$E$35,INPUTS!$F$6:$F$35)),0)</f>
        <v>0</v>
      </c>
      <c r="M27" s="135">
        <f t="shared" si="1"/>
        <v>6</v>
      </c>
      <c r="N27" s="135">
        <f t="shared" si="2"/>
        <v>1</v>
      </c>
      <c r="O27" s="135">
        <f t="shared" si="3"/>
        <v>0</v>
      </c>
      <c r="P27" s="536" t="e">
        <f t="shared" si="13"/>
        <v>#DIV/0!</v>
      </c>
      <c r="Q27" s="537" t="e">
        <f t="shared" si="4"/>
        <v>#DIV/0!</v>
      </c>
      <c r="R27" s="538" t="e">
        <f>IF(INPUTS!$B$15="yes",Q27,P27)</f>
        <v>#DIV/0!</v>
      </c>
      <c r="S27" s="536" t="e">
        <f t="shared" si="5"/>
        <v>#DIV/0!</v>
      </c>
      <c r="T27" s="537" t="e">
        <f t="shared" si="6"/>
        <v>#DIV/0!</v>
      </c>
      <c r="U27" s="538" t="e">
        <f>IF(INPUTS!$B$15="yes",T27,S27)</f>
        <v>#DIV/0!</v>
      </c>
      <c r="V27" s="536" t="e">
        <f t="shared" si="7"/>
        <v>#DIV/0!</v>
      </c>
      <c r="W27" s="537" t="e">
        <f t="shared" si="8"/>
        <v>#DIV/0!</v>
      </c>
      <c r="X27" s="538" t="e">
        <f>IF(INPUTS!$B$15="yes",W27,V27)</f>
        <v>#DIV/0!</v>
      </c>
      <c r="Y27" s="536" t="e">
        <f t="shared" si="9"/>
        <v>#DIV/0!</v>
      </c>
      <c r="Z27" s="537" t="e">
        <f t="shared" si="10"/>
        <v>#DIV/0!</v>
      </c>
      <c r="AA27" s="538" t="e">
        <f>IF(INPUTS!$B$15="yes",Z27,Y27)</f>
        <v>#DIV/0!</v>
      </c>
      <c r="AB27" s="536" t="e">
        <f t="shared" si="11"/>
        <v>#DIV/0!</v>
      </c>
      <c r="AC27" s="537" t="e">
        <f t="shared" si="12"/>
        <v>#DIV/0!</v>
      </c>
      <c r="AD27" s="538" t="e">
        <f>IF(INPUTS!$B$15="yes",AC27,AB27)</f>
        <v>#DIV/0!</v>
      </c>
      <c r="AE27" s="36" t="str">
        <f t="shared" si="0"/>
        <v>no</v>
      </c>
      <c r="AF27" s="36"/>
      <c r="AG27" s="389" t="e">
        <f>P27*('upper bound Kenaga'!$F$36/100)</f>
        <v>#DIV/0!</v>
      </c>
      <c r="AH27" s="36"/>
      <c r="AI27" s="389" t="e">
        <f>P27*('upper bound Kenaga'!$F$96/100)</f>
        <v>#DIV/0!</v>
      </c>
      <c r="AJ27" s="36"/>
      <c r="AK27" s="36"/>
      <c r="AL27" s="36"/>
      <c r="AM27" s="36"/>
      <c r="AN27" s="36"/>
      <c r="AO27" s="36"/>
    </row>
    <row r="28" spans="1:41">
      <c r="A28" s="297" t="s">
        <v>16</v>
      </c>
      <c r="B28" s="298" t="e">
        <f>MAX(U21:U391)</f>
        <v>#DIV/0!</v>
      </c>
      <c r="E28" s="36"/>
      <c r="F28" s="36"/>
      <c r="G28" s="36"/>
      <c r="H28" s="36"/>
      <c r="I28" s="10"/>
      <c r="J28" s="6">
        <f>COUNTIF(K$21:K28,"=yes")</f>
        <v>1</v>
      </c>
      <c r="K28" s="533" t="str">
        <f>IF(LOOKUP(VALUE(M28),INPUTS!$G$6:$G$35)=M28,"yes","no")</f>
        <v>no</v>
      </c>
      <c r="L28" s="533">
        <f>IF(K28="yes",(LOOKUP(J28,INPUTS!$E$6:$E$35,INPUTS!$F$6:$F$35)),0)</f>
        <v>0</v>
      </c>
      <c r="M28" s="135">
        <f t="shared" si="1"/>
        <v>7</v>
      </c>
      <c r="N28" s="135">
        <f t="shared" si="2"/>
        <v>1</v>
      </c>
      <c r="O28" s="135">
        <f t="shared" si="3"/>
        <v>0</v>
      </c>
      <c r="P28" s="536" t="e">
        <f t="shared" si="13"/>
        <v>#DIV/0!</v>
      </c>
      <c r="Q28" s="537" t="e">
        <f t="shared" si="4"/>
        <v>#DIV/0!</v>
      </c>
      <c r="R28" s="538" t="e">
        <f>IF(INPUTS!$B$15="yes",Q28,P28)</f>
        <v>#DIV/0!</v>
      </c>
      <c r="S28" s="536" t="e">
        <f t="shared" si="5"/>
        <v>#DIV/0!</v>
      </c>
      <c r="T28" s="537" t="e">
        <f t="shared" si="6"/>
        <v>#DIV/0!</v>
      </c>
      <c r="U28" s="538" t="e">
        <f>IF(INPUTS!$B$15="yes",T28,S28)</f>
        <v>#DIV/0!</v>
      </c>
      <c r="V28" s="536" t="e">
        <f t="shared" si="7"/>
        <v>#DIV/0!</v>
      </c>
      <c r="W28" s="537" t="e">
        <f t="shared" si="8"/>
        <v>#DIV/0!</v>
      </c>
      <c r="X28" s="538" t="e">
        <f>IF(INPUTS!$B$15="yes",W28,V28)</f>
        <v>#DIV/0!</v>
      </c>
      <c r="Y28" s="536" t="e">
        <f t="shared" si="9"/>
        <v>#DIV/0!</v>
      </c>
      <c r="Z28" s="537" t="e">
        <f t="shared" si="10"/>
        <v>#DIV/0!</v>
      </c>
      <c r="AA28" s="538" t="e">
        <f>IF(INPUTS!$B$15="yes",Z28,Y28)</f>
        <v>#DIV/0!</v>
      </c>
      <c r="AB28" s="536" t="e">
        <f t="shared" si="11"/>
        <v>#DIV/0!</v>
      </c>
      <c r="AC28" s="537" t="e">
        <f t="shared" si="12"/>
        <v>#DIV/0!</v>
      </c>
      <c r="AD28" s="538" t="e">
        <f>IF(INPUTS!$B$15="yes",AC28,AB28)</f>
        <v>#DIV/0!</v>
      </c>
      <c r="AE28" s="36" t="str">
        <f t="shared" si="0"/>
        <v>no</v>
      </c>
      <c r="AF28" s="36"/>
      <c r="AG28" s="389" t="e">
        <f>P28*('upper bound Kenaga'!$F$36/100)</f>
        <v>#DIV/0!</v>
      </c>
      <c r="AH28" s="36"/>
      <c r="AI28" s="389" t="e">
        <f>P28*('upper bound Kenaga'!$F$96/100)</f>
        <v>#DIV/0!</v>
      </c>
      <c r="AJ28" s="36"/>
      <c r="AK28" s="36"/>
      <c r="AL28" s="36"/>
      <c r="AM28" s="36"/>
      <c r="AN28" s="36"/>
      <c r="AO28" s="36"/>
    </row>
    <row r="29" spans="1:41">
      <c r="A29" s="297" t="s">
        <v>415</v>
      </c>
      <c r="B29" s="298" t="e">
        <f>MAX(X21:X391)</f>
        <v>#DIV/0!</v>
      </c>
      <c r="E29" s="36"/>
      <c r="F29" s="36"/>
      <c r="G29" s="36"/>
      <c r="H29" s="36"/>
      <c r="I29" s="10"/>
      <c r="J29" s="6">
        <f>COUNTIF(K$21:K29,"=yes")</f>
        <v>1</v>
      </c>
      <c r="K29" s="533" t="str">
        <f>IF(LOOKUP(VALUE(M29),INPUTS!$G$6:$G$35)=M29,"yes","no")</f>
        <v>no</v>
      </c>
      <c r="L29" s="533">
        <f>IF(K29="yes",(LOOKUP(J29,INPUTS!$E$6:$E$35,INPUTS!$F$6:$F$35)),0)</f>
        <v>0</v>
      </c>
      <c r="M29" s="135">
        <f t="shared" si="1"/>
        <v>8</v>
      </c>
      <c r="N29" s="135">
        <f t="shared" si="2"/>
        <v>1</v>
      </c>
      <c r="O29" s="135">
        <f t="shared" si="3"/>
        <v>0</v>
      </c>
      <c r="P29" s="536" t="e">
        <f t="shared" si="13"/>
        <v>#DIV/0!</v>
      </c>
      <c r="Q29" s="537" t="e">
        <f t="shared" si="4"/>
        <v>#DIV/0!</v>
      </c>
      <c r="R29" s="538" t="e">
        <f>IF(INPUTS!$B$15="yes",Q29,P29)</f>
        <v>#DIV/0!</v>
      </c>
      <c r="S29" s="536" t="e">
        <f t="shared" si="5"/>
        <v>#DIV/0!</v>
      </c>
      <c r="T29" s="537" t="e">
        <f t="shared" si="6"/>
        <v>#DIV/0!</v>
      </c>
      <c r="U29" s="538" t="e">
        <f>IF(INPUTS!$B$15="yes",T29,S29)</f>
        <v>#DIV/0!</v>
      </c>
      <c r="V29" s="536" t="e">
        <f t="shared" si="7"/>
        <v>#DIV/0!</v>
      </c>
      <c r="W29" s="537" t="e">
        <f t="shared" si="8"/>
        <v>#DIV/0!</v>
      </c>
      <c r="X29" s="538" t="e">
        <f>IF(INPUTS!$B$15="yes",W29,V29)</f>
        <v>#DIV/0!</v>
      </c>
      <c r="Y29" s="536" t="e">
        <f t="shared" si="9"/>
        <v>#DIV/0!</v>
      </c>
      <c r="Z29" s="537" t="e">
        <f t="shared" si="10"/>
        <v>#DIV/0!</v>
      </c>
      <c r="AA29" s="538" t="e">
        <f>IF(INPUTS!$B$15="yes",Z29,Y29)</f>
        <v>#DIV/0!</v>
      </c>
      <c r="AB29" s="536" t="e">
        <f t="shared" si="11"/>
        <v>#DIV/0!</v>
      </c>
      <c r="AC29" s="537" t="e">
        <f t="shared" si="12"/>
        <v>#DIV/0!</v>
      </c>
      <c r="AD29" s="538" t="e">
        <f>IF(INPUTS!$B$15="yes",AC29,AB29)</f>
        <v>#DIV/0!</v>
      </c>
      <c r="AE29" s="36" t="str">
        <f t="shared" si="0"/>
        <v>no</v>
      </c>
      <c r="AF29" s="36"/>
      <c r="AG29" s="389" t="e">
        <f>P29*('upper bound Kenaga'!$F$36/100)</f>
        <v>#DIV/0!</v>
      </c>
      <c r="AH29" s="36"/>
      <c r="AI29" s="389" t="e">
        <f>P29*('upper bound Kenaga'!$F$96/100)</f>
        <v>#DIV/0!</v>
      </c>
      <c r="AJ29" s="36"/>
      <c r="AK29" s="36"/>
      <c r="AL29" s="36"/>
      <c r="AM29" s="36"/>
      <c r="AN29" s="36"/>
      <c r="AO29" s="36"/>
    </row>
    <row r="30" spans="1:41">
      <c r="A30" s="297" t="s">
        <v>416</v>
      </c>
      <c r="B30" s="298" t="e">
        <f>MAX(AA21:AA391)</f>
        <v>#DIV/0!</v>
      </c>
      <c r="E30" s="36"/>
      <c r="F30" s="36"/>
      <c r="G30" s="36"/>
      <c r="H30" s="36"/>
      <c r="I30" s="10"/>
      <c r="J30" s="6">
        <f>COUNTIF(K$21:K30,"=yes")</f>
        <v>1</v>
      </c>
      <c r="K30" s="533" t="str">
        <f>IF(LOOKUP(VALUE(M30),INPUTS!$G$6:$G$35)=M30,"yes","no")</f>
        <v>no</v>
      </c>
      <c r="L30" s="533">
        <f>IF(K30="yes",(LOOKUP(J30,INPUTS!$E$6:$E$35,INPUTS!$F$6:$F$35)),0)</f>
        <v>0</v>
      </c>
      <c r="M30" s="135">
        <f t="shared" si="1"/>
        <v>9</v>
      </c>
      <c r="N30" s="135">
        <f t="shared" si="2"/>
        <v>1</v>
      </c>
      <c r="O30" s="135">
        <f t="shared" si="3"/>
        <v>0</v>
      </c>
      <c r="P30" s="536" t="e">
        <f>IF((N30&gt;N29),(EXP(-$R$16)*(P29)+$R$11),((EXP(-$R$16)*(P29))))</f>
        <v>#DIV/0!</v>
      </c>
      <c r="Q30" s="537" t="e">
        <f t="shared" si="4"/>
        <v>#DIV/0!</v>
      </c>
      <c r="R30" s="538" t="e">
        <f>IF(INPUTS!$B$15="yes",Q30,P30)</f>
        <v>#DIV/0!</v>
      </c>
      <c r="S30" s="536" t="e">
        <f t="shared" si="5"/>
        <v>#DIV/0!</v>
      </c>
      <c r="T30" s="537" t="e">
        <f t="shared" si="6"/>
        <v>#DIV/0!</v>
      </c>
      <c r="U30" s="538" t="e">
        <f>IF(INPUTS!$B$15="yes",T30,S30)</f>
        <v>#DIV/0!</v>
      </c>
      <c r="V30" s="536" t="e">
        <f t="shared" si="7"/>
        <v>#DIV/0!</v>
      </c>
      <c r="W30" s="537" t="e">
        <f t="shared" si="8"/>
        <v>#DIV/0!</v>
      </c>
      <c r="X30" s="538" t="e">
        <f>IF(INPUTS!$B$15="yes",W30,V30)</f>
        <v>#DIV/0!</v>
      </c>
      <c r="Y30" s="536" t="e">
        <f t="shared" si="9"/>
        <v>#DIV/0!</v>
      </c>
      <c r="Z30" s="537" t="e">
        <f t="shared" si="10"/>
        <v>#DIV/0!</v>
      </c>
      <c r="AA30" s="538" t="e">
        <f>IF(INPUTS!$B$15="yes",Z30,Y30)</f>
        <v>#DIV/0!</v>
      </c>
      <c r="AB30" s="536" t="e">
        <f t="shared" si="11"/>
        <v>#DIV/0!</v>
      </c>
      <c r="AC30" s="537" t="e">
        <f t="shared" si="12"/>
        <v>#DIV/0!</v>
      </c>
      <c r="AD30" s="538" t="e">
        <f>IF(INPUTS!$B$15="yes",AC30,AB30)</f>
        <v>#DIV/0!</v>
      </c>
      <c r="AE30" s="36" t="str">
        <f t="shared" si="0"/>
        <v>no</v>
      </c>
      <c r="AF30" s="36"/>
      <c r="AG30" s="389" t="e">
        <f>P30*('upper bound Kenaga'!$F$36/100)</f>
        <v>#DIV/0!</v>
      </c>
      <c r="AH30" s="36"/>
      <c r="AI30" s="389" t="e">
        <f>P30*('upper bound Kenaga'!$F$96/100)</f>
        <v>#DIV/0!</v>
      </c>
      <c r="AJ30" s="36"/>
      <c r="AK30" s="36"/>
      <c r="AL30" s="36"/>
      <c r="AM30" s="36"/>
      <c r="AN30" s="36"/>
      <c r="AO30" s="36"/>
    </row>
    <row r="31" spans="1:41" ht="13.5" thickBot="1">
      <c r="A31" s="559" t="s">
        <v>414</v>
      </c>
      <c r="B31" s="560" t="e">
        <f>MAX(AD21:AD391)</f>
        <v>#DIV/0!</v>
      </c>
      <c r="E31" s="36"/>
      <c r="F31" s="36"/>
      <c r="G31" s="36"/>
      <c r="H31" s="36"/>
      <c r="I31" s="10"/>
      <c r="J31" s="6">
        <f>COUNTIF(K$21:K31,"=yes")</f>
        <v>1</v>
      </c>
      <c r="K31" s="533" t="str">
        <f>IF(LOOKUP(VALUE(M31),INPUTS!$G$6:$G$35)=M31,"yes","no")</f>
        <v>no</v>
      </c>
      <c r="L31" s="533">
        <f>IF(K31="yes",(LOOKUP(J31,INPUTS!$E$6:$E$35,INPUTS!$F$6:$F$35)),0)</f>
        <v>0</v>
      </c>
      <c r="M31" s="135">
        <f t="shared" si="1"/>
        <v>10</v>
      </c>
      <c r="N31" s="135">
        <f t="shared" si="2"/>
        <v>1</v>
      </c>
      <c r="O31" s="135">
        <f t="shared" si="3"/>
        <v>0</v>
      </c>
      <c r="P31" s="536" t="e">
        <f t="shared" ref="P31:P94" si="14">IF((N31&gt;N30),(EXP(-$R$16)*(P30)+$R$11),((EXP(-$R$16)*(P30))))</f>
        <v>#DIV/0!</v>
      </c>
      <c r="Q31" s="537" t="e">
        <f t="shared" si="4"/>
        <v>#DIV/0!</v>
      </c>
      <c r="R31" s="538" t="e">
        <f>IF(INPUTS!$B$15="yes",Q31,P31)</f>
        <v>#DIV/0!</v>
      </c>
      <c r="S31" s="536" t="e">
        <f t="shared" si="5"/>
        <v>#DIV/0!</v>
      </c>
      <c r="T31" s="537" t="e">
        <f t="shared" si="6"/>
        <v>#DIV/0!</v>
      </c>
      <c r="U31" s="538" t="e">
        <f>IF(INPUTS!$B$15="yes",T31,S31)</f>
        <v>#DIV/0!</v>
      </c>
      <c r="V31" s="536" t="e">
        <f t="shared" si="7"/>
        <v>#DIV/0!</v>
      </c>
      <c r="W31" s="537" t="e">
        <f t="shared" si="8"/>
        <v>#DIV/0!</v>
      </c>
      <c r="X31" s="538" t="e">
        <f>IF(INPUTS!$B$15="yes",W31,V31)</f>
        <v>#DIV/0!</v>
      </c>
      <c r="Y31" s="536" t="e">
        <f t="shared" si="9"/>
        <v>#DIV/0!</v>
      </c>
      <c r="Z31" s="537" t="e">
        <f t="shared" si="10"/>
        <v>#DIV/0!</v>
      </c>
      <c r="AA31" s="538" t="e">
        <f>IF(INPUTS!$B$15="yes",Z31,Y31)</f>
        <v>#DIV/0!</v>
      </c>
      <c r="AB31" s="536" t="e">
        <f t="shared" si="11"/>
        <v>#DIV/0!</v>
      </c>
      <c r="AC31" s="537" t="e">
        <f t="shared" si="12"/>
        <v>#DIV/0!</v>
      </c>
      <c r="AD31" s="538" t="e">
        <f>IF(INPUTS!$B$15="yes",AC31,AB31)</f>
        <v>#DIV/0!</v>
      </c>
      <c r="AE31" s="36" t="str">
        <f t="shared" si="0"/>
        <v>no</v>
      </c>
      <c r="AF31" s="36"/>
      <c r="AG31" s="389" t="e">
        <f>P31*('upper bound Kenaga'!$F$36/100)</f>
        <v>#DIV/0!</v>
      </c>
      <c r="AH31" s="36"/>
      <c r="AI31" s="389" t="e">
        <f>P31*('upper bound Kenaga'!$F$96/100)</f>
        <v>#DIV/0!</v>
      </c>
      <c r="AJ31" s="36"/>
      <c r="AK31" s="36"/>
      <c r="AL31" s="36"/>
      <c r="AM31" s="36"/>
      <c r="AN31" s="36"/>
      <c r="AO31" s="36"/>
    </row>
    <row r="32" spans="1:41">
      <c r="I32" s="10"/>
      <c r="J32" s="6">
        <f>COUNTIF(K$21:K32,"=yes")</f>
        <v>1</v>
      </c>
      <c r="K32" s="533" t="str">
        <f>IF(LOOKUP(VALUE(M32),INPUTS!$G$6:$G$35)=M32,"yes","no")</f>
        <v>no</v>
      </c>
      <c r="L32" s="533">
        <f>IF(K32="yes",(LOOKUP(J32,INPUTS!$E$6:$E$35,INPUTS!$F$6:$F$35)),0)</f>
        <v>0</v>
      </c>
      <c r="M32" s="135">
        <f t="shared" si="1"/>
        <v>11</v>
      </c>
      <c r="N32" s="135">
        <f t="shared" si="2"/>
        <v>1</v>
      </c>
      <c r="O32" s="135">
        <f t="shared" si="3"/>
        <v>0</v>
      </c>
      <c r="P32" s="536" t="e">
        <f t="shared" si="14"/>
        <v>#DIV/0!</v>
      </c>
      <c r="Q32" s="537" t="e">
        <f t="shared" si="4"/>
        <v>#DIV/0!</v>
      </c>
      <c r="R32" s="538" t="e">
        <f>IF(INPUTS!$B$15="yes",Q32,P32)</f>
        <v>#DIV/0!</v>
      </c>
      <c r="S32" s="536" t="e">
        <f t="shared" si="5"/>
        <v>#DIV/0!</v>
      </c>
      <c r="T32" s="537" t="e">
        <f t="shared" si="6"/>
        <v>#DIV/0!</v>
      </c>
      <c r="U32" s="538" t="e">
        <f>IF(INPUTS!$B$15="yes",T32,S32)</f>
        <v>#DIV/0!</v>
      </c>
      <c r="V32" s="536" t="e">
        <f t="shared" si="7"/>
        <v>#DIV/0!</v>
      </c>
      <c r="W32" s="537" t="e">
        <f t="shared" si="8"/>
        <v>#DIV/0!</v>
      </c>
      <c r="X32" s="538" t="e">
        <f>IF(INPUTS!$B$15="yes",W32,V32)</f>
        <v>#DIV/0!</v>
      </c>
      <c r="Y32" s="536" t="e">
        <f t="shared" si="9"/>
        <v>#DIV/0!</v>
      </c>
      <c r="Z32" s="537" t="e">
        <f t="shared" si="10"/>
        <v>#DIV/0!</v>
      </c>
      <c r="AA32" s="538" t="e">
        <f>IF(INPUTS!$B$15="yes",Z32,Y32)</f>
        <v>#DIV/0!</v>
      </c>
      <c r="AB32" s="536" t="e">
        <f t="shared" si="11"/>
        <v>#DIV/0!</v>
      </c>
      <c r="AC32" s="537" t="e">
        <f t="shared" si="12"/>
        <v>#DIV/0!</v>
      </c>
      <c r="AD32" s="538" t="e">
        <f>IF(INPUTS!$B$15="yes",AC32,AB32)</f>
        <v>#DIV/0!</v>
      </c>
      <c r="AE32" s="36" t="str">
        <f t="shared" si="0"/>
        <v>no</v>
      </c>
      <c r="AF32" s="36"/>
      <c r="AG32" s="389" t="e">
        <f>P32*('upper bound Kenaga'!$F$36/100)</f>
        <v>#DIV/0!</v>
      </c>
      <c r="AH32" s="36"/>
      <c r="AI32" s="389" t="e">
        <f>P32*('upper bound Kenaga'!$F$96/100)</f>
        <v>#DIV/0!</v>
      </c>
      <c r="AJ32" s="36"/>
      <c r="AK32" s="36"/>
      <c r="AL32" s="36"/>
      <c r="AM32" s="36"/>
      <c r="AN32" s="36"/>
      <c r="AO32" s="36"/>
    </row>
    <row r="33" spans="1:41" ht="21" thickBot="1">
      <c r="A33" s="13" t="s">
        <v>47</v>
      </c>
      <c r="B33" s="14"/>
      <c r="C33" s="14"/>
      <c r="D33" s="15"/>
      <c r="E33" s="14"/>
      <c r="F33" s="14"/>
      <c r="G33" s="14"/>
      <c r="H33" s="14"/>
      <c r="I33" s="10"/>
      <c r="J33" s="6">
        <f>COUNTIF(K$21:K33,"=yes")</f>
        <v>1</v>
      </c>
      <c r="K33" s="533" t="str">
        <f>IF(LOOKUP(VALUE(M33),INPUTS!$G$6:$G$35)=M33,"yes","no")</f>
        <v>no</v>
      </c>
      <c r="L33" s="533">
        <f>IF(K33="yes",(LOOKUP(J33,INPUTS!$E$6:$E$35,INPUTS!$F$6:$F$35)),0)</f>
        <v>0</v>
      </c>
      <c r="M33" s="135">
        <f t="shared" si="1"/>
        <v>12</v>
      </c>
      <c r="N33" s="135">
        <f t="shared" si="2"/>
        <v>1</v>
      </c>
      <c r="O33" s="135">
        <f t="shared" si="3"/>
        <v>0</v>
      </c>
      <c r="P33" s="536" t="e">
        <f t="shared" si="14"/>
        <v>#DIV/0!</v>
      </c>
      <c r="Q33" s="537" t="e">
        <f t="shared" si="4"/>
        <v>#DIV/0!</v>
      </c>
      <c r="R33" s="538" t="e">
        <f>IF(INPUTS!$B$15="yes",Q33,P33)</f>
        <v>#DIV/0!</v>
      </c>
      <c r="S33" s="536" t="e">
        <f t="shared" si="5"/>
        <v>#DIV/0!</v>
      </c>
      <c r="T33" s="537" t="e">
        <f t="shared" si="6"/>
        <v>#DIV/0!</v>
      </c>
      <c r="U33" s="538" t="e">
        <f>IF(INPUTS!$B$15="yes",T33,S33)</f>
        <v>#DIV/0!</v>
      </c>
      <c r="V33" s="536" t="e">
        <f t="shared" si="7"/>
        <v>#DIV/0!</v>
      </c>
      <c r="W33" s="537" t="e">
        <f t="shared" si="8"/>
        <v>#DIV/0!</v>
      </c>
      <c r="X33" s="538" t="e">
        <f>IF(INPUTS!$B$15="yes",W33,V33)</f>
        <v>#DIV/0!</v>
      </c>
      <c r="Y33" s="536" t="e">
        <f t="shared" si="9"/>
        <v>#DIV/0!</v>
      </c>
      <c r="Z33" s="537" t="e">
        <f t="shared" si="10"/>
        <v>#DIV/0!</v>
      </c>
      <c r="AA33" s="538" t="e">
        <f>IF(INPUTS!$B$15="yes",Z33,Y33)</f>
        <v>#DIV/0!</v>
      </c>
      <c r="AB33" s="536" t="e">
        <f t="shared" si="11"/>
        <v>#DIV/0!</v>
      </c>
      <c r="AC33" s="537" t="e">
        <f t="shared" si="12"/>
        <v>#DIV/0!</v>
      </c>
      <c r="AD33" s="538" t="e">
        <f>IF(INPUTS!$B$15="yes",AC33,AB33)</f>
        <v>#DIV/0!</v>
      </c>
      <c r="AE33" s="36" t="str">
        <f t="shared" si="0"/>
        <v>no</v>
      </c>
      <c r="AF33" s="36"/>
      <c r="AG33" s="389" t="e">
        <f>P33*('upper bound Kenaga'!$F$36/100)</f>
        <v>#DIV/0!</v>
      </c>
      <c r="AH33" s="36"/>
      <c r="AI33" s="389" t="e">
        <f>P33*('upper bound Kenaga'!$F$96/100)</f>
        <v>#DIV/0!</v>
      </c>
      <c r="AJ33" s="36"/>
      <c r="AK33" s="36"/>
      <c r="AL33" s="36"/>
      <c r="AM33" s="36"/>
      <c r="AN33" s="36"/>
      <c r="AO33" s="36"/>
    </row>
    <row r="34" spans="1:41" ht="13.5" thickTop="1">
      <c r="B34" s="314" t="s">
        <v>14</v>
      </c>
      <c r="C34" s="315" t="s">
        <v>35</v>
      </c>
      <c r="D34" s="315" t="s">
        <v>212</v>
      </c>
      <c r="E34" s="315" t="s">
        <v>207</v>
      </c>
      <c r="F34" s="315" t="s">
        <v>37</v>
      </c>
      <c r="G34" s="316" t="s">
        <v>210</v>
      </c>
      <c r="J34" s="6">
        <f>COUNTIF(K$21:K34,"=yes")</f>
        <v>1</v>
      </c>
      <c r="K34" s="533" t="str">
        <f>IF(LOOKUP(VALUE(M34),INPUTS!$G$6:$G$35)=M34,"yes","no")</f>
        <v>no</v>
      </c>
      <c r="L34" s="533">
        <f>IF(K34="yes",(LOOKUP(J34,INPUTS!$E$6:$E$35,INPUTS!$F$6:$F$35)),0)</f>
        <v>0</v>
      </c>
      <c r="M34" s="135">
        <f>(M33+1)</f>
        <v>13</v>
      </c>
      <c r="N34" s="135">
        <f t="shared" si="2"/>
        <v>1</v>
      </c>
      <c r="O34" s="135">
        <f t="shared" si="3"/>
        <v>0</v>
      </c>
      <c r="P34" s="536" t="e">
        <f t="shared" si="14"/>
        <v>#DIV/0!</v>
      </c>
      <c r="Q34" s="537" t="e">
        <f t="shared" si="4"/>
        <v>#DIV/0!</v>
      </c>
      <c r="R34" s="538" t="e">
        <f>IF(INPUTS!$B$15="yes",Q34,P34)</f>
        <v>#DIV/0!</v>
      </c>
      <c r="S34" s="536" t="e">
        <f t="shared" si="5"/>
        <v>#DIV/0!</v>
      </c>
      <c r="T34" s="537" t="e">
        <f t="shared" si="6"/>
        <v>#DIV/0!</v>
      </c>
      <c r="U34" s="538" t="e">
        <f>IF(INPUTS!$B$15="yes",T34,S34)</f>
        <v>#DIV/0!</v>
      </c>
      <c r="V34" s="536" t="e">
        <f t="shared" si="7"/>
        <v>#DIV/0!</v>
      </c>
      <c r="W34" s="537" t="e">
        <f t="shared" si="8"/>
        <v>#DIV/0!</v>
      </c>
      <c r="X34" s="538" t="e">
        <f>IF(INPUTS!$B$15="yes",W34,V34)</f>
        <v>#DIV/0!</v>
      </c>
      <c r="Y34" s="536" t="e">
        <f t="shared" si="9"/>
        <v>#DIV/0!</v>
      </c>
      <c r="Z34" s="537" t="e">
        <f t="shared" si="10"/>
        <v>#DIV/0!</v>
      </c>
      <c r="AA34" s="538" t="e">
        <f>IF(INPUTS!$B$15="yes",Z34,Y34)</f>
        <v>#DIV/0!</v>
      </c>
      <c r="AB34" s="536" t="e">
        <f t="shared" si="11"/>
        <v>#DIV/0!</v>
      </c>
      <c r="AC34" s="537" t="e">
        <f t="shared" si="12"/>
        <v>#DIV/0!</v>
      </c>
      <c r="AD34" s="538" t="e">
        <f>IF(INPUTS!$B$15="yes",AC34,AB34)</f>
        <v>#DIV/0!</v>
      </c>
      <c r="AE34" s="36" t="str">
        <f t="shared" si="0"/>
        <v>no</v>
      </c>
      <c r="AF34" s="36"/>
      <c r="AG34" s="389" t="e">
        <f>P34*('upper bound Kenaga'!$F$36/100)</f>
        <v>#DIV/0!</v>
      </c>
      <c r="AH34" s="36"/>
      <c r="AI34" s="389" t="e">
        <f>P34*('upper bound Kenaga'!$F$96/100)</f>
        <v>#DIV/0!</v>
      </c>
      <c r="AJ34" s="36"/>
      <c r="AK34" s="36"/>
      <c r="AL34" s="36"/>
      <c r="AM34" s="36"/>
      <c r="AN34" s="36"/>
      <c r="AO34" s="36"/>
    </row>
    <row r="35" spans="1:41" ht="13.5" customHeight="1">
      <c r="B35" s="317" t="s">
        <v>34</v>
      </c>
      <c r="C35" s="318" t="s">
        <v>118</v>
      </c>
      <c r="D35" s="318" t="s">
        <v>213</v>
      </c>
      <c r="E35" s="318" t="s">
        <v>208</v>
      </c>
      <c r="F35" s="318" t="s">
        <v>38</v>
      </c>
      <c r="G35" s="319" t="s">
        <v>211</v>
      </c>
      <c r="J35" s="6">
        <f>COUNTIF(K$21:K35,"=yes")</f>
        <v>1</v>
      </c>
      <c r="K35" s="533" t="str">
        <f>IF(LOOKUP(VALUE(M35),INPUTS!$G$6:$G$35)=M35,"yes","no")</f>
        <v>no</v>
      </c>
      <c r="L35" s="533">
        <f>IF(K35="yes",(LOOKUP(J35,INPUTS!$E$6:$E$35,INPUTS!$F$6:$F$35)),0)</f>
        <v>0</v>
      </c>
      <c r="M35" s="135">
        <f t="shared" si="1"/>
        <v>14</v>
      </c>
      <c r="N35" s="135">
        <f t="shared" si="2"/>
        <v>1</v>
      </c>
      <c r="O35" s="135">
        <f t="shared" si="3"/>
        <v>0</v>
      </c>
      <c r="P35" s="536" t="e">
        <f t="shared" si="14"/>
        <v>#DIV/0!</v>
      </c>
      <c r="Q35" s="537" t="e">
        <f t="shared" si="4"/>
        <v>#DIV/0!</v>
      </c>
      <c r="R35" s="538" t="e">
        <f>IF(INPUTS!$B$15="yes",Q35,P35)</f>
        <v>#DIV/0!</v>
      </c>
      <c r="S35" s="536" t="e">
        <f t="shared" si="5"/>
        <v>#DIV/0!</v>
      </c>
      <c r="T35" s="537" t="e">
        <f t="shared" si="6"/>
        <v>#DIV/0!</v>
      </c>
      <c r="U35" s="538" t="e">
        <f>IF(INPUTS!$B$15="yes",T35,S35)</f>
        <v>#DIV/0!</v>
      </c>
      <c r="V35" s="536" t="e">
        <f t="shared" si="7"/>
        <v>#DIV/0!</v>
      </c>
      <c r="W35" s="537" t="e">
        <f t="shared" si="8"/>
        <v>#DIV/0!</v>
      </c>
      <c r="X35" s="538" t="e">
        <f>IF(INPUTS!$B$15="yes",W35,V35)</f>
        <v>#DIV/0!</v>
      </c>
      <c r="Y35" s="536" t="e">
        <f t="shared" si="9"/>
        <v>#DIV/0!</v>
      </c>
      <c r="Z35" s="537" t="e">
        <f t="shared" si="10"/>
        <v>#DIV/0!</v>
      </c>
      <c r="AA35" s="538" t="e">
        <f>IF(INPUTS!$B$15="yes",Z35,Y35)</f>
        <v>#DIV/0!</v>
      </c>
      <c r="AB35" s="536" t="e">
        <f t="shared" si="11"/>
        <v>#DIV/0!</v>
      </c>
      <c r="AC35" s="537" t="e">
        <f t="shared" si="12"/>
        <v>#DIV/0!</v>
      </c>
      <c r="AD35" s="538" t="e">
        <f>IF(INPUTS!$B$15="yes",AC35,AB35)</f>
        <v>#DIV/0!</v>
      </c>
      <c r="AE35" s="36" t="str">
        <f t="shared" si="0"/>
        <v>no</v>
      </c>
      <c r="AF35" s="36"/>
      <c r="AG35" s="389" t="e">
        <f>P35*('upper bound Kenaga'!$F$36/100)</f>
        <v>#DIV/0!</v>
      </c>
      <c r="AH35" s="36"/>
      <c r="AI35" s="389" t="e">
        <f>P35*('upper bound Kenaga'!$F$96/100)</f>
        <v>#DIV/0!</v>
      </c>
      <c r="AJ35" s="36"/>
      <c r="AK35" s="36"/>
      <c r="AL35" s="36"/>
      <c r="AM35" s="36"/>
      <c r="AN35" s="36"/>
      <c r="AO35" s="36"/>
    </row>
    <row r="36" spans="1:41" ht="16.5" customHeight="1">
      <c r="B36" s="299" t="s">
        <v>51</v>
      </c>
      <c r="C36" s="301">
        <f>INPUTS!B19</f>
        <v>20</v>
      </c>
      <c r="D36" s="300">
        <f t="shared" ref="D36:D41" si="15">(0.648*C36^0.651)</f>
        <v>4.5555994626019887</v>
      </c>
      <c r="E36" s="300">
        <f>D36/0.2</f>
        <v>22.777997313009941</v>
      </c>
      <c r="F36" s="301">
        <f t="shared" ref="F36:F41" si="16">(E36/C36)*100</f>
        <v>113.8899865650497</v>
      </c>
      <c r="G36" s="302">
        <f t="shared" ref="G36:G41" si="17">E36/1000</f>
        <v>2.2777997313009942E-2</v>
      </c>
      <c r="J36" s="6">
        <f>COUNTIF(K$21:K36,"=yes")</f>
        <v>1</v>
      </c>
      <c r="K36" s="533" t="str">
        <f>IF(LOOKUP(VALUE(M36),INPUTS!$G$6:$G$35)=M36,"yes","no")</f>
        <v>no</v>
      </c>
      <c r="L36" s="533">
        <f>IF(K36="yes",(LOOKUP(J36,INPUTS!$E$6:$E$35,INPUTS!$F$6:$F$35)),0)</f>
        <v>0</v>
      </c>
      <c r="M36" s="135">
        <f t="shared" si="1"/>
        <v>15</v>
      </c>
      <c r="N36" s="135">
        <f t="shared" si="2"/>
        <v>1</v>
      </c>
      <c r="O36" s="135">
        <f t="shared" si="3"/>
        <v>0</v>
      </c>
      <c r="P36" s="536" t="e">
        <f t="shared" si="14"/>
        <v>#DIV/0!</v>
      </c>
      <c r="Q36" s="537" t="e">
        <f t="shared" si="4"/>
        <v>#DIV/0!</v>
      </c>
      <c r="R36" s="538" t="e">
        <f>IF(INPUTS!$B$15="yes",Q36,P36)</f>
        <v>#DIV/0!</v>
      </c>
      <c r="S36" s="536" t="e">
        <f t="shared" si="5"/>
        <v>#DIV/0!</v>
      </c>
      <c r="T36" s="537" t="e">
        <f t="shared" si="6"/>
        <v>#DIV/0!</v>
      </c>
      <c r="U36" s="538" t="e">
        <f>IF(INPUTS!$B$15="yes",T36,S36)</f>
        <v>#DIV/0!</v>
      </c>
      <c r="V36" s="536" t="e">
        <f t="shared" si="7"/>
        <v>#DIV/0!</v>
      </c>
      <c r="W36" s="537" t="e">
        <f t="shared" si="8"/>
        <v>#DIV/0!</v>
      </c>
      <c r="X36" s="538" t="e">
        <f>IF(INPUTS!$B$15="yes",W36,V36)</f>
        <v>#DIV/0!</v>
      </c>
      <c r="Y36" s="536" t="e">
        <f t="shared" si="9"/>
        <v>#DIV/0!</v>
      </c>
      <c r="Z36" s="537" t="e">
        <f t="shared" si="10"/>
        <v>#DIV/0!</v>
      </c>
      <c r="AA36" s="538" t="e">
        <f>IF(INPUTS!$B$15="yes",Z36,Y36)</f>
        <v>#DIV/0!</v>
      </c>
      <c r="AB36" s="536" t="e">
        <f t="shared" si="11"/>
        <v>#DIV/0!</v>
      </c>
      <c r="AC36" s="537" t="e">
        <f t="shared" si="12"/>
        <v>#DIV/0!</v>
      </c>
      <c r="AD36" s="538" t="e">
        <f>IF(INPUTS!$B$15="yes",AC36,AB36)</f>
        <v>#DIV/0!</v>
      </c>
      <c r="AE36" s="36" t="str">
        <f t="shared" si="0"/>
        <v>no</v>
      </c>
      <c r="AF36" s="36"/>
      <c r="AG36" s="389" t="e">
        <f>P36*('upper bound Kenaga'!$F$36/100)</f>
        <v>#DIV/0!</v>
      </c>
      <c r="AH36" s="36"/>
      <c r="AI36" s="389" t="e">
        <f>P36*('upper bound Kenaga'!$F$96/100)</f>
        <v>#DIV/0!</v>
      </c>
      <c r="AJ36" s="36"/>
      <c r="AK36" s="36"/>
      <c r="AL36" s="36"/>
      <c r="AM36" s="36"/>
      <c r="AN36" s="36"/>
      <c r="AO36" s="36"/>
    </row>
    <row r="37" spans="1:41" ht="16.5" customHeight="1">
      <c r="B37" s="303" t="s">
        <v>52</v>
      </c>
      <c r="C37" s="301">
        <f>INPUTS!B20</f>
        <v>100</v>
      </c>
      <c r="D37" s="300">
        <f t="shared" si="15"/>
        <v>12.988978737326251</v>
      </c>
      <c r="E37" s="300">
        <f>D37/0.2</f>
        <v>64.944893686631247</v>
      </c>
      <c r="F37" s="301">
        <f t="shared" si="16"/>
        <v>64.944893686631247</v>
      </c>
      <c r="G37" s="302">
        <f t="shared" si="17"/>
        <v>6.4944893686631242E-2</v>
      </c>
      <c r="J37" s="6">
        <f>COUNTIF(K$21:K37,"=yes")</f>
        <v>1</v>
      </c>
      <c r="K37" s="533" t="str">
        <f>IF(LOOKUP(VALUE(M37),INPUTS!$G$6:$G$35)=M37,"yes","no")</f>
        <v>no</v>
      </c>
      <c r="L37" s="533">
        <f>IF(K37="yes",(LOOKUP(J37,INPUTS!$E$6:$E$35,INPUTS!$F$6:$F$35)),0)</f>
        <v>0</v>
      </c>
      <c r="M37" s="135">
        <f t="shared" si="1"/>
        <v>16</v>
      </c>
      <c r="N37" s="135">
        <f t="shared" si="2"/>
        <v>1</v>
      </c>
      <c r="O37" s="135">
        <f t="shared" si="3"/>
        <v>0</v>
      </c>
      <c r="P37" s="536" t="e">
        <f t="shared" si="14"/>
        <v>#DIV/0!</v>
      </c>
      <c r="Q37" s="537" t="e">
        <f t="shared" si="4"/>
        <v>#DIV/0!</v>
      </c>
      <c r="R37" s="538" t="e">
        <f>IF(INPUTS!$B$15="yes",Q37,P37)</f>
        <v>#DIV/0!</v>
      </c>
      <c r="S37" s="536" t="e">
        <f t="shared" si="5"/>
        <v>#DIV/0!</v>
      </c>
      <c r="T37" s="537" t="e">
        <f t="shared" si="6"/>
        <v>#DIV/0!</v>
      </c>
      <c r="U37" s="538" t="e">
        <f>IF(INPUTS!$B$15="yes",T37,S37)</f>
        <v>#DIV/0!</v>
      </c>
      <c r="V37" s="536" t="e">
        <f t="shared" si="7"/>
        <v>#DIV/0!</v>
      </c>
      <c r="W37" s="537" t="e">
        <f t="shared" si="8"/>
        <v>#DIV/0!</v>
      </c>
      <c r="X37" s="538" t="e">
        <f>IF(INPUTS!$B$15="yes",W37,V37)</f>
        <v>#DIV/0!</v>
      </c>
      <c r="Y37" s="536" t="e">
        <f t="shared" si="9"/>
        <v>#DIV/0!</v>
      </c>
      <c r="Z37" s="537" t="e">
        <f t="shared" si="10"/>
        <v>#DIV/0!</v>
      </c>
      <c r="AA37" s="538" t="e">
        <f>IF(INPUTS!$B$15="yes",Z37,Y37)</f>
        <v>#DIV/0!</v>
      </c>
      <c r="AB37" s="536" t="e">
        <f t="shared" si="11"/>
        <v>#DIV/0!</v>
      </c>
      <c r="AC37" s="537" t="e">
        <f t="shared" si="12"/>
        <v>#DIV/0!</v>
      </c>
      <c r="AD37" s="538" t="e">
        <f>IF(INPUTS!$B$15="yes",AC37,AB37)</f>
        <v>#DIV/0!</v>
      </c>
      <c r="AE37" s="36" t="str">
        <f t="shared" si="0"/>
        <v>no</v>
      </c>
      <c r="AF37" s="36"/>
      <c r="AG37" s="389" t="e">
        <f>P37*('upper bound Kenaga'!$F$36/100)</f>
        <v>#DIV/0!</v>
      </c>
      <c r="AH37" s="36"/>
      <c r="AI37" s="389" t="e">
        <f>P37*('upper bound Kenaga'!$F$96/100)</f>
        <v>#DIV/0!</v>
      </c>
      <c r="AJ37" s="36"/>
      <c r="AK37" s="36"/>
      <c r="AL37" s="36"/>
      <c r="AM37" s="36"/>
      <c r="AN37" s="36"/>
      <c r="AO37" s="36"/>
    </row>
    <row r="38" spans="1:41" ht="16.5" customHeight="1" thickBot="1">
      <c r="B38" s="304" t="s">
        <v>53</v>
      </c>
      <c r="C38" s="305">
        <f>INPUTS!B21</f>
        <v>1000</v>
      </c>
      <c r="D38" s="306">
        <f t="shared" si="15"/>
        <v>58.153385883648525</v>
      </c>
      <c r="E38" s="306">
        <f>D38/0.2</f>
        <v>290.76692941824263</v>
      </c>
      <c r="F38" s="307">
        <f t="shared" si="16"/>
        <v>29.076692941824263</v>
      </c>
      <c r="G38" s="308">
        <f t="shared" si="17"/>
        <v>0.29076692941824261</v>
      </c>
      <c r="H38" s="6"/>
      <c r="I38" s="25"/>
      <c r="J38" s="6">
        <f>COUNTIF(K$21:K38,"=yes")</f>
        <v>1</v>
      </c>
      <c r="K38" s="533" t="str">
        <f>IF(LOOKUP(VALUE(M38),INPUTS!$G$6:$G$35)=M38,"yes","no")</f>
        <v>no</v>
      </c>
      <c r="L38" s="533">
        <f>IF(K38="yes",(LOOKUP(J38,INPUTS!$E$6:$E$35,INPUTS!$F$6:$F$35)),0)</f>
        <v>0</v>
      </c>
      <c r="M38" s="135">
        <f t="shared" si="1"/>
        <v>17</v>
      </c>
      <c r="N38" s="135">
        <f t="shared" si="2"/>
        <v>1</v>
      </c>
      <c r="O38" s="135">
        <f t="shared" si="3"/>
        <v>0</v>
      </c>
      <c r="P38" s="536" t="e">
        <f t="shared" si="14"/>
        <v>#DIV/0!</v>
      </c>
      <c r="Q38" s="537" t="e">
        <f t="shared" si="4"/>
        <v>#DIV/0!</v>
      </c>
      <c r="R38" s="538" t="e">
        <f>IF(INPUTS!$B$15="yes",Q38,P38)</f>
        <v>#DIV/0!</v>
      </c>
      <c r="S38" s="536" t="e">
        <f t="shared" si="5"/>
        <v>#DIV/0!</v>
      </c>
      <c r="T38" s="537" t="e">
        <f t="shared" si="6"/>
        <v>#DIV/0!</v>
      </c>
      <c r="U38" s="538" t="e">
        <f>IF(INPUTS!$B$15="yes",T38,S38)</f>
        <v>#DIV/0!</v>
      </c>
      <c r="V38" s="536" t="e">
        <f t="shared" si="7"/>
        <v>#DIV/0!</v>
      </c>
      <c r="W38" s="537" t="e">
        <f t="shared" si="8"/>
        <v>#DIV/0!</v>
      </c>
      <c r="X38" s="538" t="e">
        <f>IF(INPUTS!$B$15="yes",W38,V38)</f>
        <v>#DIV/0!</v>
      </c>
      <c r="Y38" s="536" t="e">
        <f t="shared" si="9"/>
        <v>#DIV/0!</v>
      </c>
      <c r="Z38" s="537" t="e">
        <f t="shared" si="10"/>
        <v>#DIV/0!</v>
      </c>
      <c r="AA38" s="538" t="e">
        <f>IF(INPUTS!$B$15="yes",Z38,Y38)</f>
        <v>#DIV/0!</v>
      </c>
      <c r="AB38" s="536" t="e">
        <f t="shared" si="11"/>
        <v>#DIV/0!</v>
      </c>
      <c r="AC38" s="537" t="e">
        <f t="shared" si="12"/>
        <v>#DIV/0!</v>
      </c>
      <c r="AD38" s="538" t="e">
        <f>IF(INPUTS!$B$15="yes",AC38,AB38)</f>
        <v>#DIV/0!</v>
      </c>
      <c r="AE38" s="36" t="str">
        <f t="shared" si="0"/>
        <v>no</v>
      </c>
      <c r="AF38" s="36"/>
      <c r="AG38" s="389" t="e">
        <f>P38*('upper bound Kenaga'!$F$36/100)</f>
        <v>#DIV/0!</v>
      </c>
      <c r="AH38" s="36"/>
      <c r="AI38" s="389" t="e">
        <f>P38*('upper bound Kenaga'!$F$96/100)</f>
        <v>#DIV/0!</v>
      </c>
      <c r="AJ38" s="36"/>
      <c r="AK38" s="36"/>
      <c r="AL38" s="36"/>
      <c r="AM38" s="36"/>
      <c r="AN38" s="36"/>
      <c r="AO38" s="36"/>
    </row>
    <row r="39" spans="1:41">
      <c r="B39" s="328"/>
      <c r="C39" s="450">
        <f>C36</f>
        <v>20</v>
      </c>
      <c r="D39" s="300">
        <f t="shared" si="15"/>
        <v>4.5555994626019887</v>
      </c>
      <c r="E39" s="330">
        <f>D39/0.9</f>
        <v>5.0617771806688765</v>
      </c>
      <c r="F39" s="300">
        <f t="shared" si="16"/>
        <v>25.308885903344379</v>
      </c>
      <c r="G39" s="331">
        <f t="shared" si="17"/>
        <v>5.0617771806688765E-3</v>
      </c>
      <c r="J39" s="6">
        <f>COUNTIF(K$21:K39,"=yes")</f>
        <v>1</v>
      </c>
      <c r="K39" s="533" t="str">
        <f>IF(LOOKUP(VALUE(M39),INPUTS!$G$6:$G$35)=M39,"yes","no")</f>
        <v>no</v>
      </c>
      <c r="L39" s="533">
        <f>IF(K39="yes",(LOOKUP(J39,INPUTS!$E$6:$E$35,INPUTS!$F$6:$F$35)),0)</f>
        <v>0</v>
      </c>
      <c r="M39" s="135">
        <f t="shared" si="1"/>
        <v>18</v>
      </c>
      <c r="N39" s="135">
        <f t="shared" si="2"/>
        <v>1</v>
      </c>
      <c r="O39" s="135">
        <f t="shared" si="3"/>
        <v>0</v>
      </c>
      <c r="P39" s="536" t="e">
        <f t="shared" si="14"/>
        <v>#DIV/0!</v>
      </c>
      <c r="Q39" s="537" t="e">
        <f t="shared" si="4"/>
        <v>#DIV/0!</v>
      </c>
      <c r="R39" s="538" t="e">
        <f>IF(INPUTS!$B$15="yes",Q39,P39)</f>
        <v>#DIV/0!</v>
      </c>
      <c r="S39" s="536" t="e">
        <f t="shared" si="5"/>
        <v>#DIV/0!</v>
      </c>
      <c r="T39" s="537" t="e">
        <f t="shared" si="6"/>
        <v>#DIV/0!</v>
      </c>
      <c r="U39" s="538" t="e">
        <f>IF(INPUTS!$B$15="yes",T39,S39)</f>
        <v>#DIV/0!</v>
      </c>
      <c r="V39" s="536" t="e">
        <f t="shared" si="7"/>
        <v>#DIV/0!</v>
      </c>
      <c r="W39" s="537" t="e">
        <f t="shared" si="8"/>
        <v>#DIV/0!</v>
      </c>
      <c r="X39" s="538" t="e">
        <f>IF(INPUTS!$B$15="yes",W39,V39)</f>
        <v>#DIV/0!</v>
      </c>
      <c r="Y39" s="536" t="e">
        <f t="shared" si="9"/>
        <v>#DIV/0!</v>
      </c>
      <c r="Z39" s="537" t="e">
        <f t="shared" si="10"/>
        <v>#DIV/0!</v>
      </c>
      <c r="AA39" s="538" t="e">
        <f>IF(INPUTS!$B$15="yes",Z39,Y39)</f>
        <v>#DIV/0!</v>
      </c>
      <c r="AB39" s="536" t="e">
        <f t="shared" si="11"/>
        <v>#DIV/0!</v>
      </c>
      <c r="AC39" s="537" t="e">
        <f t="shared" si="12"/>
        <v>#DIV/0!</v>
      </c>
      <c r="AD39" s="538" t="e">
        <f>IF(INPUTS!$B$15="yes",AC39,AB39)</f>
        <v>#DIV/0!</v>
      </c>
      <c r="AE39" s="36" t="str">
        <f t="shared" si="0"/>
        <v>no</v>
      </c>
      <c r="AF39" s="36"/>
      <c r="AG39" s="389" t="e">
        <f>P39*('upper bound Kenaga'!$F$36/100)</f>
        <v>#DIV/0!</v>
      </c>
      <c r="AH39" s="36"/>
      <c r="AI39" s="389" t="e">
        <f>P39*('upper bound Kenaga'!$F$96/100)</f>
        <v>#DIV/0!</v>
      </c>
      <c r="AJ39" s="36"/>
      <c r="AK39" s="36"/>
      <c r="AL39" s="36"/>
      <c r="AM39" s="36"/>
      <c r="AN39" s="36"/>
      <c r="AO39" s="36"/>
    </row>
    <row r="40" spans="1:41">
      <c r="B40" s="525" t="s">
        <v>40</v>
      </c>
      <c r="C40" s="450">
        <f>C37</f>
        <v>100</v>
      </c>
      <c r="D40" s="300">
        <f t="shared" si="15"/>
        <v>12.988978737326251</v>
      </c>
      <c r="E40" s="330">
        <f>D40/0.9</f>
        <v>14.432198597029167</v>
      </c>
      <c r="F40" s="300">
        <f t="shared" si="16"/>
        <v>14.432198597029167</v>
      </c>
      <c r="G40" s="331">
        <f t="shared" si="17"/>
        <v>1.4432198597029168E-2</v>
      </c>
      <c r="J40" s="6">
        <f>COUNTIF(K$21:K40,"=yes")</f>
        <v>1</v>
      </c>
      <c r="K40" s="533" t="str">
        <f>IF(LOOKUP(VALUE(M40),INPUTS!$G$6:$G$35)=M40,"yes","no")</f>
        <v>no</v>
      </c>
      <c r="L40" s="533">
        <f>IF(K40="yes",(LOOKUP(J40,INPUTS!$E$6:$E$35,INPUTS!$F$6:$F$35)),0)</f>
        <v>0</v>
      </c>
      <c r="M40" s="135">
        <f t="shared" si="1"/>
        <v>19</v>
      </c>
      <c r="N40" s="135">
        <f t="shared" si="2"/>
        <v>1</v>
      </c>
      <c r="O40" s="135">
        <f t="shared" si="3"/>
        <v>0</v>
      </c>
      <c r="P40" s="536" t="e">
        <f t="shared" si="14"/>
        <v>#DIV/0!</v>
      </c>
      <c r="Q40" s="537" t="e">
        <f t="shared" si="4"/>
        <v>#DIV/0!</v>
      </c>
      <c r="R40" s="538" t="e">
        <f>IF(INPUTS!$B$15="yes",Q40,P40)</f>
        <v>#DIV/0!</v>
      </c>
      <c r="S40" s="536" t="e">
        <f t="shared" si="5"/>
        <v>#DIV/0!</v>
      </c>
      <c r="T40" s="537" t="e">
        <f t="shared" si="6"/>
        <v>#DIV/0!</v>
      </c>
      <c r="U40" s="538" t="e">
        <f>IF(INPUTS!$B$15="yes",T40,S40)</f>
        <v>#DIV/0!</v>
      </c>
      <c r="V40" s="536" t="e">
        <f t="shared" si="7"/>
        <v>#DIV/0!</v>
      </c>
      <c r="W40" s="537" t="e">
        <f t="shared" si="8"/>
        <v>#DIV/0!</v>
      </c>
      <c r="X40" s="538" t="e">
        <f>IF(INPUTS!$B$15="yes",W40,V40)</f>
        <v>#DIV/0!</v>
      </c>
      <c r="Y40" s="536" t="e">
        <f t="shared" si="9"/>
        <v>#DIV/0!</v>
      </c>
      <c r="Z40" s="537" t="e">
        <f t="shared" si="10"/>
        <v>#DIV/0!</v>
      </c>
      <c r="AA40" s="538" t="e">
        <f>IF(INPUTS!$B$15="yes",Z40,Y40)</f>
        <v>#DIV/0!</v>
      </c>
      <c r="AB40" s="536" t="e">
        <f t="shared" si="11"/>
        <v>#DIV/0!</v>
      </c>
      <c r="AC40" s="537" t="e">
        <f t="shared" si="12"/>
        <v>#DIV/0!</v>
      </c>
      <c r="AD40" s="538" t="e">
        <f>IF(INPUTS!$B$15="yes",AC40,AB40)</f>
        <v>#DIV/0!</v>
      </c>
      <c r="AE40" s="36" t="str">
        <f t="shared" si="0"/>
        <v>no</v>
      </c>
      <c r="AF40" s="36"/>
      <c r="AG40" s="389" t="e">
        <f>P40*('upper bound Kenaga'!$F$36/100)</f>
        <v>#DIV/0!</v>
      </c>
      <c r="AH40" s="36"/>
      <c r="AI40" s="389" t="e">
        <f>P40*('upper bound Kenaga'!$F$96/100)</f>
        <v>#DIV/0!</v>
      </c>
      <c r="AJ40" s="36"/>
      <c r="AK40" s="36"/>
      <c r="AL40" s="36"/>
      <c r="AM40" s="36"/>
      <c r="AN40" s="36"/>
      <c r="AO40" s="36"/>
    </row>
    <row r="41" spans="1:41" ht="13.5" thickBot="1">
      <c r="B41" s="336"/>
      <c r="C41" s="337">
        <f>C38</f>
        <v>1000</v>
      </c>
      <c r="D41" s="306">
        <f t="shared" si="15"/>
        <v>58.153385883648525</v>
      </c>
      <c r="E41" s="338">
        <f>D41/0.9</f>
        <v>64.614873204053922</v>
      </c>
      <c r="F41" s="306">
        <f t="shared" si="16"/>
        <v>6.461487320405392</v>
      </c>
      <c r="G41" s="339">
        <f t="shared" si="17"/>
        <v>6.4614873204053916E-2</v>
      </c>
      <c r="J41" s="6">
        <f>COUNTIF(K$21:K41,"=yes")</f>
        <v>1</v>
      </c>
      <c r="K41" s="533" t="str">
        <f>IF(LOOKUP(VALUE(M41),INPUTS!$G$6:$G$35)=M41,"yes","no")</f>
        <v>no</v>
      </c>
      <c r="L41" s="533">
        <f>IF(K41="yes",(LOOKUP(J41,INPUTS!$E$6:$E$35,INPUTS!$F$6:$F$35)),0)</f>
        <v>0</v>
      </c>
      <c r="M41" s="135">
        <f t="shared" si="1"/>
        <v>20</v>
      </c>
      <c r="N41" s="135">
        <f t="shared" si="2"/>
        <v>1</v>
      </c>
      <c r="O41" s="135">
        <f t="shared" si="3"/>
        <v>0</v>
      </c>
      <c r="P41" s="536" t="e">
        <f t="shared" si="14"/>
        <v>#DIV/0!</v>
      </c>
      <c r="Q41" s="537" t="e">
        <f t="shared" si="4"/>
        <v>#DIV/0!</v>
      </c>
      <c r="R41" s="538" t="e">
        <f>IF(INPUTS!$B$15="yes",Q41,P41)</f>
        <v>#DIV/0!</v>
      </c>
      <c r="S41" s="536" t="e">
        <f t="shared" si="5"/>
        <v>#DIV/0!</v>
      </c>
      <c r="T41" s="537" t="e">
        <f t="shared" si="6"/>
        <v>#DIV/0!</v>
      </c>
      <c r="U41" s="538" t="e">
        <f>IF(INPUTS!$B$15="yes",T41,S41)</f>
        <v>#DIV/0!</v>
      </c>
      <c r="V41" s="536" t="e">
        <f t="shared" si="7"/>
        <v>#DIV/0!</v>
      </c>
      <c r="W41" s="537" t="e">
        <f t="shared" si="8"/>
        <v>#DIV/0!</v>
      </c>
      <c r="X41" s="538" t="e">
        <f>IF(INPUTS!$B$15="yes",W41,V41)</f>
        <v>#DIV/0!</v>
      </c>
      <c r="Y41" s="536" t="e">
        <f t="shared" si="9"/>
        <v>#DIV/0!</v>
      </c>
      <c r="Z41" s="537" t="e">
        <f t="shared" si="10"/>
        <v>#DIV/0!</v>
      </c>
      <c r="AA41" s="538" t="e">
        <f>IF(INPUTS!$B$15="yes",Z41,Y41)</f>
        <v>#DIV/0!</v>
      </c>
      <c r="AB41" s="536" t="e">
        <f t="shared" si="11"/>
        <v>#DIV/0!</v>
      </c>
      <c r="AC41" s="537" t="e">
        <f t="shared" si="12"/>
        <v>#DIV/0!</v>
      </c>
      <c r="AD41" s="538" t="e">
        <f>IF(INPUTS!$B$15="yes",AC41,AB41)</f>
        <v>#DIV/0!</v>
      </c>
      <c r="AE41" s="36" t="str">
        <f t="shared" si="0"/>
        <v>no</v>
      </c>
      <c r="AF41" s="36"/>
      <c r="AG41" s="389" t="e">
        <f>P41*('upper bound Kenaga'!$F$36/100)</f>
        <v>#DIV/0!</v>
      </c>
      <c r="AH41" s="36"/>
      <c r="AI41" s="389" t="e">
        <f>P41*('upper bound Kenaga'!$F$96/100)</f>
        <v>#DIV/0!</v>
      </c>
      <c r="AJ41" s="36"/>
      <c r="AK41" s="36"/>
      <c r="AL41" s="36"/>
      <c r="AM41" s="36"/>
      <c r="AN41" s="36"/>
      <c r="AO41" s="36"/>
    </row>
    <row r="42" spans="1:41" ht="16.5" customHeight="1">
      <c r="B42" s="448"/>
      <c r="C42" s="448"/>
      <c r="D42" s="353"/>
      <c r="E42" s="353"/>
      <c r="F42" s="398"/>
      <c r="G42" s="449"/>
      <c r="H42" s="6"/>
      <c r="I42" s="25"/>
      <c r="J42" s="6">
        <f>COUNTIF(K$21:K42,"=yes")</f>
        <v>1</v>
      </c>
      <c r="K42" s="533" t="str">
        <f>IF(LOOKUP(VALUE(M42),INPUTS!$G$6:$G$35)=M42,"yes","no")</f>
        <v>no</v>
      </c>
      <c r="L42" s="533">
        <f>IF(K42="yes",(LOOKUP(J42,INPUTS!$E$6:$E$35,INPUTS!$F$6:$F$35)),0)</f>
        <v>0</v>
      </c>
      <c r="M42" s="135">
        <f t="shared" si="1"/>
        <v>21</v>
      </c>
      <c r="N42" s="135">
        <f t="shared" si="2"/>
        <v>1</v>
      </c>
      <c r="O42" s="135">
        <f t="shared" si="3"/>
        <v>0</v>
      </c>
      <c r="P42" s="536" t="e">
        <f t="shared" si="14"/>
        <v>#DIV/0!</v>
      </c>
      <c r="Q42" s="537" t="e">
        <f t="shared" si="4"/>
        <v>#DIV/0!</v>
      </c>
      <c r="R42" s="538" t="e">
        <f>IF(INPUTS!$B$15="yes",Q42,P42)</f>
        <v>#DIV/0!</v>
      </c>
      <c r="S42" s="536" t="e">
        <f t="shared" si="5"/>
        <v>#DIV/0!</v>
      </c>
      <c r="T42" s="537" t="e">
        <f t="shared" si="6"/>
        <v>#DIV/0!</v>
      </c>
      <c r="U42" s="538" t="e">
        <f>IF(INPUTS!$B$15="yes",T42,S42)</f>
        <v>#DIV/0!</v>
      </c>
      <c r="V42" s="536" t="e">
        <f t="shared" si="7"/>
        <v>#DIV/0!</v>
      </c>
      <c r="W42" s="537" t="e">
        <f t="shared" si="8"/>
        <v>#DIV/0!</v>
      </c>
      <c r="X42" s="538" t="e">
        <f>IF(INPUTS!$B$15="yes",W42,V42)</f>
        <v>#DIV/0!</v>
      </c>
      <c r="Y42" s="536" t="e">
        <f t="shared" si="9"/>
        <v>#DIV/0!</v>
      </c>
      <c r="Z42" s="537" t="e">
        <f t="shared" si="10"/>
        <v>#DIV/0!</v>
      </c>
      <c r="AA42" s="538" t="e">
        <f>IF(INPUTS!$B$15="yes",Z42,Y42)</f>
        <v>#DIV/0!</v>
      </c>
      <c r="AB42" s="536" t="e">
        <f t="shared" si="11"/>
        <v>#DIV/0!</v>
      </c>
      <c r="AC42" s="537" t="e">
        <f t="shared" si="12"/>
        <v>#DIV/0!</v>
      </c>
      <c r="AD42" s="538" t="e">
        <f>IF(INPUTS!$B$15="yes",AC42,AB42)</f>
        <v>#DIV/0!</v>
      </c>
      <c r="AE42" s="36"/>
      <c r="AF42" s="36"/>
      <c r="AG42" s="389" t="e">
        <f>P42*('upper bound Kenaga'!$F$36/100)</f>
        <v>#DIV/0!</v>
      </c>
      <c r="AH42" s="36"/>
      <c r="AI42" s="389" t="e">
        <f>P42*('upper bound Kenaga'!$F$96/100)</f>
        <v>#DIV/0!</v>
      </c>
      <c r="AJ42" s="36"/>
      <c r="AK42" s="36"/>
      <c r="AL42" s="36"/>
      <c r="AM42" s="36"/>
      <c r="AN42" s="36"/>
      <c r="AO42" s="36"/>
    </row>
    <row r="43" spans="1:41" ht="24" thickBot="1">
      <c r="B43" s="184" t="str">
        <f>IF(INPUTS!$D$45="","Warning! You Have Failed to Enter a Toxicity Scaling Factor on the Inputs Page","")</f>
        <v/>
      </c>
      <c r="C43" s="36"/>
      <c r="D43" s="134"/>
      <c r="E43" s="36"/>
      <c r="F43" s="135"/>
      <c r="G43" s="135"/>
      <c r="H43" s="6"/>
      <c r="I43" s="25"/>
      <c r="J43" s="6">
        <f>COUNTIF(K$21:K43,"=yes")</f>
        <v>1</v>
      </c>
      <c r="K43" s="533" t="str">
        <f>IF(LOOKUP(VALUE(M43),INPUTS!$G$6:$G$35)=M43,"yes","no")</f>
        <v>no</v>
      </c>
      <c r="L43" s="533">
        <f>IF(K43="yes",(LOOKUP(J43,INPUTS!$E$6:$E$35,INPUTS!$F$6:$F$35)),0)</f>
        <v>0</v>
      </c>
      <c r="M43" s="135">
        <f t="shared" si="1"/>
        <v>22</v>
      </c>
      <c r="N43" s="135">
        <f t="shared" si="2"/>
        <v>1</v>
      </c>
      <c r="O43" s="135">
        <f t="shared" si="3"/>
        <v>0</v>
      </c>
      <c r="P43" s="536" t="e">
        <f t="shared" si="14"/>
        <v>#DIV/0!</v>
      </c>
      <c r="Q43" s="537" t="e">
        <f t="shared" si="4"/>
        <v>#DIV/0!</v>
      </c>
      <c r="R43" s="538" t="e">
        <f>IF(INPUTS!$B$15="yes",Q43,P43)</f>
        <v>#DIV/0!</v>
      </c>
      <c r="S43" s="536" t="e">
        <f t="shared" si="5"/>
        <v>#DIV/0!</v>
      </c>
      <c r="T43" s="537" t="e">
        <f t="shared" si="6"/>
        <v>#DIV/0!</v>
      </c>
      <c r="U43" s="538" t="e">
        <f>IF(INPUTS!$B$15="yes",T43,S43)</f>
        <v>#DIV/0!</v>
      </c>
      <c r="V43" s="536" t="e">
        <f t="shared" si="7"/>
        <v>#DIV/0!</v>
      </c>
      <c r="W43" s="537" t="e">
        <f t="shared" si="8"/>
        <v>#DIV/0!</v>
      </c>
      <c r="X43" s="538" t="e">
        <f>IF(INPUTS!$B$15="yes",W43,V43)</f>
        <v>#DIV/0!</v>
      </c>
      <c r="Y43" s="536" t="e">
        <f t="shared" si="9"/>
        <v>#DIV/0!</v>
      </c>
      <c r="Z43" s="537" t="e">
        <f t="shared" si="10"/>
        <v>#DIV/0!</v>
      </c>
      <c r="AA43" s="538" t="e">
        <f>IF(INPUTS!$B$15="yes",Z43,Y43)</f>
        <v>#DIV/0!</v>
      </c>
      <c r="AB43" s="536" t="e">
        <f t="shared" si="11"/>
        <v>#DIV/0!</v>
      </c>
      <c r="AC43" s="537" t="e">
        <f t="shared" si="12"/>
        <v>#DIV/0!</v>
      </c>
      <c r="AD43" s="538" t="e">
        <f>IF(INPUTS!$B$15="yes",AC43,AB43)</f>
        <v>#DIV/0!</v>
      </c>
      <c r="AE43" s="36" t="str">
        <f t="shared" si="0"/>
        <v>no</v>
      </c>
      <c r="AF43" s="36"/>
      <c r="AG43" s="389" t="e">
        <f>P43*('upper bound Kenaga'!$F$36/100)</f>
        <v>#DIV/0!</v>
      </c>
      <c r="AH43" s="36"/>
      <c r="AI43" s="389" t="e">
        <f>P43*('upper bound Kenaga'!$F$96/100)</f>
        <v>#DIV/0!</v>
      </c>
      <c r="AJ43" s="36"/>
      <c r="AK43" s="36"/>
      <c r="AL43" s="36"/>
      <c r="AM43" s="36"/>
      <c r="AN43" s="36"/>
      <c r="AO43" s="36"/>
    </row>
    <row r="44" spans="1:41">
      <c r="B44" s="314" t="s">
        <v>209</v>
      </c>
      <c r="C44" s="320" t="s">
        <v>139</v>
      </c>
      <c r="D44" s="177"/>
      <c r="E44" s="36"/>
      <c r="F44" s="36"/>
      <c r="G44" s="36"/>
      <c r="I44" s="25"/>
      <c r="J44" s="6">
        <f>COUNTIF(K$21:K44,"=yes")</f>
        <v>1</v>
      </c>
      <c r="K44" s="533" t="str">
        <f>IF(LOOKUP(VALUE(M44),INPUTS!$G$6:$G$35)=M44,"yes","no")</f>
        <v>no</v>
      </c>
      <c r="L44" s="533">
        <f>IF(K44="yes",(LOOKUP(J44,INPUTS!$E$6:$E$35,INPUTS!$F$6:$F$35)),0)</f>
        <v>0</v>
      </c>
      <c r="M44" s="135">
        <f t="shared" si="1"/>
        <v>23</v>
      </c>
      <c r="N44" s="135">
        <f t="shared" si="2"/>
        <v>1</v>
      </c>
      <c r="O44" s="135">
        <f t="shared" si="3"/>
        <v>0</v>
      </c>
      <c r="P44" s="536" t="e">
        <f t="shared" si="14"/>
        <v>#DIV/0!</v>
      </c>
      <c r="Q44" s="537" t="e">
        <f t="shared" si="4"/>
        <v>#DIV/0!</v>
      </c>
      <c r="R44" s="538" t="e">
        <f>IF(INPUTS!$B$15="yes",Q44,P44)</f>
        <v>#DIV/0!</v>
      </c>
      <c r="S44" s="536" t="e">
        <f t="shared" si="5"/>
        <v>#DIV/0!</v>
      </c>
      <c r="T44" s="537" t="e">
        <f t="shared" si="6"/>
        <v>#DIV/0!</v>
      </c>
      <c r="U44" s="538" t="e">
        <f>IF(INPUTS!$B$15="yes",T44,S44)</f>
        <v>#DIV/0!</v>
      </c>
      <c r="V44" s="536" t="e">
        <f t="shared" si="7"/>
        <v>#DIV/0!</v>
      </c>
      <c r="W44" s="537" t="e">
        <f t="shared" si="8"/>
        <v>#DIV/0!</v>
      </c>
      <c r="X44" s="538" t="e">
        <f>IF(INPUTS!$B$15="yes",W44,V44)</f>
        <v>#DIV/0!</v>
      </c>
      <c r="Y44" s="536" t="e">
        <f t="shared" si="9"/>
        <v>#DIV/0!</v>
      </c>
      <c r="Z44" s="537" t="e">
        <f t="shared" si="10"/>
        <v>#DIV/0!</v>
      </c>
      <c r="AA44" s="538" t="e">
        <f>IF(INPUTS!$B$15="yes",Z44,Y44)</f>
        <v>#DIV/0!</v>
      </c>
      <c r="AB44" s="536" t="e">
        <f t="shared" si="11"/>
        <v>#DIV/0!</v>
      </c>
      <c r="AC44" s="537" t="e">
        <f t="shared" si="12"/>
        <v>#DIV/0!</v>
      </c>
      <c r="AD44" s="538" t="e">
        <f>IF(INPUTS!$B$15="yes",AC44,AB44)</f>
        <v>#DIV/0!</v>
      </c>
      <c r="AE44" s="36" t="str">
        <f t="shared" si="0"/>
        <v>no</v>
      </c>
      <c r="AF44" s="36"/>
      <c r="AG44" s="389" t="e">
        <f>P44*('upper bound Kenaga'!$F$36/100)</f>
        <v>#DIV/0!</v>
      </c>
      <c r="AH44" s="36"/>
      <c r="AI44" s="389" t="e">
        <f>P44*('upper bound Kenaga'!$F$96/100)</f>
        <v>#DIV/0!</v>
      </c>
      <c r="AJ44" s="36"/>
      <c r="AK44" s="36"/>
      <c r="AL44" s="36"/>
      <c r="AM44" s="36"/>
      <c r="AN44" s="36"/>
      <c r="AO44" s="36"/>
    </row>
    <row r="45" spans="1:41" ht="15">
      <c r="B45" s="317" t="s">
        <v>118</v>
      </c>
      <c r="C45" s="321" t="s">
        <v>215</v>
      </c>
      <c r="D45" s="181"/>
      <c r="E45" s="180"/>
      <c r="F45" s="36"/>
      <c r="G45" s="36"/>
      <c r="J45" s="6">
        <f>COUNTIF(K$21:K45,"=yes")</f>
        <v>1</v>
      </c>
      <c r="K45" s="533" t="str">
        <f>IF(LOOKUP(VALUE(M45),INPUTS!$G$6:$G$35)=M45,"yes","no")</f>
        <v>no</v>
      </c>
      <c r="L45" s="533">
        <f>IF(K45="yes",(LOOKUP(J45,INPUTS!$E$6:$E$35,INPUTS!$F$6:$F$35)),0)</f>
        <v>0</v>
      </c>
      <c r="M45" s="135">
        <f t="shared" si="1"/>
        <v>24</v>
      </c>
      <c r="N45" s="135">
        <f t="shared" si="2"/>
        <v>1</v>
      </c>
      <c r="O45" s="135">
        <f t="shared" si="3"/>
        <v>0</v>
      </c>
      <c r="P45" s="536" t="e">
        <f t="shared" si="14"/>
        <v>#DIV/0!</v>
      </c>
      <c r="Q45" s="537" t="e">
        <f t="shared" si="4"/>
        <v>#DIV/0!</v>
      </c>
      <c r="R45" s="538" t="e">
        <f>IF(INPUTS!$B$15="yes",Q45,P45)</f>
        <v>#DIV/0!</v>
      </c>
      <c r="S45" s="536" t="e">
        <f t="shared" si="5"/>
        <v>#DIV/0!</v>
      </c>
      <c r="T45" s="537" t="e">
        <f t="shared" si="6"/>
        <v>#DIV/0!</v>
      </c>
      <c r="U45" s="538" t="e">
        <f>IF(INPUTS!$B$15="yes",T45,S45)</f>
        <v>#DIV/0!</v>
      </c>
      <c r="V45" s="536" t="e">
        <f t="shared" si="7"/>
        <v>#DIV/0!</v>
      </c>
      <c r="W45" s="537" t="e">
        <f t="shared" si="8"/>
        <v>#DIV/0!</v>
      </c>
      <c r="X45" s="538" t="e">
        <f>IF(INPUTS!$B$15="yes",W45,V45)</f>
        <v>#DIV/0!</v>
      </c>
      <c r="Y45" s="536" t="e">
        <f t="shared" si="9"/>
        <v>#DIV/0!</v>
      </c>
      <c r="Z45" s="537" t="e">
        <f t="shared" si="10"/>
        <v>#DIV/0!</v>
      </c>
      <c r="AA45" s="538" t="e">
        <f>IF(INPUTS!$B$15="yes",Z45,Y45)</f>
        <v>#DIV/0!</v>
      </c>
      <c r="AB45" s="536" t="e">
        <f t="shared" si="11"/>
        <v>#DIV/0!</v>
      </c>
      <c r="AC45" s="537" t="e">
        <f t="shared" si="12"/>
        <v>#DIV/0!</v>
      </c>
      <c r="AD45" s="538" t="e">
        <f>IF(INPUTS!$B$15="yes",AC45,AB45)</f>
        <v>#DIV/0!</v>
      </c>
      <c r="AE45" s="36" t="str">
        <f t="shared" si="0"/>
        <v>no</v>
      </c>
      <c r="AF45" s="36"/>
      <c r="AG45" s="389" t="e">
        <f>P45*('upper bound Kenaga'!$F$36/100)</f>
        <v>#DIV/0!</v>
      </c>
      <c r="AH45" s="36"/>
      <c r="AI45" s="389" t="e">
        <f>P45*('upper bound Kenaga'!$F$96/100)</f>
        <v>#DIV/0!</v>
      </c>
      <c r="AJ45" s="36"/>
      <c r="AK45" s="36"/>
      <c r="AL45" s="36"/>
      <c r="AM45" s="36"/>
      <c r="AN45" s="36"/>
      <c r="AO45" s="36"/>
    </row>
    <row r="46" spans="1:41">
      <c r="B46" s="370">
        <f>C36</f>
        <v>20</v>
      </c>
      <c r="C46" s="309">
        <f>+IF(INPUTS!$D$41=3,(($D$15)*((C36/INPUTS!$F$41)^(INPUTS!$D$45-1))),IF(INPUTS!$D$41=1,(($D$15)*((C36/178)^(INPUTS!$D$45-1))),(($D$15)*((C36/1580)^(INPUTS!$D$45-1)))))</f>
        <v>0</v>
      </c>
      <c r="D46" s="178"/>
      <c r="E46" s="154" t="str">
        <f>IF(INPUTS!$F$41=0,"",IF(INPUTS!$D$41&lt;3,"NOTE:Toxicity adjustments not based on standard assumed test animal body weight",""))</f>
        <v/>
      </c>
      <c r="F46" s="36"/>
      <c r="G46" s="36"/>
      <c r="J46" s="6">
        <f>COUNTIF(K$21:K46,"=yes")</f>
        <v>1</v>
      </c>
      <c r="K46" s="533" t="str">
        <f>IF(LOOKUP(VALUE(M46),INPUTS!$G$6:$G$35)=M46,"yes","no")</f>
        <v>no</v>
      </c>
      <c r="L46" s="533">
        <f>IF(K46="yes",(LOOKUP(J46,INPUTS!$E$6:$E$35,INPUTS!$F$6:$F$35)),0)</f>
        <v>0</v>
      </c>
      <c r="M46" s="135">
        <f t="shared" si="1"/>
        <v>25</v>
      </c>
      <c r="N46" s="135">
        <f t="shared" si="2"/>
        <v>1</v>
      </c>
      <c r="O46" s="135">
        <f t="shared" si="3"/>
        <v>0</v>
      </c>
      <c r="P46" s="536" t="e">
        <f t="shared" si="14"/>
        <v>#DIV/0!</v>
      </c>
      <c r="Q46" s="537" t="e">
        <f t="shared" si="4"/>
        <v>#DIV/0!</v>
      </c>
      <c r="R46" s="538" t="e">
        <f>IF(INPUTS!$B$15="yes",Q46,P46)</f>
        <v>#DIV/0!</v>
      </c>
      <c r="S46" s="536" t="e">
        <f t="shared" si="5"/>
        <v>#DIV/0!</v>
      </c>
      <c r="T46" s="537" t="e">
        <f t="shared" si="6"/>
        <v>#DIV/0!</v>
      </c>
      <c r="U46" s="538" t="e">
        <f>IF(INPUTS!$B$15="yes",T46,S46)</f>
        <v>#DIV/0!</v>
      </c>
      <c r="V46" s="536" t="e">
        <f t="shared" si="7"/>
        <v>#DIV/0!</v>
      </c>
      <c r="W46" s="537" t="e">
        <f t="shared" si="8"/>
        <v>#DIV/0!</v>
      </c>
      <c r="X46" s="538" t="e">
        <f>IF(INPUTS!$B$15="yes",W46,V46)</f>
        <v>#DIV/0!</v>
      </c>
      <c r="Y46" s="536" t="e">
        <f t="shared" si="9"/>
        <v>#DIV/0!</v>
      </c>
      <c r="Z46" s="537" t="e">
        <f t="shared" si="10"/>
        <v>#DIV/0!</v>
      </c>
      <c r="AA46" s="538" t="e">
        <f>IF(INPUTS!$B$15="yes",Z46,Y46)</f>
        <v>#DIV/0!</v>
      </c>
      <c r="AB46" s="536" t="e">
        <f t="shared" si="11"/>
        <v>#DIV/0!</v>
      </c>
      <c r="AC46" s="537" t="e">
        <f t="shared" si="12"/>
        <v>#DIV/0!</v>
      </c>
      <c r="AD46" s="538" t="e">
        <f>IF(INPUTS!$B$15="yes",AC46,AB46)</f>
        <v>#DIV/0!</v>
      </c>
      <c r="AE46" s="36" t="str">
        <f t="shared" si="0"/>
        <v>no</v>
      </c>
      <c r="AF46" s="36"/>
      <c r="AG46" s="389" t="e">
        <f>P46*('upper bound Kenaga'!$F$36/100)</f>
        <v>#DIV/0!</v>
      </c>
      <c r="AH46" s="36"/>
      <c r="AI46" s="389" t="e">
        <f>P46*('upper bound Kenaga'!$F$96/100)</f>
        <v>#DIV/0!</v>
      </c>
      <c r="AJ46" s="36"/>
      <c r="AK46" s="36"/>
      <c r="AL46" s="36"/>
      <c r="AM46" s="36"/>
      <c r="AN46" s="36"/>
      <c r="AO46" s="36"/>
    </row>
    <row r="47" spans="1:41">
      <c r="B47" s="370">
        <f>C37</f>
        <v>100</v>
      </c>
      <c r="C47" s="309">
        <f>+IF(INPUTS!$D$41=3,(($D$15)*((C37/INPUTS!$F$41)^(INPUTS!$D$45-1))),IF(INPUTS!$D$41=1,(($D$15)*((C37/178)^(INPUTS!$D$45-1))),(($D$15)*((C37/1580)^(INPUTS!$D$45-1)))))</f>
        <v>0</v>
      </c>
      <c r="D47" s="178"/>
      <c r="E47" s="154" t="str">
        <f>IF(INPUTS!$F$41=0,"",IF(INPUTS!$D$41&lt;3,"NOTE:Toxicity adjustments not based on standard assumed test animal body weight",""))</f>
        <v/>
      </c>
      <c r="F47" s="36"/>
      <c r="G47" s="36"/>
      <c r="J47" s="6">
        <f>COUNTIF(K$21:K47,"=yes")</f>
        <v>1</v>
      </c>
      <c r="K47" s="533" t="str">
        <f>IF(LOOKUP(VALUE(M47),INPUTS!$G$6:$G$35)=M47,"yes","no")</f>
        <v>no</v>
      </c>
      <c r="L47" s="533">
        <f>IF(K47="yes",(LOOKUP(J47,INPUTS!$E$6:$E$35,INPUTS!$F$6:$F$35)),0)</f>
        <v>0</v>
      </c>
      <c r="M47" s="135">
        <f t="shared" si="1"/>
        <v>26</v>
      </c>
      <c r="N47" s="135">
        <f t="shared" si="2"/>
        <v>1</v>
      </c>
      <c r="O47" s="135">
        <f t="shared" si="3"/>
        <v>0</v>
      </c>
      <c r="P47" s="536" t="e">
        <f t="shared" si="14"/>
        <v>#DIV/0!</v>
      </c>
      <c r="Q47" s="537" t="e">
        <f t="shared" si="4"/>
        <v>#DIV/0!</v>
      </c>
      <c r="R47" s="538" t="e">
        <f>IF(INPUTS!$B$15="yes",Q47,P47)</f>
        <v>#DIV/0!</v>
      </c>
      <c r="S47" s="536" t="e">
        <f t="shared" si="5"/>
        <v>#DIV/0!</v>
      </c>
      <c r="T47" s="537" t="e">
        <f t="shared" si="6"/>
        <v>#DIV/0!</v>
      </c>
      <c r="U47" s="538" t="e">
        <f>IF(INPUTS!$B$15="yes",T47,S47)</f>
        <v>#DIV/0!</v>
      </c>
      <c r="V47" s="536" t="e">
        <f t="shared" si="7"/>
        <v>#DIV/0!</v>
      </c>
      <c r="W47" s="537" t="e">
        <f t="shared" si="8"/>
        <v>#DIV/0!</v>
      </c>
      <c r="X47" s="538" t="e">
        <f>IF(INPUTS!$B$15="yes",W47,V47)</f>
        <v>#DIV/0!</v>
      </c>
      <c r="Y47" s="536" t="e">
        <f t="shared" si="9"/>
        <v>#DIV/0!</v>
      </c>
      <c r="Z47" s="537" t="e">
        <f t="shared" si="10"/>
        <v>#DIV/0!</v>
      </c>
      <c r="AA47" s="538" t="e">
        <f>IF(INPUTS!$B$15="yes",Z47,Y47)</f>
        <v>#DIV/0!</v>
      </c>
      <c r="AB47" s="536" t="e">
        <f t="shared" si="11"/>
        <v>#DIV/0!</v>
      </c>
      <c r="AC47" s="537" t="e">
        <f t="shared" si="12"/>
        <v>#DIV/0!</v>
      </c>
      <c r="AD47" s="538" t="e">
        <f>IF(INPUTS!$B$15="yes",AC47,AB47)</f>
        <v>#DIV/0!</v>
      </c>
      <c r="AE47" s="36" t="str">
        <f t="shared" si="0"/>
        <v>no</v>
      </c>
      <c r="AF47" s="36"/>
      <c r="AG47" s="389" t="e">
        <f>P47*('upper bound Kenaga'!$F$36/100)</f>
        <v>#DIV/0!</v>
      </c>
      <c r="AH47" s="36"/>
      <c r="AI47" s="389" t="e">
        <f>P47*('upper bound Kenaga'!$F$96/100)</f>
        <v>#DIV/0!</v>
      </c>
      <c r="AJ47" s="36"/>
      <c r="AK47" s="36"/>
      <c r="AL47" s="36"/>
      <c r="AM47" s="36"/>
      <c r="AN47" s="36"/>
      <c r="AO47" s="36"/>
    </row>
    <row r="48" spans="1:41" ht="13.5" thickBot="1">
      <c r="B48" s="304">
        <f>C38</f>
        <v>1000</v>
      </c>
      <c r="C48" s="310">
        <f>+IF(INPUTS!$D$41=3,(($D$15)*((C38/INPUTS!$F$41)^(INPUTS!$D$45-1))),IF(INPUTS!$D$41=1,(($D$15)*((C38/178)^(INPUTS!$D$45-1))),(($D$15)*((C38/1580)^(INPUTS!$D$45-1)))))</f>
        <v>0</v>
      </c>
      <c r="D48" s="178"/>
      <c r="E48" s="154" t="str">
        <f>IF(INPUTS!$F$41=0,"",IF(INPUTS!$D$41&lt;3,"NOTE:Toxicity adjustments not based on standard assumed test animal body weight",""))</f>
        <v/>
      </c>
      <c r="F48" s="36"/>
      <c r="G48" s="36"/>
      <c r="J48" s="6">
        <f>COUNTIF(K$21:K48,"=yes")</f>
        <v>1</v>
      </c>
      <c r="K48" s="533" t="str">
        <f>IF(LOOKUP(VALUE(M48),INPUTS!$G$6:$G$35)=M48,"yes","no")</f>
        <v>no</v>
      </c>
      <c r="L48" s="533">
        <f>IF(K48="yes",(LOOKUP(J48,INPUTS!$E$6:$E$35,INPUTS!$F$6:$F$35)),0)</f>
        <v>0</v>
      </c>
      <c r="M48" s="135">
        <f t="shared" si="1"/>
        <v>27</v>
      </c>
      <c r="N48" s="135">
        <f t="shared" si="2"/>
        <v>1</v>
      </c>
      <c r="O48" s="135">
        <f t="shared" si="3"/>
        <v>0</v>
      </c>
      <c r="P48" s="536" t="e">
        <f t="shared" si="14"/>
        <v>#DIV/0!</v>
      </c>
      <c r="Q48" s="537" t="e">
        <f t="shared" si="4"/>
        <v>#DIV/0!</v>
      </c>
      <c r="R48" s="538" t="e">
        <f>IF(INPUTS!$B$15="yes",Q48,P48)</f>
        <v>#DIV/0!</v>
      </c>
      <c r="S48" s="536" t="e">
        <f t="shared" si="5"/>
        <v>#DIV/0!</v>
      </c>
      <c r="T48" s="537" t="e">
        <f t="shared" si="6"/>
        <v>#DIV/0!</v>
      </c>
      <c r="U48" s="538" t="e">
        <f>IF(INPUTS!$B$15="yes",T48,S48)</f>
        <v>#DIV/0!</v>
      </c>
      <c r="V48" s="536" t="e">
        <f t="shared" si="7"/>
        <v>#DIV/0!</v>
      </c>
      <c r="W48" s="537" t="e">
        <f t="shared" si="8"/>
        <v>#DIV/0!</v>
      </c>
      <c r="X48" s="538" t="e">
        <f>IF(INPUTS!$B$15="yes",W48,V48)</f>
        <v>#DIV/0!</v>
      </c>
      <c r="Y48" s="536" t="e">
        <f t="shared" si="9"/>
        <v>#DIV/0!</v>
      </c>
      <c r="Z48" s="537" t="e">
        <f t="shared" si="10"/>
        <v>#DIV/0!</v>
      </c>
      <c r="AA48" s="538" t="e">
        <f>IF(INPUTS!$B$15="yes",Z48,Y48)</f>
        <v>#DIV/0!</v>
      </c>
      <c r="AB48" s="536" t="e">
        <f t="shared" si="11"/>
        <v>#DIV/0!</v>
      </c>
      <c r="AC48" s="537" t="e">
        <f t="shared" si="12"/>
        <v>#DIV/0!</v>
      </c>
      <c r="AD48" s="538" t="e">
        <f>IF(INPUTS!$B$15="yes",AC48,AB48)</f>
        <v>#DIV/0!</v>
      </c>
      <c r="AE48" s="36" t="str">
        <f t="shared" si="0"/>
        <v>no</v>
      </c>
      <c r="AF48" s="36"/>
      <c r="AG48" s="389" t="e">
        <f>P48*('upper bound Kenaga'!$F$36/100)</f>
        <v>#DIV/0!</v>
      </c>
      <c r="AH48" s="36"/>
      <c r="AI48" s="389" t="e">
        <f>P48*('upper bound Kenaga'!$F$96/100)</f>
        <v>#DIV/0!</v>
      </c>
      <c r="AJ48" s="36"/>
      <c r="AK48" s="36"/>
      <c r="AL48" s="36"/>
      <c r="AM48" s="36"/>
      <c r="AN48" s="36"/>
      <c r="AO48" s="36"/>
    </row>
    <row r="49" spans="1:41" ht="13.5" thickBot="1">
      <c r="F49" s="23"/>
      <c r="G49" s="23"/>
      <c r="J49" s="6">
        <f>COUNTIF(K$21:K49,"=yes")</f>
        <v>1</v>
      </c>
      <c r="K49" s="533" t="str">
        <f>IF(LOOKUP(VALUE(M49),INPUTS!$G$6:$G$35)=M49,"yes","no")</f>
        <v>no</v>
      </c>
      <c r="L49" s="533">
        <f>IF(K49="yes",(LOOKUP(J49,INPUTS!$E$6:$E$35,INPUTS!$F$6:$F$35)),0)</f>
        <v>0</v>
      </c>
      <c r="M49" s="135">
        <f t="shared" si="1"/>
        <v>28</v>
      </c>
      <c r="N49" s="135">
        <f t="shared" si="2"/>
        <v>1</v>
      </c>
      <c r="O49" s="135">
        <f t="shared" si="3"/>
        <v>0</v>
      </c>
      <c r="P49" s="536" t="e">
        <f t="shared" si="14"/>
        <v>#DIV/0!</v>
      </c>
      <c r="Q49" s="537" t="e">
        <f t="shared" si="4"/>
        <v>#DIV/0!</v>
      </c>
      <c r="R49" s="538" t="e">
        <f>IF(INPUTS!$B$15="yes",Q49,P49)</f>
        <v>#DIV/0!</v>
      </c>
      <c r="S49" s="536" t="e">
        <f t="shared" si="5"/>
        <v>#DIV/0!</v>
      </c>
      <c r="T49" s="537" t="e">
        <f t="shared" si="6"/>
        <v>#DIV/0!</v>
      </c>
      <c r="U49" s="538" t="e">
        <f>IF(INPUTS!$B$15="yes",T49,S49)</f>
        <v>#DIV/0!</v>
      </c>
      <c r="V49" s="536" t="e">
        <f t="shared" si="7"/>
        <v>#DIV/0!</v>
      </c>
      <c r="W49" s="537" t="e">
        <f t="shared" si="8"/>
        <v>#DIV/0!</v>
      </c>
      <c r="X49" s="538" t="e">
        <f>IF(INPUTS!$B$15="yes",W49,V49)</f>
        <v>#DIV/0!</v>
      </c>
      <c r="Y49" s="536" t="e">
        <f t="shared" si="9"/>
        <v>#DIV/0!</v>
      </c>
      <c r="Z49" s="537" t="e">
        <f t="shared" si="10"/>
        <v>#DIV/0!</v>
      </c>
      <c r="AA49" s="538" t="e">
        <f>IF(INPUTS!$B$15="yes",Z49,Y49)</f>
        <v>#DIV/0!</v>
      </c>
      <c r="AB49" s="536" t="e">
        <f t="shared" si="11"/>
        <v>#DIV/0!</v>
      </c>
      <c r="AC49" s="537" t="e">
        <f t="shared" si="12"/>
        <v>#DIV/0!</v>
      </c>
      <c r="AD49" s="538" t="e">
        <f>IF(INPUTS!$B$15="yes",AC49,AB49)</f>
        <v>#DIV/0!</v>
      </c>
      <c r="AE49" s="36" t="str">
        <f t="shared" si="0"/>
        <v>no</v>
      </c>
      <c r="AF49" s="36"/>
      <c r="AG49" s="389" t="e">
        <f>P49*('upper bound Kenaga'!$F$36/100)</f>
        <v>#DIV/0!</v>
      </c>
      <c r="AH49" s="36"/>
      <c r="AI49" s="389" t="e">
        <f>P49*('upper bound Kenaga'!$F$96/100)</f>
        <v>#DIV/0!</v>
      </c>
      <c r="AJ49" s="36"/>
      <c r="AK49" s="36"/>
      <c r="AL49" s="36"/>
      <c r="AM49" s="36"/>
      <c r="AN49" s="36"/>
      <c r="AO49" s="36"/>
    </row>
    <row r="50" spans="1:41">
      <c r="A50" s="895" t="s">
        <v>275</v>
      </c>
      <c r="B50" s="904" t="s">
        <v>361</v>
      </c>
      <c r="C50" s="905"/>
      <c r="D50" s="906"/>
      <c r="E50" s="570"/>
      <c r="F50" s="570"/>
      <c r="G50" s="570"/>
      <c r="J50" s="6">
        <f>COUNTIF(K$21:K50,"=yes")</f>
        <v>1</v>
      </c>
      <c r="K50" s="533" t="str">
        <f>IF(LOOKUP(VALUE(M50),INPUTS!$G$6:$G$35)=M50,"yes","no")</f>
        <v>no</v>
      </c>
      <c r="L50" s="533">
        <f>IF(K50="yes",(LOOKUP(J50,INPUTS!$E$6:$E$35,INPUTS!$F$6:$F$35)),0)</f>
        <v>0</v>
      </c>
      <c r="M50" s="135">
        <f t="shared" si="1"/>
        <v>29</v>
      </c>
      <c r="N50" s="135">
        <f t="shared" si="2"/>
        <v>1</v>
      </c>
      <c r="O50" s="135">
        <f t="shared" si="3"/>
        <v>0</v>
      </c>
      <c r="P50" s="536" t="e">
        <f t="shared" si="14"/>
        <v>#DIV/0!</v>
      </c>
      <c r="Q50" s="537" t="e">
        <f t="shared" si="4"/>
        <v>#DIV/0!</v>
      </c>
      <c r="R50" s="538" t="e">
        <f>IF(INPUTS!$B$15="yes",Q50,P50)</f>
        <v>#DIV/0!</v>
      </c>
      <c r="S50" s="536" t="e">
        <f t="shared" si="5"/>
        <v>#DIV/0!</v>
      </c>
      <c r="T50" s="537" t="e">
        <f t="shared" si="6"/>
        <v>#DIV/0!</v>
      </c>
      <c r="U50" s="538" t="e">
        <f>IF(INPUTS!$B$15="yes",T50,S50)</f>
        <v>#DIV/0!</v>
      </c>
      <c r="V50" s="536" t="e">
        <f t="shared" si="7"/>
        <v>#DIV/0!</v>
      </c>
      <c r="W50" s="537" t="e">
        <f t="shared" si="8"/>
        <v>#DIV/0!</v>
      </c>
      <c r="X50" s="538" t="e">
        <f>IF(INPUTS!$B$15="yes",W50,V50)</f>
        <v>#DIV/0!</v>
      </c>
      <c r="Y50" s="536" t="e">
        <f t="shared" si="9"/>
        <v>#DIV/0!</v>
      </c>
      <c r="Z50" s="537" t="e">
        <f t="shared" si="10"/>
        <v>#DIV/0!</v>
      </c>
      <c r="AA50" s="538" t="e">
        <f>IF(INPUTS!$B$15="yes",Z50,Y50)</f>
        <v>#DIV/0!</v>
      </c>
      <c r="AB50" s="536" t="e">
        <f t="shared" si="11"/>
        <v>#DIV/0!</v>
      </c>
      <c r="AC50" s="537" t="e">
        <f t="shared" si="12"/>
        <v>#DIV/0!</v>
      </c>
      <c r="AD50" s="538" t="e">
        <f>IF(INPUTS!$B$15="yes",AC50,AB50)</f>
        <v>#DIV/0!</v>
      </c>
      <c r="AE50" s="36" t="str">
        <f t="shared" si="0"/>
        <v>no</v>
      </c>
      <c r="AF50" s="36"/>
      <c r="AG50" s="389" t="e">
        <f>P50*('upper bound Kenaga'!$F$36/100)</f>
        <v>#DIV/0!</v>
      </c>
      <c r="AH50" s="36"/>
      <c r="AI50" s="389" t="e">
        <f>P50*('upper bound Kenaga'!$F$96/100)</f>
        <v>#DIV/0!</v>
      </c>
      <c r="AJ50" s="36"/>
      <c r="AK50" s="36"/>
      <c r="AL50" s="36"/>
      <c r="AM50" s="36"/>
      <c r="AN50" s="36"/>
      <c r="AO50" s="36"/>
    </row>
    <row r="51" spans="1:41">
      <c r="A51" s="896"/>
      <c r="B51" s="573" t="s">
        <v>54</v>
      </c>
      <c r="C51" s="574" t="s">
        <v>55</v>
      </c>
      <c r="D51" s="575" t="s">
        <v>56</v>
      </c>
      <c r="E51" s="893"/>
      <c r="F51" s="894"/>
      <c r="G51" s="894"/>
      <c r="J51" s="6">
        <f>COUNTIF(K$21:K51,"=yes")</f>
        <v>1</v>
      </c>
      <c r="K51" s="533" t="str">
        <f>IF(LOOKUP(VALUE(M51),INPUTS!$G$6:$G$35)=M51,"yes","no")</f>
        <v>no</v>
      </c>
      <c r="L51" s="533">
        <f>IF(K51="yes",(LOOKUP(J51,INPUTS!$E$6:$E$35,INPUTS!$F$6:$F$35)),0)</f>
        <v>0</v>
      </c>
      <c r="M51" s="135">
        <f t="shared" si="1"/>
        <v>30</v>
      </c>
      <c r="N51" s="135">
        <f t="shared" si="2"/>
        <v>1</v>
      </c>
      <c r="O51" s="135">
        <f t="shared" si="3"/>
        <v>0</v>
      </c>
      <c r="P51" s="536" t="e">
        <f t="shared" si="14"/>
        <v>#DIV/0!</v>
      </c>
      <c r="Q51" s="537" t="e">
        <f t="shared" si="4"/>
        <v>#DIV/0!</v>
      </c>
      <c r="R51" s="538" t="e">
        <f>IF(INPUTS!$B$15="yes",Q51,P51)</f>
        <v>#DIV/0!</v>
      </c>
      <c r="S51" s="536" t="e">
        <f t="shared" si="5"/>
        <v>#DIV/0!</v>
      </c>
      <c r="T51" s="537" t="e">
        <f t="shared" si="6"/>
        <v>#DIV/0!</v>
      </c>
      <c r="U51" s="538" t="e">
        <f>IF(INPUTS!$B$15="yes",T51,S51)</f>
        <v>#DIV/0!</v>
      </c>
      <c r="V51" s="536" t="e">
        <f t="shared" si="7"/>
        <v>#DIV/0!</v>
      </c>
      <c r="W51" s="537" t="e">
        <f t="shared" si="8"/>
        <v>#DIV/0!</v>
      </c>
      <c r="X51" s="538" t="e">
        <f>IF(INPUTS!$B$15="yes",W51,V51)</f>
        <v>#DIV/0!</v>
      </c>
      <c r="Y51" s="536" t="e">
        <f t="shared" si="9"/>
        <v>#DIV/0!</v>
      </c>
      <c r="Z51" s="537" t="e">
        <f t="shared" si="10"/>
        <v>#DIV/0!</v>
      </c>
      <c r="AA51" s="538" t="e">
        <f>IF(INPUTS!$B$15="yes",Z51,Y51)</f>
        <v>#DIV/0!</v>
      </c>
      <c r="AB51" s="536" t="e">
        <f t="shared" si="11"/>
        <v>#DIV/0!</v>
      </c>
      <c r="AC51" s="537" t="e">
        <f t="shared" si="12"/>
        <v>#DIV/0!</v>
      </c>
      <c r="AD51" s="538" t="e">
        <f>IF(INPUTS!$B$15="yes",AC51,AB51)</f>
        <v>#DIV/0!</v>
      </c>
      <c r="AE51" s="36" t="str">
        <f t="shared" si="0"/>
        <v>no</v>
      </c>
      <c r="AF51" s="36"/>
      <c r="AG51" s="389" t="e">
        <f>P51*('upper bound Kenaga'!$F$36/100)</f>
        <v>#DIV/0!</v>
      </c>
      <c r="AH51" s="36"/>
      <c r="AI51" s="389" t="e">
        <f>P51*('upper bound Kenaga'!$F$96/100)</f>
        <v>#DIV/0!</v>
      </c>
      <c r="AJ51" s="36"/>
      <c r="AK51" s="36"/>
      <c r="AL51" s="36"/>
      <c r="AM51" s="36"/>
      <c r="AN51" s="36"/>
      <c r="AO51" s="36"/>
    </row>
    <row r="52" spans="1:41" ht="13.5" customHeight="1" thickBot="1">
      <c r="A52" s="897"/>
      <c r="B52" s="588">
        <f>C36</f>
        <v>20</v>
      </c>
      <c r="C52" s="588">
        <f>C37</f>
        <v>100</v>
      </c>
      <c r="D52" s="589">
        <f>C38</f>
        <v>1000</v>
      </c>
      <c r="E52" s="571"/>
      <c r="F52" s="571"/>
      <c r="G52" s="571"/>
      <c r="J52" s="6">
        <f>COUNTIF(K$21:K52,"=yes")</f>
        <v>1</v>
      </c>
      <c r="K52" s="533" t="str">
        <f>IF(LOOKUP(VALUE(M52),INPUTS!$G$6:$G$35)=M52,"yes","no")</f>
        <v>no</v>
      </c>
      <c r="L52" s="533">
        <f>IF(K52="yes",(LOOKUP(J52,INPUTS!$E$6:$E$35,INPUTS!$F$6:$F$35)),0)</f>
        <v>0</v>
      </c>
      <c r="M52" s="135">
        <f t="shared" si="1"/>
        <v>31</v>
      </c>
      <c r="N52" s="135">
        <f t="shared" si="2"/>
        <v>1</v>
      </c>
      <c r="O52" s="135">
        <f t="shared" si="3"/>
        <v>0</v>
      </c>
      <c r="P52" s="536" t="e">
        <f t="shared" si="14"/>
        <v>#DIV/0!</v>
      </c>
      <c r="Q52" s="537" t="e">
        <f t="shared" si="4"/>
        <v>#DIV/0!</v>
      </c>
      <c r="R52" s="538" t="e">
        <f>IF(INPUTS!$B$15="yes",Q52,P52)</f>
        <v>#DIV/0!</v>
      </c>
      <c r="S52" s="536" t="e">
        <f t="shared" si="5"/>
        <v>#DIV/0!</v>
      </c>
      <c r="T52" s="537" t="e">
        <f t="shared" si="6"/>
        <v>#DIV/0!</v>
      </c>
      <c r="U52" s="538" t="e">
        <f>IF(INPUTS!$B$15="yes",T52,S52)</f>
        <v>#DIV/0!</v>
      </c>
      <c r="V52" s="536" t="e">
        <f t="shared" si="7"/>
        <v>#DIV/0!</v>
      </c>
      <c r="W52" s="537" t="e">
        <f t="shared" si="8"/>
        <v>#DIV/0!</v>
      </c>
      <c r="X52" s="538" t="e">
        <f>IF(INPUTS!$B$15="yes",W52,V52)</f>
        <v>#DIV/0!</v>
      </c>
      <c r="Y52" s="536" t="e">
        <f t="shared" si="9"/>
        <v>#DIV/0!</v>
      </c>
      <c r="Z52" s="537" t="e">
        <f t="shared" si="10"/>
        <v>#DIV/0!</v>
      </c>
      <c r="AA52" s="538" t="e">
        <f>IF(INPUTS!$B$15="yes",Z52,Y52)</f>
        <v>#DIV/0!</v>
      </c>
      <c r="AB52" s="536" t="e">
        <f t="shared" si="11"/>
        <v>#DIV/0!</v>
      </c>
      <c r="AC52" s="537" t="e">
        <f t="shared" si="12"/>
        <v>#DIV/0!</v>
      </c>
      <c r="AD52" s="538" t="e">
        <f>IF(INPUTS!$B$15="yes",AC52,AB52)</f>
        <v>#DIV/0!</v>
      </c>
      <c r="AE52" s="36" t="str">
        <f t="shared" si="0"/>
        <v>no</v>
      </c>
      <c r="AF52" s="36"/>
      <c r="AG52" s="389" t="e">
        <f>P52*('upper bound Kenaga'!$F$36/100)</f>
        <v>#DIV/0!</v>
      </c>
      <c r="AH52" s="36"/>
      <c r="AI52" s="389" t="e">
        <f>P52*('upper bound Kenaga'!$F$96/100)</f>
        <v>#DIV/0!</v>
      </c>
      <c r="AJ52" s="36"/>
      <c r="AK52" s="36"/>
      <c r="AL52" s="36"/>
      <c r="AM52" s="36"/>
      <c r="AN52" s="36"/>
      <c r="AO52" s="36"/>
    </row>
    <row r="53" spans="1:41">
      <c r="A53" s="297" t="s">
        <v>13</v>
      </c>
      <c r="B53" s="324" t="e">
        <f>B27*($G$36/($C$36/1000))</f>
        <v>#DIV/0!</v>
      </c>
      <c r="C53" s="324" t="e">
        <f>B27*($G$37/(C$37/1000))</f>
        <v>#DIV/0!</v>
      </c>
      <c r="D53" s="295" t="e">
        <f>B27*($G$38/(C$38/1000))</f>
        <v>#DIV/0!</v>
      </c>
      <c r="E53" s="572"/>
      <c r="F53" s="572"/>
      <c r="G53" s="572"/>
      <c r="J53" s="6">
        <f>COUNTIF(K$21:K53,"=yes")</f>
        <v>1</v>
      </c>
      <c r="K53" s="533" t="str">
        <f>IF(LOOKUP(VALUE(M53),INPUTS!$G$6:$G$35)=M53,"yes","no")</f>
        <v>no</v>
      </c>
      <c r="L53" s="533">
        <f>IF(K53="yes",(LOOKUP(J53,INPUTS!$E$6:$E$35,INPUTS!$F$6:$F$35)),0)</f>
        <v>0</v>
      </c>
      <c r="M53" s="135">
        <f t="shared" si="1"/>
        <v>32</v>
      </c>
      <c r="N53" s="135">
        <f t="shared" si="2"/>
        <v>1</v>
      </c>
      <c r="O53" s="135">
        <f t="shared" si="3"/>
        <v>0</v>
      </c>
      <c r="P53" s="536" t="e">
        <f t="shared" si="14"/>
        <v>#DIV/0!</v>
      </c>
      <c r="Q53" s="537" t="e">
        <f t="shared" si="4"/>
        <v>#DIV/0!</v>
      </c>
      <c r="R53" s="538" t="e">
        <f>IF(INPUTS!$B$15="yes",Q53,P53)</f>
        <v>#DIV/0!</v>
      </c>
      <c r="S53" s="536" t="e">
        <f t="shared" si="5"/>
        <v>#DIV/0!</v>
      </c>
      <c r="T53" s="537" t="e">
        <f t="shared" si="6"/>
        <v>#DIV/0!</v>
      </c>
      <c r="U53" s="538" t="e">
        <f>IF(INPUTS!$B$15="yes",T53,S53)</f>
        <v>#DIV/0!</v>
      </c>
      <c r="V53" s="536" t="e">
        <f t="shared" si="7"/>
        <v>#DIV/0!</v>
      </c>
      <c r="W53" s="537" t="e">
        <f t="shared" si="8"/>
        <v>#DIV/0!</v>
      </c>
      <c r="X53" s="538" t="e">
        <f>IF(INPUTS!$B$15="yes",W53,V53)</f>
        <v>#DIV/0!</v>
      </c>
      <c r="Y53" s="536" t="e">
        <f t="shared" si="9"/>
        <v>#DIV/0!</v>
      </c>
      <c r="Z53" s="537" t="e">
        <f t="shared" si="10"/>
        <v>#DIV/0!</v>
      </c>
      <c r="AA53" s="538" t="e">
        <f>IF(INPUTS!$B$15="yes",Z53,Y53)</f>
        <v>#DIV/0!</v>
      </c>
      <c r="AB53" s="536" t="e">
        <f t="shared" si="11"/>
        <v>#DIV/0!</v>
      </c>
      <c r="AC53" s="537" t="e">
        <f t="shared" si="12"/>
        <v>#DIV/0!</v>
      </c>
      <c r="AD53" s="538" t="e">
        <f>IF(INPUTS!$B$15="yes",AC53,AB53)</f>
        <v>#DIV/0!</v>
      </c>
      <c r="AE53" s="36" t="str">
        <f t="shared" si="0"/>
        <v>no</v>
      </c>
      <c r="AF53" s="36"/>
      <c r="AG53" s="389" t="e">
        <f>P53*('upper bound Kenaga'!$F$36/100)</f>
        <v>#DIV/0!</v>
      </c>
      <c r="AH53" s="36"/>
      <c r="AI53" s="389" t="e">
        <f>P53*('upper bound Kenaga'!$F$96/100)</f>
        <v>#DIV/0!</v>
      </c>
      <c r="AJ53" s="36"/>
      <c r="AK53" s="36"/>
      <c r="AL53" s="36"/>
      <c r="AM53" s="36"/>
      <c r="AN53" s="36"/>
      <c r="AO53" s="36"/>
    </row>
    <row r="54" spans="1:41" ht="12.75" customHeight="1">
      <c r="A54" s="297" t="s">
        <v>16</v>
      </c>
      <c r="B54" s="324" t="e">
        <f>B28*($G$36/($C$36/1000))</f>
        <v>#DIV/0!</v>
      </c>
      <c r="C54" s="324" t="e">
        <f>B28*($G$37/(C$37/1000))</f>
        <v>#DIV/0!</v>
      </c>
      <c r="D54" s="295" t="e">
        <f>B28*($G$38/(C$38/1000))</f>
        <v>#DIV/0!</v>
      </c>
      <c r="E54" s="572"/>
      <c r="F54" s="572"/>
      <c r="G54" s="572"/>
      <c r="I54" s="7"/>
      <c r="J54" s="6">
        <f>COUNTIF(K$21:K54,"=yes")</f>
        <v>1</v>
      </c>
      <c r="K54" s="533" t="str">
        <f>IF(LOOKUP(VALUE(M54),INPUTS!$G$6:$G$35)=M54,"yes","no")</f>
        <v>no</v>
      </c>
      <c r="L54" s="533">
        <f>IF(K54="yes",(LOOKUP(J54,INPUTS!$E$6:$E$35,INPUTS!$F$6:$F$35)),0)</f>
        <v>0</v>
      </c>
      <c r="M54" s="135">
        <f t="shared" si="1"/>
        <v>33</v>
      </c>
      <c r="N54" s="135">
        <f t="shared" si="2"/>
        <v>1</v>
      </c>
      <c r="O54" s="135">
        <f t="shared" si="3"/>
        <v>0</v>
      </c>
      <c r="P54" s="536" t="e">
        <f t="shared" si="14"/>
        <v>#DIV/0!</v>
      </c>
      <c r="Q54" s="537" t="e">
        <f t="shared" si="4"/>
        <v>#DIV/0!</v>
      </c>
      <c r="R54" s="538" t="e">
        <f>IF(INPUTS!$B$15="yes",Q54,P54)</f>
        <v>#DIV/0!</v>
      </c>
      <c r="S54" s="536" t="e">
        <f t="shared" si="5"/>
        <v>#DIV/0!</v>
      </c>
      <c r="T54" s="537" t="e">
        <f t="shared" si="6"/>
        <v>#DIV/0!</v>
      </c>
      <c r="U54" s="538" t="e">
        <f>IF(INPUTS!$B$15="yes",T54,S54)</f>
        <v>#DIV/0!</v>
      </c>
      <c r="V54" s="536" t="e">
        <f t="shared" si="7"/>
        <v>#DIV/0!</v>
      </c>
      <c r="W54" s="537" t="e">
        <f t="shared" si="8"/>
        <v>#DIV/0!</v>
      </c>
      <c r="X54" s="538" t="e">
        <f>IF(INPUTS!$B$15="yes",W54,V54)</f>
        <v>#DIV/0!</v>
      </c>
      <c r="Y54" s="536" t="e">
        <f t="shared" si="9"/>
        <v>#DIV/0!</v>
      </c>
      <c r="Z54" s="537" t="e">
        <f t="shared" si="10"/>
        <v>#DIV/0!</v>
      </c>
      <c r="AA54" s="538" t="e">
        <f>IF(INPUTS!$B$15="yes",Z54,Y54)</f>
        <v>#DIV/0!</v>
      </c>
      <c r="AB54" s="536" t="e">
        <f t="shared" si="11"/>
        <v>#DIV/0!</v>
      </c>
      <c r="AC54" s="537" t="e">
        <f t="shared" si="12"/>
        <v>#DIV/0!</v>
      </c>
      <c r="AD54" s="538" t="e">
        <f>IF(INPUTS!$B$15="yes",AC54,AB54)</f>
        <v>#DIV/0!</v>
      </c>
      <c r="AE54" s="36" t="str">
        <f t="shared" si="0"/>
        <v>no</v>
      </c>
      <c r="AF54" s="36"/>
      <c r="AG54" s="389" t="e">
        <f>P54*('upper bound Kenaga'!$F$36/100)</f>
        <v>#DIV/0!</v>
      </c>
      <c r="AH54" s="36"/>
      <c r="AI54" s="389" t="e">
        <f>P54*('upper bound Kenaga'!$F$96/100)</f>
        <v>#DIV/0!</v>
      </c>
      <c r="AJ54" s="36"/>
      <c r="AK54" s="36"/>
      <c r="AL54" s="36"/>
      <c r="AM54" s="36"/>
      <c r="AN54" s="36"/>
      <c r="AO54" s="36"/>
    </row>
    <row r="55" spans="1:41">
      <c r="A55" s="297" t="s">
        <v>415</v>
      </c>
      <c r="B55" s="324" t="e">
        <f>B29*($G$36/($C$36/1000))</f>
        <v>#DIV/0!</v>
      </c>
      <c r="C55" s="324" t="e">
        <f>B29*($G$37/(C$37/1000))</f>
        <v>#DIV/0!</v>
      </c>
      <c r="D55" s="295" t="e">
        <f>B29*($G$38/(C$38/1000))</f>
        <v>#DIV/0!</v>
      </c>
      <c r="E55" s="572"/>
      <c r="F55" s="572"/>
      <c r="G55" s="572"/>
      <c r="I55" s="7"/>
      <c r="J55" s="6">
        <f>COUNTIF(K$21:K55,"=yes")</f>
        <v>1</v>
      </c>
      <c r="K55" s="533" t="str">
        <f>IF(LOOKUP(VALUE(M55),INPUTS!$G$6:$G$35)=M55,"yes","no")</f>
        <v>no</v>
      </c>
      <c r="L55" s="533">
        <f>IF(K55="yes",(LOOKUP(J55,INPUTS!$E$6:$E$35,INPUTS!$F$6:$F$35)),0)</f>
        <v>0</v>
      </c>
      <c r="M55" s="135">
        <f t="shared" si="1"/>
        <v>34</v>
      </c>
      <c r="N55" s="135">
        <f t="shared" si="2"/>
        <v>1</v>
      </c>
      <c r="O55" s="135">
        <f t="shared" si="3"/>
        <v>0</v>
      </c>
      <c r="P55" s="536" t="e">
        <f t="shared" si="14"/>
        <v>#DIV/0!</v>
      </c>
      <c r="Q55" s="537" t="e">
        <f t="shared" si="4"/>
        <v>#DIV/0!</v>
      </c>
      <c r="R55" s="538" t="e">
        <f>IF(INPUTS!$B$15="yes",Q55,P55)</f>
        <v>#DIV/0!</v>
      </c>
      <c r="S55" s="536" t="e">
        <f t="shared" si="5"/>
        <v>#DIV/0!</v>
      </c>
      <c r="T55" s="537" t="e">
        <f t="shared" si="6"/>
        <v>#DIV/0!</v>
      </c>
      <c r="U55" s="538" t="e">
        <f>IF(INPUTS!$B$15="yes",T55,S55)</f>
        <v>#DIV/0!</v>
      </c>
      <c r="V55" s="536" t="e">
        <f t="shared" si="7"/>
        <v>#DIV/0!</v>
      </c>
      <c r="W55" s="537" t="e">
        <f t="shared" si="8"/>
        <v>#DIV/0!</v>
      </c>
      <c r="X55" s="538" t="e">
        <f>IF(INPUTS!$B$15="yes",W55,V55)</f>
        <v>#DIV/0!</v>
      </c>
      <c r="Y55" s="536" t="e">
        <f t="shared" si="9"/>
        <v>#DIV/0!</v>
      </c>
      <c r="Z55" s="537" t="e">
        <f t="shared" si="10"/>
        <v>#DIV/0!</v>
      </c>
      <c r="AA55" s="538" t="e">
        <f>IF(INPUTS!$B$15="yes",Z55,Y55)</f>
        <v>#DIV/0!</v>
      </c>
      <c r="AB55" s="536" t="e">
        <f t="shared" si="11"/>
        <v>#DIV/0!</v>
      </c>
      <c r="AC55" s="537" t="e">
        <f t="shared" si="12"/>
        <v>#DIV/0!</v>
      </c>
      <c r="AD55" s="538" t="e">
        <f>IF(INPUTS!$B$15="yes",AC55,AB55)</f>
        <v>#DIV/0!</v>
      </c>
      <c r="AE55" s="36" t="str">
        <f t="shared" si="0"/>
        <v>no</v>
      </c>
      <c r="AF55" s="36"/>
      <c r="AG55" s="389" t="e">
        <f>P55*('upper bound Kenaga'!$F$36/100)</f>
        <v>#DIV/0!</v>
      </c>
      <c r="AH55" s="36"/>
      <c r="AI55" s="389" t="e">
        <f>P55*('upper bound Kenaga'!$F$96/100)</f>
        <v>#DIV/0!</v>
      </c>
      <c r="AJ55" s="36"/>
      <c r="AK55" s="36"/>
      <c r="AL55" s="36"/>
      <c r="AM55" s="36"/>
      <c r="AN55" s="36"/>
      <c r="AO55" s="36"/>
    </row>
    <row r="56" spans="1:41" ht="12.75" customHeight="1">
      <c r="A56" s="561" t="s">
        <v>417</v>
      </c>
      <c r="B56" s="324" t="e">
        <f>B30*($G$36/($C$36/1000))</f>
        <v>#DIV/0!</v>
      </c>
      <c r="C56" s="324" t="e">
        <f>B30*($G$37/(C$37/1000))</f>
        <v>#DIV/0!</v>
      </c>
      <c r="D56" s="295" t="e">
        <f>B30*($G$38/(C$38/1000))</f>
        <v>#DIV/0!</v>
      </c>
      <c r="E56" s="569"/>
      <c r="F56" s="569"/>
      <c r="G56" s="569"/>
      <c r="I56" s="7"/>
      <c r="J56" s="6">
        <f>COUNTIF(K$21:K56,"=yes")</f>
        <v>1</v>
      </c>
      <c r="K56" s="533" t="str">
        <f>IF(LOOKUP(VALUE(M56),INPUTS!$G$6:$G$35)=M56,"yes","no")</f>
        <v>no</v>
      </c>
      <c r="L56" s="533">
        <f>IF(K56="yes",(LOOKUP(J56,INPUTS!$E$6:$E$35,INPUTS!$F$6:$F$35)),0)</f>
        <v>0</v>
      </c>
      <c r="M56" s="135">
        <f t="shared" si="1"/>
        <v>35</v>
      </c>
      <c r="N56" s="135">
        <f t="shared" si="2"/>
        <v>1</v>
      </c>
      <c r="O56" s="135">
        <f t="shared" si="3"/>
        <v>0</v>
      </c>
      <c r="P56" s="536" t="e">
        <f t="shared" si="14"/>
        <v>#DIV/0!</v>
      </c>
      <c r="Q56" s="537" t="e">
        <f t="shared" si="4"/>
        <v>#DIV/0!</v>
      </c>
      <c r="R56" s="538" t="e">
        <f>IF(INPUTS!$B$15="yes",Q56,P56)</f>
        <v>#DIV/0!</v>
      </c>
      <c r="S56" s="536" t="e">
        <f t="shared" si="5"/>
        <v>#DIV/0!</v>
      </c>
      <c r="T56" s="537" t="e">
        <f t="shared" si="6"/>
        <v>#DIV/0!</v>
      </c>
      <c r="U56" s="538" t="e">
        <f>IF(INPUTS!$B$15="yes",T56,S56)</f>
        <v>#DIV/0!</v>
      </c>
      <c r="V56" s="536" t="e">
        <f t="shared" si="7"/>
        <v>#DIV/0!</v>
      </c>
      <c r="W56" s="537" t="e">
        <f t="shared" si="8"/>
        <v>#DIV/0!</v>
      </c>
      <c r="X56" s="538" t="e">
        <f>IF(INPUTS!$B$15="yes",W56,V56)</f>
        <v>#DIV/0!</v>
      </c>
      <c r="Y56" s="536" t="e">
        <f t="shared" si="9"/>
        <v>#DIV/0!</v>
      </c>
      <c r="Z56" s="537" t="e">
        <f t="shared" si="10"/>
        <v>#DIV/0!</v>
      </c>
      <c r="AA56" s="538" t="e">
        <f>IF(INPUTS!$B$15="yes",Z56,Y56)</f>
        <v>#DIV/0!</v>
      </c>
      <c r="AB56" s="536" t="e">
        <f t="shared" si="11"/>
        <v>#DIV/0!</v>
      </c>
      <c r="AC56" s="537" t="e">
        <f t="shared" si="12"/>
        <v>#DIV/0!</v>
      </c>
      <c r="AD56" s="538" t="e">
        <f>IF(INPUTS!$B$15="yes",AC56,AB56)</f>
        <v>#DIV/0!</v>
      </c>
      <c r="AE56" s="36" t="str">
        <f t="shared" si="0"/>
        <v>no</v>
      </c>
      <c r="AF56" s="36"/>
      <c r="AG56" s="389" t="e">
        <f>P56*('upper bound Kenaga'!$F$36/100)</f>
        <v>#DIV/0!</v>
      </c>
      <c r="AH56" s="36"/>
      <c r="AI56" s="389" t="e">
        <f>P56*('upper bound Kenaga'!$F$96/100)</f>
        <v>#DIV/0!</v>
      </c>
      <c r="AJ56" s="36"/>
      <c r="AK56" s="36"/>
      <c r="AL56" s="36"/>
      <c r="AM56" s="36"/>
      <c r="AN56" s="36"/>
      <c r="AO56" s="36"/>
    </row>
    <row r="57" spans="1:41" ht="12.75" hidden="1" customHeight="1">
      <c r="A57" s="576"/>
      <c r="B57" s="577"/>
      <c r="C57" s="577"/>
      <c r="D57" s="578"/>
      <c r="E57" s="564"/>
      <c r="F57" s="569"/>
      <c r="G57" s="569"/>
      <c r="I57" s="7"/>
      <c r="J57" s="6">
        <f>COUNTIF(K$21:K57,"=yes")</f>
        <v>1</v>
      </c>
      <c r="K57" s="533" t="str">
        <f>IF(LOOKUP(VALUE(M57),INPUTS!$G$6:$G$35)=M57,"yes","no")</f>
        <v>no</v>
      </c>
      <c r="L57" s="533">
        <f>IF(K57="yes",(LOOKUP(J57,INPUTS!$E$6:$E$35,INPUTS!$F$6:$F$35)),0)</f>
        <v>0</v>
      </c>
      <c r="M57" s="135">
        <f t="shared" si="1"/>
        <v>36</v>
      </c>
      <c r="N57" s="135">
        <f t="shared" si="2"/>
        <v>1</v>
      </c>
      <c r="O57" s="135">
        <f t="shared" si="3"/>
        <v>0</v>
      </c>
      <c r="P57" s="536" t="e">
        <f t="shared" si="14"/>
        <v>#DIV/0!</v>
      </c>
      <c r="Q57" s="537" t="e">
        <f t="shared" si="4"/>
        <v>#DIV/0!</v>
      </c>
      <c r="R57" s="538" t="e">
        <f>IF(INPUTS!$B$15="yes",Q57,P57)</f>
        <v>#DIV/0!</v>
      </c>
      <c r="S57" s="536" t="e">
        <f t="shared" si="5"/>
        <v>#DIV/0!</v>
      </c>
      <c r="T57" s="537" t="e">
        <f t="shared" si="6"/>
        <v>#DIV/0!</v>
      </c>
      <c r="U57" s="538" t="e">
        <f>IF(INPUTS!$B$15="yes",T57,S57)</f>
        <v>#DIV/0!</v>
      </c>
      <c r="V57" s="536" t="e">
        <f t="shared" si="7"/>
        <v>#DIV/0!</v>
      </c>
      <c r="W57" s="537" t="e">
        <f t="shared" si="8"/>
        <v>#DIV/0!</v>
      </c>
      <c r="X57" s="538" t="e">
        <f>IF(INPUTS!$B$15="yes",W57,V57)</f>
        <v>#DIV/0!</v>
      </c>
      <c r="Y57" s="536" t="e">
        <f t="shared" si="9"/>
        <v>#DIV/0!</v>
      </c>
      <c r="Z57" s="537" t="e">
        <f t="shared" si="10"/>
        <v>#DIV/0!</v>
      </c>
      <c r="AA57" s="538" t="e">
        <f>IF(INPUTS!$B$15="yes",Z57,Y57)</f>
        <v>#DIV/0!</v>
      </c>
      <c r="AB57" s="536" t="e">
        <f t="shared" si="11"/>
        <v>#DIV/0!</v>
      </c>
      <c r="AC57" s="537" t="e">
        <f t="shared" si="12"/>
        <v>#DIV/0!</v>
      </c>
      <c r="AD57" s="538" t="e">
        <f>IF(INPUTS!$B$15="yes",AC57,AB57)</f>
        <v>#DIV/0!</v>
      </c>
      <c r="AE57" s="36" t="str">
        <f t="shared" si="0"/>
        <v>no</v>
      </c>
      <c r="AF57" s="36"/>
      <c r="AG57" s="389" t="e">
        <f>P57*('upper bound Kenaga'!$F$36/100)</f>
        <v>#DIV/0!</v>
      </c>
      <c r="AH57" s="36"/>
      <c r="AI57" s="389" t="e">
        <f>P57*('upper bound Kenaga'!$F$96/100)</f>
        <v>#DIV/0!</v>
      </c>
      <c r="AJ57" s="36"/>
      <c r="AK57" s="36"/>
      <c r="AL57" s="36"/>
      <c r="AM57" s="36"/>
      <c r="AN57" s="36"/>
      <c r="AO57" s="36"/>
    </row>
    <row r="58" spans="1:41" ht="12.75" hidden="1" customHeight="1">
      <c r="A58" s="898"/>
      <c r="B58" s="899"/>
      <c r="C58" s="900"/>
      <c r="D58" s="901"/>
      <c r="E58" s="564"/>
      <c r="F58" s="893"/>
      <c r="G58" s="894"/>
      <c r="I58" s="8"/>
      <c r="J58" s="6">
        <f>COUNTIF(K$21:K58,"=yes")</f>
        <v>1</v>
      </c>
      <c r="K58" s="533" t="str">
        <f>IF(LOOKUP(VALUE(M58),INPUTS!$G$6:$G$35)=M58,"yes","no")</f>
        <v>no</v>
      </c>
      <c r="L58" s="533">
        <f>IF(K58="yes",(LOOKUP(J58,INPUTS!$E$6:$E$35,INPUTS!$F$6:$F$35)),0)</f>
        <v>0</v>
      </c>
      <c r="M58" s="135">
        <f t="shared" si="1"/>
        <v>37</v>
      </c>
      <c r="N58" s="135">
        <f t="shared" si="2"/>
        <v>1</v>
      </c>
      <c r="O58" s="135">
        <f t="shared" si="3"/>
        <v>0</v>
      </c>
      <c r="P58" s="536" t="e">
        <f t="shared" si="14"/>
        <v>#DIV/0!</v>
      </c>
      <c r="Q58" s="537" t="e">
        <f t="shared" si="4"/>
        <v>#DIV/0!</v>
      </c>
      <c r="R58" s="538" t="e">
        <f>IF(INPUTS!$B$15="yes",Q58,P58)</f>
        <v>#DIV/0!</v>
      </c>
      <c r="S58" s="536" t="e">
        <f t="shared" si="5"/>
        <v>#DIV/0!</v>
      </c>
      <c r="T58" s="537" t="e">
        <f t="shared" si="6"/>
        <v>#DIV/0!</v>
      </c>
      <c r="U58" s="538" t="e">
        <f>IF(INPUTS!$B$15="yes",T58,S58)</f>
        <v>#DIV/0!</v>
      </c>
      <c r="V58" s="536" t="e">
        <f t="shared" si="7"/>
        <v>#DIV/0!</v>
      </c>
      <c r="W58" s="537" t="e">
        <f t="shared" si="8"/>
        <v>#DIV/0!</v>
      </c>
      <c r="X58" s="538" t="e">
        <f>IF(INPUTS!$B$15="yes",W58,V58)</f>
        <v>#DIV/0!</v>
      </c>
      <c r="Y58" s="536" t="e">
        <f t="shared" si="9"/>
        <v>#DIV/0!</v>
      </c>
      <c r="Z58" s="537" t="e">
        <f t="shared" si="10"/>
        <v>#DIV/0!</v>
      </c>
      <c r="AA58" s="538" t="e">
        <f>IF(INPUTS!$B$15="yes",Z58,Y58)</f>
        <v>#DIV/0!</v>
      </c>
      <c r="AB58" s="536" t="e">
        <f t="shared" si="11"/>
        <v>#DIV/0!</v>
      </c>
      <c r="AC58" s="537" t="e">
        <f t="shared" si="12"/>
        <v>#DIV/0!</v>
      </c>
      <c r="AD58" s="538" t="e">
        <f>IF(INPUTS!$B$15="yes",AC58,AB58)</f>
        <v>#DIV/0!</v>
      </c>
      <c r="AE58" s="36" t="str">
        <f t="shared" si="0"/>
        <v>no</v>
      </c>
      <c r="AF58" s="36"/>
      <c r="AG58" s="389" t="e">
        <f>P58*('upper bound Kenaga'!$F$36/100)</f>
        <v>#DIV/0!</v>
      </c>
      <c r="AH58" s="36"/>
      <c r="AI58" s="389" t="e">
        <f>P58*('upper bound Kenaga'!$F$96/100)</f>
        <v>#DIV/0!</v>
      </c>
      <c r="AJ58" s="36"/>
      <c r="AK58" s="36"/>
      <c r="AL58" s="36"/>
      <c r="AM58" s="36"/>
      <c r="AN58" s="36"/>
      <c r="AO58" s="36"/>
    </row>
    <row r="59" spans="1:41" ht="12.75" hidden="1" customHeight="1">
      <c r="A59" s="898"/>
      <c r="B59" s="579"/>
      <c r="C59" s="580"/>
      <c r="D59" s="581"/>
      <c r="E59" s="565"/>
      <c r="F59" s="566"/>
      <c r="G59" s="566"/>
      <c r="I59" s="8"/>
      <c r="J59" s="6">
        <f>COUNTIF(K$21:K59,"=yes")</f>
        <v>1</v>
      </c>
      <c r="K59" s="533" t="str">
        <f>IF(LOOKUP(VALUE(M59),INPUTS!$G$6:$G$35)=M59,"yes","no")</f>
        <v>no</v>
      </c>
      <c r="L59" s="533">
        <f>IF(K59="yes",(LOOKUP(J59,INPUTS!$E$6:$E$35,INPUTS!$F$6:$F$35)),0)</f>
        <v>0</v>
      </c>
      <c r="M59" s="135">
        <f t="shared" si="1"/>
        <v>38</v>
      </c>
      <c r="N59" s="135">
        <f t="shared" si="2"/>
        <v>1</v>
      </c>
      <c r="O59" s="135">
        <f t="shared" si="3"/>
        <v>0</v>
      </c>
      <c r="P59" s="536" t="e">
        <f t="shared" si="14"/>
        <v>#DIV/0!</v>
      </c>
      <c r="Q59" s="537" t="e">
        <f t="shared" si="4"/>
        <v>#DIV/0!</v>
      </c>
      <c r="R59" s="538" t="e">
        <f>IF(INPUTS!$B$15="yes",Q59,P59)</f>
        <v>#DIV/0!</v>
      </c>
      <c r="S59" s="536" t="e">
        <f t="shared" si="5"/>
        <v>#DIV/0!</v>
      </c>
      <c r="T59" s="537" t="e">
        <f t="shared" si="6"/>
        <v>#DIV/0!</v>
      </c>
      <c r="U59" s="538" t="e">
        <f>IF(INPUTS!$B$15="yes",T59,S59)</f>
        <v>#DIV/0!</v>
      </c>
      <c r="V59" s="536" t="e">
        <f t="shared" si="7"/>
        <v>#DIV/0!</v>
      </c>
      <c r="W59" s="537" t="e">
        <f t="shared" si="8"/>
        <v>#DIV/0!</v>
      </c>
      <c r="X59" s="538" t="e">
        <f>IF(INPUTS!$B$15="yes",W59,V59)</f>
        <v>#DIV/0!</v>
      </c>
      <c r="Y59" s="536" t="e">
        <f t="shared" si="9"/>
        <v>#DIV/0!</v>
      </c>
      <c r="Z59" s="537" t="e">
        <f t="shared" si="10"/>
        <v>#DIV/0!</v>
      </c>
      <c r="AA59" s="538" t="e">
        <f>IF(INPUTS!$B$15="yes",Z59,Y59)</f>
        <v>#DIV/0!</v>
      </c>
      <c r="AB59" s="536" t="e">
        <f t="shared" si="11"/>
        <v>#DIV/0!</v>
      </c>
      <c r="AC59" s="537" t="e">
        <f t="shared" si="12"/>
        <v>#DIV/0!</v>
      </c>
      <c r="AD59" s="538" t="e">
        <f>IF(INPUTS!$B$15="yes",AC59,AB59)</f>
        <v>#DIV/0!</v>
      </c>
      <c r="AE59" s="36" t="str">
        <f t="shared" si="0"/>
        <v>no</v>
      </c>
      <c r="AF59" s="36"/>
      <c r="AG59" s="389" t="e">
        <f>P59*('upper bound Kenaga'!$F$36/100)</f>
        <v>#DIV/0!</v>
      </c>
      <c r="AH59" s="36"/>
      <c r="AI59" s="389" t="e">
        <f>P59*('upper bound Kenaga'!$F$96/100)</f>
        <v>#DIV/0!</v>
      </c>
      <c r="AJ59" s="36"/>
      <c r="AK59" s="36"/>
      <c r="AL59" s="36"/>
      <c r="AM59" s="36"/>
      <c r="AN59" s="36"/>
      <c r="AO59" s="36"/>
    </row>
    <row r="60" spans="1:41" ht="13.5" hidden="1" customHeight="1">
      <c r="A60" s="898"/>
      <c r="B60" s="579"/>
      <c r="C60" s="579"/>
      <c r="D60" s="582"/>
      <c r="E60" s="569"/>
      <c r="F60" s="567"/>
      <c r="G60" s="567"/>
      <c r="I60" s="8"/>
      <c r="J60" s="6">
        <f>COUNTIF(K$21:K60,"=yes")</f>
        <v>1</v>
      </c>
      <c r="K60" s="533" t="str">
        <f>IF(LOOKUP(VALUE(M60),INPUTS!$G$6:$G$35)=M60,"yes","no")</f>
        <v>no</v>
      </c>
      <c r="L60" s="533">
        <f>IF(K60="yes",(LOOKUP(J60,INPUTS!$E$6:$E$35,INPUTS!$F$6:$F$35)),0)</f>
        <v>0</v>
      </c>
      <c r="M60" s="135">
        <f t="shared" si="1"/>
        <v>39</v>
      </c>
      <c r="N60" s="135">
        <f t="shared" si="2"/>
        <v>1</v>
      </c>
      <c r="O60" s="135">
        <f t="shared" si="3"/>
        <v>0</v>
      </c>
      <c r="P60" s="536" t="e">
        <f t="shared" si="14"/>
        <v>#DIV/0!</v>
      </c>
      <c r="Q60" s="537" t="e">
        <f t="shared" si="4"/>
        <v>#DIV/0!</v>
      </c>
      <c r="R60" s="538" t="e">
        <f>IF(INPUTS!$B$15="yes",Q60,P60)</f>
        <v>#DIV/0!</v>
      </c>
      <c r="S60" s="536" t="e">
        <f t="shared" si="5"/>
        <v>#DIV/0!</v>
      </c>
      <c r="T60" s="537" t="e">
        <f t="shared" si="6"/>
        <v>#DIV/0!</v>
      </c>
      <c r="U60" s="538" t="e">
        <f>IF(INPUTS!$B$15="yes",T60,S60)</f>
        <v>#DIV/0!</v>
      </c>
      <c r="V60" s="536" t="e">
        <f t="shared" si="7"/>
        <v>#DIV/0!</v>
      </c>
      <c r="W60" s="537" t="e">
        <f t="shared" si="8"/>
        <v>#DIV/0!</v>
      </c>
      <c r="X60" s="538" t="e">
        <f>IF(INPUTS!$B$15="yes",W60,V60)</f>
        <v>#DIV/0!</v>
      </c>
      <c r="Y60" s="536" t="e">
        <f t="shared" si="9"/>
        <v>#DIV/0!</v>
      </c>
      <c r="Z60" s="537" t="e">
        <f t="shared" si="10"/>
        <v>#DIV/0!</v>
      </c>
      <c r="AA60" s="538" t="e">
        <f>IF(INPUTS!$B$15="yes",Z60,Y60)</f>
        <v>#DIV/0!</v>
      </c>
      <c r="AB60" s="536" t="e">
        <f t="shared" si="11"/>
        <v>#DIV/0!</v>
      </c>
      <c r="AC60" s="537" t="e">
        <f t="shared" si="12"/>
        <v>#DIV/0!</v>
      </c>
      <c r="AD60" s="538" t="e">
        <f>IF(INPUTS!$B$15="yes",AC60,AB60)</f>
        <v>#DIV/0!</v>
      </c>
      <c r="AE60" s="36" t="str">
        <f t="shared" si="0"/>
        <v>no</v>
      </c>
      <c r="AF60" s="36"/>
      <c r="AG60" s="389" t="e">
        <f>P60*('upper bound Kenaga'!$F$36/100)</f>
        <v>#DIV/0!</v>
      </c>
      <c r="AH60" s="36"/>
      <c r="AI60" s="389" t="e">
        <f>P60*('upper bound Kenaga'!$F$96/100)</f>
        <v>#DIV/0!</v>
      </c>
      <c r="AJ60" s="36"/>
      <c r="AK60" s="36"/>
      <c r="AL60" s="36"/>
      <c r="AM60" s="36"/>
      <c r="AN60" s="36"/>
      <c r="AO60" s="36"/>
    </row>
    <row r="61" spans="1:41" hidden="1">
      <c r="A61" s="583"/>
      <c r="B61" s="584"/>
      <c r="C61" s="584"/>
      <c r="D61" s="585"/>
      <c r="E61" s="569"/>
      <c r="F61" s="568"/>
      <c r="G61" s="568"/>
      <c r="I61" s="8"/>
      <c r="J61" s="6">
        <f>COUNTIF(K$21:K61,"=yes")</f>
        <v>1</v>
      </c>
      <c r="K61" s="533" t="str">
        <f>IF(LOOKUP(VALUE(M61),INPUTS!$G$6:$G$35)=M61,"yes","no")</f>
        <v>no</v>
      </c>
      <c r="L61" s="533">
        <f>IF(K61="yes",(LOOKUP(J61,INPUTS!$E$6:$E$35,INPUTS!$F$6:$F$35)),0)</f>
        <v>0</v>
      </c>
      <c r="M61" s="135">
        <f t="shared" si="1"/>
        <v>40</v>
      </c>
      <c r="N61" s="135">
        <f t="shared" si="2"/>
        <v>1</v>
      </c>
      <c r="O61" s="135">
        <f t="shared" si="3"/>
        <v>0</v>
      </c>
      <c r="P61" s="536" t="e">
        <f t="shared" si="14"/>
        <v>#DIV/0!</v>
      </c>
      <c r="Q61" s="537" t="e">
        <f t="shared" si="4"/>
        <v>#DIV/0!</v>
      </c>
      <c r="R61" s="538" t="e">
        <f>IF(INPUTS!$B$15="yes",Q61,P61)</f>
        <v>#DIV/0!</v>
      </c>
      <c r="S61" s="536" t="e">
        <f t="shared" si="5"/>
        <v>#DIV/0!</v>
      </c>
      <c r="T61" s="537" t="e">
        <f t="shared" si="6"/>
        <v>#DIV/0!</v>
      </c>
      <c r="U61" s="538" t="e">
        <f>IF(INPUTS!$B$15="yes",T61,S61)</f>
        <v>#DIV/0!</v>
      </c>
      <c r="V61" s="536" t="e">
        <f t="shared" si="7"/>
        <v>#DIV/0!</v>
      </c>
      <c r="W61" s="537" t="e">
        <f t="shared" si="8"/>
        <v>#DIV/0!</v>
      </c>
      <c r="X61" s="538" t="e">
        <f>IF(INPUTS!$B$15="yes",W61,V61)</f>
        <v>#DIV/0!</v>
      </c>
      <c r="Y61" s="536" t="e">
        <f t="shared" si="9"/>
        <v>#DIV/0!</v>
      </c>
      <c r="Z61" s="537" t="e">
        <f t="shared" si="10"/>
        <v>#DIV/0!</v>
      </c>
      <c r="AA61" s="538" t="e">
        <f>IF(INPUTS!$B$15="yes",Z61,Y61)</f>
        <v>#DIV/0!</v>
      </c>
      <c r="AB61" s="536" t="e">
        <f t="shared" si="11"/>
        <v>#DIV/0!</v>
      </c>
      <c r="AC61" s="537" t="e">
        <f t="shared" si="12"/>
        <v>#DIV/0!</v>
      </c>
      <c r="AD61" s="538" t="e">
        <f>IF(INPUTS!$B$15="yes",AC61,AB61)</f>
        <v>#DIV/0!</v>
      </c>
      <c r="AE61" s="36" t="str">
        <f t="shared" si="0"/>
        <v>no</v>
      </c>
      <c r="AF61" s="36"/>
      <c r="AG61" s="389" t="e">
        <f>P61*('upper bound Kenaga'!$F$36/100)</f>
        <v>#DIV/0!</v>
      </c>
      <c r="AH61" s="36"/>
      <c r="AI61" s="389" t="e">
        <f>P61*('upper bound Kenaga'!$F$96/100)</f>
        <v>#DIV/0!</v>
      </c>
      <c r="AJ61" s="36"/>
      <c r="AK61" s="36"/>
      <c r="AL61" s="36"/>
      <c r="AM61" s="36"/>
      <c r="AN61" s="36"/>
      <c r="AO61" s="36"/>
    </row>
    <row r="62" spans="1:41" hidden="1">
      <c r="A62" s="583"/>
      <c r="B62" s="584"/>
      <c r="C62" s="584"/>
      <c r="D62" s="585"/>
      <c r="E62" s="569"/>
      <c r="F62" s="568"/>
      <c r="G62" s="568"/>
      <c r="J62" s="6">
        <f>COUNTIF(K$21:K62,"=yes")</f>
        <v>1</v>
      </c>
      <c r="K62" s="533" t="str">
        <f>IF(LOOKUP(VALUE(M62),INPUTS!$G$6:$G$35)=M62,"yes","no")</f>
        <v>no</v>
      </c>
      <c r="L62" s="533">
        <f>IF(K62="yes",(LOOKUP(J62,INPUTS!$E$6:$E$35,INPUTS!$F$6:$F$35)),0)</f>
        <v>0</v>
      </c>
      <c r="M62" s="135">
        <f t="shared" si="1"/>
        <v>41</v>
      </c>
      <c r="N62" s="135">
        <f t="shared" si="2"/>
        <v>1</v>
      </c>
      <c r="O62" s="135">
        <f t="shared" si="3"/>
        <v>0</v>
      </c>
      <c r="P62" s="536" t="e">
        <f t="shared" si="14"/>
        <v>#DIV/0!</v>
      </c>
      <c r="Q62" s="537" t="e">
        <f t="shared" si="4"/>
        <v>#DIV/0!</v>
      </c>
      <c r="R62" s="538" t="e">
        <f>IF(INPUTS!$B$15="yes",Q62,P62)</f>
        <v>#DIV/0!</v>
      </c>
      <c r="S62" s="536" t="e">
        <f t="shared" si="5"/>
        <v>#DIV/0!</v>
      </c>
      <c r="T62" s="537" t="e">
        <f t="shared" si="6"/>
        <v>#DIV/0!</v>
      </c>
      <c r="U62" s="538" t="e">
        <f>IF(INPUTS!$B$15="yes",T62,S62)</f>
        <v>#DIV/0!</v>
      </c>
      <c r="V62" s="536" t="e">
        <f t="shared" si="7"/>
        <v>#DIV/0!</v>
      </c>
      <c r="W62" s="537" t="e">
        <f t="shared" si="8"/>
        <v>#DIV/0!</v>
      </c>
      <c r="X62" s="538" t="e">
        <f>IF(INPUTS!$B$15="yes",W62,V62)</f>
        <v>#DIV/0!</v>
      </c>
      <c r="Y62" s="536" t="e">
        <f t="shared" si="9"/>
        <v>#DIV/0!</v>
      </c>
      <c r="Z62" s="537" t="e">
        <f t="shared" si="10"/>
        <v>#DIV/0!</v>
      </c>
      <c r="AA62" s="538" t="e">
        <f>IF(INPUTS!$B$15="yes",Z62,Y62)</f>
        <v>#DIV/0!</v>
      </c>
      <c r="AB62" s="536" t="e">
        <f t="shared" si="11"/>
        <v>#DIV/0!</v>
      </c>
      <c r="AC62" s="537" t="e">
        <f t="shared" si="12"/>
        <v>#DIV/0!</v>
      </c>
      <c r="AD62" s="538" t="e">
        <f>IF(INPUTS!$B$15="yes",AC62,AB62)</f>
        <v>#DIV/0!</v>
      </c>
      <c r="AE62" s="36" t="str">
        <f t="shared" si="0"/>
        <v>no</v>
      </c>
      <c r="AF62" s="36"/>
      <c r="AG62" s="389" t="e">
        <f>P62*('upper bound Kenaga'!$F$36/100)</f>
        <v>#DIV/0!</v>
      </c>
      <c r="AH62" s="36"/>
      <c r="AI62" s="389" t="e">
        <f>P62*('upper bound Kenaga'!$F$96/100)</f>
        <v>#DIV/0!</v>
      </c>
      <c r="AJ62" s="36"/>
      <c r="AK62" s="36"/>
      <c r="AL62" s="36"/>
      <c r="AM62" s="36"/>
      <c r="AN62" s="36"/>
      <c r="AO62" s="36"/>
    </row>
    <row r="63" spans="1:41" hidden="1">
      <c r="A63" s="583"/>
      <c r="B63" s="584"/>
      <c r="C63" s="584"/>
      <c r="D63" s="585"/>
      <c r="E63" s="569"/>
      <c r="F63" s="568"/>
      <c r="G63" s="568"/>
      <c r="J63" s="6">
        <f>COUNTIF(K$21:K63,"=yes")</f>
        <v>1</v>
      </c>
      <c r="K63" s="533" t="str">
        <f>IF(LOOKUP(VALUE(M63),INPUTS!$G$6:$G$35)=M63,"yes","no")</f>
        <v>no</v>
      </c>
      <c r="L63" s="533">
        <f>IF(K63="yes",(LOOKUP(J63,INPUTS!$E$6:$E$35,INPUTS!$F$6:$F$35)),0)</f>
        <v>0</v>
      </c>
      <c r="M63" s="135">
        <f t="shared" si="1"/>
        <v>42</v>
      </c>
      <c r="N63" s="135">
        <f t="shared" si="2"/>
        <v>1</v>
      </c>
      <c r="O63" s="135">
        <f t="shared" si="3"/>
        <v>0</v>
      </c>
      <c r="P63" s="536" t="e">
        <f t="shared" si="14"/>
        <v>#DIV/0!</v>
      </c>
      <c r="Q63" s="537" t="e">
        <f t="shared" si="4"/>
        <v>#DIV/0!</v>
      </c>
      <c r="R63" s="538" t="e">
        <f>IF(INPUTS!$B$15="yes",Q63,P63)</f>
        <v>#DIV/0!</v>
      </c>
      <c r="S63" s="536" t="e">
        <f t="shared" si="5"/>
        <v>#DIV/0!</v>
      </c>
      <c r="T63" s="537" t="e">
        <f t="shared" si="6"/>
        <v>#DIV/0!</v>
      </c>
      <c r="U63" s="538" t="e">
        <f>IF(INPUTS!$B$15="yes",T63,S63)</f>
        <v>#DIV/0!</v>
      </c>
      <c r="V63" s="536" t="e">
        <f t="shared" si="7"/>
        <v>#DIV/0!</v>
      </c>
      <c r="W63" s="537" t="e">
        <f t="shared" si="8"/>
        <v>#DIV/0!</v>
      </c>
      <c r="X63" s="538" t="e">
        <f>IF(INPUTS!$B$15="yes",W63,V63)</f>
        <v>#DIV/0!</v>
      </c>
      <c r="Y63" s="536" t="e">
        <f t="shared" si="9"/>
        <v>#DIV/0!</v>
      </c>
      <c r="Z63" s="537" t="e">
        <f t="shared" si="10"/>
        <v>#DIV/0!</v>
      </c>
      <c r="AA63" s="538" t="e">
        <f>IF(INPUTS!$B$15="yes",Z63,Y63)</f>
        <v>#DIV/0!</v>
      </c>
      <c r="AB63" s="536" t="e">
        <f t="shared" si="11"/>
        <v>#DIV/0!</v>
      </c>
      <c r="AC63" s="537" t="e">
        <f t="shared" si="12"/>
        <v>#DIV/0!</v>
      </c>
      <c r="AD63" s="538" t="e">
        <f>IF(INPUTS!$B$15="yes",AC63,AB63)</f>
        <v>#DIV/0!</v>
      </c>
      <c r="AE63" s="36" t="str">
        <f t="shared" si="0"/>
        <v>no</v>
      </c>
      <c r="AF63" s="36"/>
      <c r="AG63" s="389" t="e">
        <f>P63*('upper bound Kenaga'!$F$36/100)</f>
        <v>#DIV/0!</v>
      </c>
      <c r="AH63" s="36"/>
      <c r="AI63" s="389" t="e">
        <f>P63*('upper bound Kenaga'!$F$96/100)</f>
        <v>#DIV/0!</v>
      </c>
      <c r="AJ63" s="36"/>
      <c r="AK63" s="36"/>
      <c r="AL63" s="36"/>
      <c r="AM63" s="36"/>
      <c r="AN63" s="36"/>
      <c r="AO63" s="36"/>
    </row>
    <row r="64" spans="1:41">
      <c r="A64" s="586" t="s">
        <v>414</v>
      </c>
      <c r="B64" s="584" t="e">
        <f>B31*($G$36/($C$36/1000))</f>
        <v>#DIV/0!</v>
      </c>
      <c r="C64" s="584" t="e">
        <f>B31*($G$37/(C$37/1000))</f>
        <v>#DIV/0!</v>
      </c>
      <c r="D64" s="585" t="e">
        <f>B31*($G$38/(C$38/1000))</f>
        <v>#DIV/0!</v>
      </c>
      <c r="E64" s="569"/>
      <c r="F64" s="568"/>
      <c r="G64" s="568"/>
      <c r="J64" s="6">
        <f>COUNTIF(K$21:K64,"=yes")</f>
        <v>1</v>
      </c>
      <c r="K64" s="533" t="str">
        <f>IF(LOOKUP(VALUE(M64),INPUTS!$G$6:$G$35)=M64,"yes","no")</f>
        <v>no</v>
      </c>
      <c r="L64" s="533">
        <f>IF(K64="yes",(LOOKUP(J64,INPUTS!$E$6:$E$35,INPUTS!$F$6:$F$35)),0)</f>
        <v>0</v>
      </c>
      <c r="M64" s="135">
        <f t="shared" si="1"/>
        <v>43</v>
      </c>
      <c r="N64" s="135">
        <f t="shared" si="2"/>
        <v>1</v>
      </c>
      <c r="O64" s="135">
        <f t="shared" si="3"/>
        <v>0</v>
      </c>
      <c r="P64" s="536" t="e">
        <f t="shared" si="14"/>
        <v>#DIV/0!</v>
      </c>
      <c r="Q64" s="537" t="e">
        <f t="shared" si="4"/>
        <v>#DIV/0!</v>
      </c>
      <c r="R64" s="538" t="e">
        <f>IF(INPUTS!$B$15="yes",Q64,P64)</f>
        <v>#DIV/0!</v>
      </c>
      <c r="S64" s="536" t="e">
        <f t="shared" si="5"/>
        <v>#DIV/0!</v>
      </c>
      <c r="T64" s="537" t="e">
        <f t="shared" si="6"/>
        <v>#DIV/0!</v>
      </c>
      <c r="U64" s="538" t="e">
        <f>IF(INPUTS!$B$15="yes",T64,S64)</f>
        <v>#DIV/0!</v>
      </c>
      <c r="V64" s="536" t="e">
        <f t="shared" si="7"/>
        <v>#DIV/0!</v>
      </c>
      <c r="W64" s="537" t="e">
        <f t="shared" si="8"/>
        <v>#DIV/0!</v>
      </c>
      <c r="X64" s="538" t="e">
        <f>IF(INPUTS!$B$15="yes",W64,V64)</f>
        <v>#DIV/0!</v>
      </c>
      <c r="Y64" s="536" t="e">
        <f t="shared" si="9"/>
        <v>#DIV/0!</v>
      </c>
      <c r="Z64" s="537" t="e">
        <f t="shared" si="10"/>
        <v>#DIV/0!</v>
      </c>
      <c r="AA64" s="538" t="e">
        <f>IF(INPUTS!$B$15="yes",Z64,Y64)</f>
        <v>#DIV/0!</v>
      </c>
      <c r="AB64" s="536" t="e">
        <f t="shared" si="11"/>
        <v>#DIV/0!</v>
      </c>
      <c r="AC64" s="537" t="e">
        <f t="shared" si="12"/>
        <v>#DIV/0!</v>
      </c>
      <c r="AD64" s="538" t="e">
        <f>IF(INPUTS!$B$15="yes",AC64,AB64)</f>
        <v>#DIV/0!</v>
      </c>
      <c r="AE64" s="36" t="str">
        <f t="shared" si="0"/>
        <v>no</v>
      </c>
      <c r="AF64" s="36"/>
      <c r="AG64" s="389" t="e">
        <f>P64*('upper bound Kenaga'!$F$36/100)</f>
        <v>#DIV/0!</v>
      </c>
      <c r="AH64" s="36"/>
      <c r="AI64" s="389" t="e">
        <f>P64*('upper bound Kenaga'!$F$96/100)</f>
        <v>#DIV/0!</v>
      </c>
      <c r="AJ64" s="36"/>
      <c r="AK64" s="36"/>
      <c r="AL64" s="36"/>
      <c r="AM64" s="36"/>
      <c r="AN64" s="36"/>
      <c r="AO64" s="36"/>
    </row>
    <row r="65" spans="1:41" ht="12.75" customHeight="1" thickBot="1">
      <c r="A65" s="587" t="s">
        <v>418</v>
      </c>
      <c r="B65" s="325" t="e">
        <f>B30*(G39/(C39/1000))</f>
        <v>#DIV/0!</v>
      </c>
      <c r="C65" s="325" t="e">
        <f>B30*(G40/(C40/1000))</f>
        <v>#DIV/0!</v>
      </c>
      <c r="D65" s="397" t="e">
        <f>B30*(G41/(C41/1000))</f>
        <v>#DIV/0!</v>
      </c>
      <c r="E65" s="569"/>
      <c r="F65" s="569"/>
      <c r="G65" s="569"/>
      <c r="J65" s="6">
        <f>COUNTIF(K$21:K65,"=yes")</f>
        <v>1</v>
      </c>
      <c r="K65" s="533" t="str">
        <f>IF(LOOKUP(VALUE(M65),INPUTS!$G$6:$G$35)=M65,"yes","no")</f>
        <v>no</v>
      </c>
      <c r="L65" s="533">
        <f>IF(K65="yes",(LOOKUP(J65,INPUTS!$E$6:$E$35,INPUTS!$F$6:$F$35)),0)</f>
        <v>0</v>
      </c>
      <c r="M65" s="135">
        <f t="shared" si="1"/>
        <v>44</v>
      </c>
      <c r="N65" s="135">
        <f t="shared" si="2"/>
        <v>1</v>
      </c>
      <c r="O65" s="135">
        <f t="shared" si="3"/>
        <v>0</v>
      </c>
      <c r="P65" s="536" t="e">
        <f t="shared" si="14"/>
        <v>#DIV/0!</v>
      </c>
      <c r="Q65" s="537" t="e">
        <f t="shared" si="4"/>
        <v>#DIV/0!</v>
      </c>
      <c r="R65" s="538" t="e">
        <f>IF(INPUTS!$B$15="yes",Q65,P65)</f>
        <v>#DIV/0!</v>
      </c>
      <c r="S65" s="536" t="e">
        <f t="shared" si="5"/>
        <v>#DIV/0!</v>
      </c>
      <c r="T65" s="537" t="e">
        <f t="shared" si="6"/>
        <v>#DIV/0!</v>
      </c>
      <c r="U65" s="538" t="e">
        <f>IF(INPUTS!$B$15="yes",T65,S65)</f>
        <v>#DIV/0!</v>
      </c>
      <c r="V65" s="536" t="e">
        <f t="shared" si="7"/>
        <v>#DIV/0!</v>
      </c>
      <c r="W65" s="537" t="e">
        <f t="shared" si="8"/>
        <v>#DIV/0!</v>
      </c>
      <c r="X65" s="538" t="e">
        <f>IF(INPUTS!$B$15="yes",W65,V65)</f>
        <v>#DIV/0!</v>
      </c>
      <c r="Y65" s="536" t="e">
        <f t="shared" si="9"/>
        <v>#DIV/0!</v>
      </c>
      <c r="Z65" s="537" t="e">
        <f t="shared" si="10"/>
        <v>#DIV/0!</v>
      </c>
      <c r="AA65" s="538" t="e">
        <f>IF(INPUTS!$B$15="yes",Z65,Y65)</f>
        <v>#DIV/0!</v>
      </c>
      <c r="AB65" s="536" t="e">
        <f t="shared" si="11"/>
        <v>#DIV/0!</v>
      </c>
      <c r="AC65" s="537" t="e">
        <f t="shared" si="12"/>
        <v>#DIV/0!</v>
      </c>
      <c r="AD65" s="538" t="e">
        <f>IF(INPUTS!$B$15="yes",AC65,AB65)</f>
        <v>#DIV/0!</v>
      </c>
      <c r="AE65" s="36" t="str">
        <f t="shared" si="0"/>
        <v>no</v>
      </c>
      <c r="AF65" s="36"/>
      <c r="AG65" s="389" t="e">
        <f>P65*('upper bound Kenaga'!$F$36/100)</f>
        <v>#DIV/0!</v>
      </c>
      <c r="AH65" s="36"/>
      <c r="AI65" s="389" t="e">
        <f>P65*('upper bound Kenaga'!$F$96/100)</f>
        <v>#DIV/0!</v>
      </c>
      <c r="AJ65" s="36"/>
      <c r="AK65" s="36"/>
      <c r="AL65" s="36"/>
      <c r="AM65" s="36"/>
      <c r="AN65" s="36"/>
      <c r="AO65" s="36"/>
    </row>
    <row r="66" spans="1:41" ht="36.75" customHeight="1" thickBot="1">
      <c r="J66" s="6">
        <f>COUNTIF(K$21:K66,"=yes")</f>
        <v>1</v>
      </c>
      <c r="K66" s="533" t="str">
        <f>IF(LOOKUP(VALUE(M66),INPUTS!$G$6:$G$35)=M66,"yes","no")</f>
        <v>no</v>
      </c>
      <c r="L66" s="533">
        <f>IF(K66="yes",(LOOKUP(J66,INPUTS!$E$6:$E$35,INPUTS!$F$6:$F$35)),0)</f>
        <v>0</v>
      </c>
      <c r="M66" s="135">
        <f t="shared" si="1"/>
        <v>45</v>
      </c>
      <c r="N66" s="135">
        <f t="shared" si="2"/>
        <v>1</v>
      </c>
      <c r="O66" s="135">
        <f t="shared" si="3"/>
        <v>0</v>
      </c>
      <c r="P66" s="536" t="e">
        <f t="shared" si="14"/>
        <v>#DIV/0!</v>
      </c>
      <c r="Q66" s="537" t="e">
        <f t="shared" si="4"/>
        <v>#DIV/0!</v>
      </c>
      <c r="R66" s="538" t="e">
        <f>IF(INPUTS!$B$15="yes",Q66,P66)</f>
        <v>#DIV/0!</v>
      </c>
      <c r="S66" s="536" t="e">
        <f t="shared" si="5"/>
        <v>#DIV/0!</v>
      </c>
      <c r="T66" s="537" t="e">
        <f t="shared" si="6"/>
        <v>#DIV/0!</v>
      </c>
      <c r="U66" s="538" t="e">
        <f>IF(INPUTS!$B$15="yes",T66,S66)</f>
        <v>#DIV/0!</v>
      </c>
      <c r="V66" s="536" t="e">
        <f t="shared" si="7"/>
        <v>#DIV/0!</v>
      </c>
      <c r="W66" s="537" t="e">
        <f t="shared" si="8"/>
        <v>#DIV/0!</v>
      </c>
      <c r="X66" s="538" t="e">
        <f>IF(INPUTS!$B$15="yes",W66,V66)</f>
        <v>#DIV/0!</v>
      </c>
      <c r="Y66" s="536" t="e">
        <f t="shared" si="9"/>
        <v>#DIV/0!</v>
      </c>
      <c r="Z66" s="537" t="e">
        <f t="shared" si="10"/>
        <v>#DIV/0!</v>
      </c>
      <c r="AA66" s="538" t="e">
        <f>IF(INPUTS!$B$15="yes",Z66,Y66)</f>
        <v>#DIV/0!</v>
      </c>
      <c r="AB66" s="536" t="e">
        <f t="shared" si="11"/>
        <v>#DIV/0!</v>
      </c>
      <c r="AC66" s="537" t="e">
        <f t="shared" si="12"/>
        <v>#DIV/0!</v>
      </c>
      <c r="AD66" s="538" t="e">
        <f>IF(INPUTS!$B$15="yes",AC66,AB66)</f>
        <v>#DIV/0!</v>
      </c>
      <c r="AE66" s="36" t="str">
        <f t="shared" si="0"/>
        <v>no</v>
      </c>
      <c r="AF66" s="36"/>
      <c r="AG66" s="389" t="e">
        <f>P66*('upper bound Kenaga'!$F$36/100)</f>
        <v>#DIV/0!</v>
      </c>
      <c r="AH66" s="36"/>
      <c r="AI66" s="389" t="e">
        <f>P66*('upper bound Kenaga'!$F$96/100)</f>
        <v>#DIV/0!</v>
      </c>
      <c r="AJ66" s="36"/>
      <c r="AK66" s="36"/>
      <c r="AL66" s="36"/>
      <c r="AM66" s="36"/>
      <c r="AN66" s="36"/>
      <c r="AO66" s="36"/>
    </row>
    <row r="67" spans="1:41" ht="31.5" customHeight="1">
      <c r="A67" s="907" t="s">
        <v>276</v>
      </c>
      <c r="B67" s="913" t="s">
        <v>370</v>
      </c>
      <c r="C67" s="914"/>
      <c r="D67" s="915"/>
      <c r="J67" s="6">
        <f>COUNTIF(K$21:K67,"=yes")</f>
        <v>1</v>
      </c>
      <c r="K67" s="533" t="str">
        <f>IF(LOOKUP(VALUE(M67),INPUTS!$G$6:$G$35)=M67,"yes","no")</f>
        <v>no</v>
      </c>
      <c r="L67" s="533">
        <f>IF(K67="yes",(LOOKUP(J67,INPUTS!$E$6:$E$35,INPUTS!$F$6:$F$35)),0)</f>
        <v>0</v>
      </c>
      <c r="M67" s="135">
        <f t="shared" si="1"/>
        <v>46</v>
      </c>
      <c r="N67" s="135">
        <f t="shared" si="2"/>
        <v>1</v>
      </c>
      <c r="O67" s="135">
        <f t="shared" si="3"/>
        <v>0</v>
      </c>
      <c r="P67" s="536" t="e">
        <f t="shared" si="14"/>
        <v>#DIV/0!</v>
      </c>
      <c r="Q67" s="537" t="e">
        <f t="shared" si="4"/>
        <v>#DIV/0!</v>
      </c>
      <c r="R67" s="538" t="e">
        <f>IF(INPUTS!$B$15="yes",Q67,P67)</f>
        <v>#DIV/0!</v>
      </c>
      <c r="S67" s="536" t="e">
        <f t="shared" si="5"/>
        <v>#DIV/0!</v>
      </c>
      <c r="T67" s="537" t="e">
        <f t="shared" si="6"/>
        <v>#DIV/0!</v>
      </c>
      <c r="U67" s="538" t="e">
        <f>IF(INPUTS!$B$15="yes",T67,S67)</f>
        <v>#DIV/0!</v>
      </c>
      <c r="V67" s="536" t="e">
        <f t="shared" si="7"/>
        <v>#DIV/0!</v>
      </c>
      <c r="W67" s="537" t="e">
        <f t="shared" si="8"/>
        <v>#DIV/0!</v>
      </c>
      <c r="X67" s="538" t="e">
        <f>IF(INPUTS!$B$15="yes",W67,V67)</f>
        <v>#DIV/0!</v>
      </c>
      <c r="Y67" s="536" t="e">
        <f t="shared" si="9"/>
        <v>#DIV/0!</v>
      </c>
      <c r="Z67" s="537" t="e">
        <f t="shared" si="10"/>
        <v>#DIV/0!</v>
      </c>
      <c r="AA67" s="538" t="e">
        <f>IF(INPUTS!$B$15="yes",Z67,Y67)</f>
        <v>#DIV/0!</v>
      </c>
      <c r="AB67" s="536" t="e">
        <f t="shared" si="11"/>
        <v>#DIV/0!</v>
      </c>
      <c r="AC67" s="537" t="e">
        <f t="shared" si="12"/>
        <v>#DIV/0!</v>
      </c>
      <c r="AD67" s="538" t="e">
        <f>IF(INPUTS!$B$15="yes",AC67,AB67)</f>
        <v>#DIV/0!</v>
      </c>
      <c r="AE67" s="36" t="str">
        <f t="shared" si="0"/>
        <v>no</v>
      </c>
      <c r="AF67" s="36"/>
      <c r="AG67" s="389" t="e">
        <f>P67*('upper bound Kenaga'!$F$36/100)</f>
        <v>#DIV/0!</v>
      </c>
      <c r="AH67" s="36"/>
      <c r="AI67" s="389" t="e">
        <f>P67*('upper bound Kenaga'!$F$96/100)</f>
        <v>#DIV/0!</v>
      </c>
      <c r="AJ67" s="36"/>
      <c r="AK67" s="36"/>
      <c r="AL67" s="36"/>
      <c r="AM67" s="36"/>
      <c r="AN67" s="36"/>
      <c r="AO67" s="36"/>
    </row>
    <row r="68" spans="1:41" ht="18.75" customHeight="1" thickBot="1">
      <c r="A68" s="908"/>
      <c r="B68" s="399">
        <f>B46</f>
        <v>20</v>
      </c>
      <c r="C68" s="399">
        <f>B47</f>
        <v>100</v>
      </c>
      <c r="D68" s="599">
        <f>B48</f>
        <v>1000</v>
      </c>
      <c r="E68" s="22"/>
      <c r="J68" s="6">
        <f>COUNTIF(K$21:K68,"=yes")</f>
        <v>1</v>
      </c>
      <c r="K68" s="533" t="str">
        <f>IF(LOOKUP(VALUE(M68),INPUTS!$G$6:$G$35)=M68,"yes","no")</f>
        <v>no</v>
      </c>
      <c r="L68" s="533">
        <f>IF(K68="yes",(LOOKUP(J68,INPUTS!$E$6:$E$35,INPUTS!$F$6:$F$35)),0)</f>
        <v>0</v>
      </c>
      <c r="M68" s="135">
        <f t="shared" si="1"/>
        <v>47</v>
      </c>
      <c r="N68" s="135">
        <f t="shared" si="2"/>
        <v>1</v>
      </c>
      <c r="O68" s="135">
        <f t="shared" si="3"/>
        <v>0</v>
      </c>
      <c r="P68" s="536" t="e">
        <f t="shared" si="14"/>
        <v>#DIV/0!</v>
      </c>
      <c r="Q68" s="537" t="e">
        <f t="shared" si="4"/>
        <v>#DIV/0!</v>
      </c>
      <c r="R68" s="538" t="e">
        <f>IF(INPUTS!$B$15="yes",Q68,P68)</f>
        <v>#DIV/0!</v>
      </c>
      <c r="S68" s="536" t="e">
        <f t="shared" si="5"/>
        <v>#DIV/0!</v>
      </c>
      <c r="T68" s="537" t="e">
        <f t="shared" si="6"/>
        <v>#DIV/0!</v>
      </c>
      <c r="U68" s="538" t="e">
        <f>IF(INPUTS!$B$15="yes",T68,S68)</f>
        <v>#DIV/0!</v>
      </c>
      <c r="V68" s="536" t="e">
        <f t="shared" si="7"/>
        <v>#DIV/0!</v>
      </c>
      <c r="W68" s="537" t="e">
        <f t="shared" si="8"/>
        <v>#DIV/0!</v>
      </c>
      <c r="X68" s="538" t="e">
        <f>IF(INPUTS!$B$15="yes",W68,V68)</f>
        <v>#DIV/0!</v>
      </c>
      <c r="Y68" s="536" t="e">
        <f t="shared" si="9"/>
        <v>#DIV/0!</v>
      </c>
      <c r="Z68" s="537" t="e">
        <f t="shared" si="10"/>
        <v>#DIV/0!</v>
      </c>
      <c r="AA68" s="538" t="e">
        <f>IF(INPUTS!$B$15="yes",Z68,Y68)</f>
        <v>#DIV/0!</v>
      </c>
      <c r="AB68" s="536" t="e">
        <f t="shared" si="11"/>
        <v>#DIV/0!</v>
      </c>
      <c r="AC68" s="537" t="e">
        <f t="shared" si="12"/>
        <v>#DIV/0!</v>
      </c>
      <c r="AD68" s="538" t="e">
        <f>IF(INPUTS!$B$15="yes",AC68,AB68)</f>
        <v>#DIV/0!</v>
      </c>
      <c r="AE68" s="36" t="str">
        <f t="shared" si="0"/>
        <v>no</v>
      </c>
      <c r="AF68" s="36"/>
      <c r="AG68" s="389" t="e">
        <f>P68*('upper bound Kenaga'!$F$36/100)</f>
        <v>#DIV/0!</v>
      </c>
      <c r="AH68" s="36"/>
      <c r="AI68" s="389" t="e">
        <f>P68*('upper bound Kenaga'!$F$96/100)</f>
        <v>#DIV/0!</v>
      </c>
      <c r="AJ68" s="36"/>
      <c r="AK68" s="36"/>
      <c r="AL68" s="36"/>
      <c r="AM68" s="36"/>
      <c r="AN68" s="36"/>
      <c r="AO68" s="36"/>
    </row>
    <row r="69" spans="1:41" ht="13.5" customHeight="1" thickTop="1">
      <c r="A69" s="590" t="s">
        <v>27</v>
      </c>
      <c r="B69" s="468" t="e">
        <f>B53/$C$46</f>
        <v>#DIV/0!</v>
      </c>
      <c r="C69" s="468" t="e">
        <f>C53/$C$47</f>
        <v>#DIV/0!</v>
      </c>
      <c r="D69" s="469" t="e">
        <f>D53/$C$48</f>
        <v>#DIV/0!</v>
      </c>
      <c r="E69" s="68"/>
      <c r="J69" s="6">
        <f>COUNTIF(K$21:K69,"=yes")</f>
        <v>1</v>
      </c>
      <c r="K69" s="533" t="str">
        <f>IF(LOOKUP(VALUE(M69),INPUTS!$G$6:$G$35)=M69,"yes","no")</f>
        <v>no</v>
      </c>
      <c r="L69" s="533">
        <f>IF(K69="yes",(LOOKUP(J69,INPUTS!$E$6:$E$35,INPUTS!$F$6:$F$35)),0)</f>
        <v>0</v>
      </c>
      <c r="M69" s="135">
        <f t="shared" si="1"/>
        <v>48</v>
      </c>
      <c r="N69" s="135">
        <f t="shared" si="2"/>
        <v>1</v>
      </c>
      <c r="O69" s="135">
        <f t="shared" si="3"/>
        <v>0</v>
      </c>
      <c r="P69" s="536" t="e">
        <f t="shared" si="14"/>
        <v>#DIV/0!</v>
      </c>
      <c r="Q69" s="537" t="e">
        <f t="shared" si="4"/>
        <v>#DIV/0!</v>
      </c>
      <c r="R69" s="538" t="e">
        <f>IF(INPUTS!$B$15="yes",Q69,P69)</f>
        <v>#DIV/0!</v>
      </c>
      <c r="S69" s="536" t="e">
        <f t="shared" si="5"/>
        <v>#DIV/0!</v>
      </c>
      <c r="T69" s="537" t="e">
        <f t="shared" si="6"/>
        <v>#DIV/0!</v>
      </c>
      <c r="U69" s="538" t="e">
        <f>IF(INPUTS!$B$15="yes",T69,S69)</f>
        <v>#DIV/0!</v>
      </c>
      <c r="V69" s="536" t="e">
        <f t="shared" si="7"/>
        <v>#DIV/0!</v>
      </c>
      <c r="W69" s="537" t="e">
        <f t="shared" si="8"/>
        <v>#DIV/0!</v>
      </c>
      <c r="X69" s="538" t="e">
        <f>IF(INPUTS!$B$15="yes",W69,V69)</f>
        <v>#DIV/0!</v>
      </c>
      <c r="Y69" s="536" t="e">
        <f t="shared" si="9"/>
        <v>#DIV/0!</v>
      </c>
      <c r="Z69" s="537" t="e">
        <f t="shared" si="10"/>
        <v>#DIV/0!</v>
      </c>
      <c r="AA69" s="538" t="e">
        <f>IF(INPUTS!$B$15="yes",Z69,Y69)</f>
        <v>#DIV/0!</v>
      </c>
      <c r="AB69" s="536" t="e">
        <f t="shared" si="11"/>
        <v>#DIV/0!</v>
      </c>
      <c r="AC69" s="537" t="e">
        <f t="shared" si="12"/>
        <v>#DIV/0!</v>
      </c>
      <c r="AD69" s="538" t="e">
        <f>IF(INPUTS!$B$15="yes",AC69,AB69)</f>
        <v>#DIV/0!</v>
      </c>
      <c r="AE69" s="36" t="str">
        <f t="shared" si="0"/>
        <v>no</v>
      </c>
      <c r="AF69" s="36"/>
      <c r="AG69" s="389" t="e">
        <f>P69*('upper bound Kenaga'!$F$36/100)</f>
        <v>#DIV/0!</v>
      </c>
      <c r="AH69" s="36"/>
      <c r="AI69" s="389" t="e">
        <f>P69*('upper bound Kenaga'!$F$96/100)</f>
        <v>#DIV/0!</v>
      </c>
      <c r="AJ69" s="36"/>
      <c r="AK69" s="36"/>
      <c r="AL69" s="36"/>
      <c r="AM69" s="36"/>
      <c r="AN69" s="36"/>
      <c r="AO69" s="36"/>
    </row>
    <row r="70" spans="1:41">
      <c r="A70" s="311" t="s">
        <v>23</v>
      </c>
      <c r="B70" s="324" t="e">
        <f>B54/$C$46</f>
        <v>#DIV/0!</v>
      </c>
      <c r="C70" s="324" t="e">
        <f>C54/$C$47</f>
        <v>#DIV/0!</v>
      </c>
      <c r="D70" s="295" t="e">
        <f>D54/$C$48</f>
        <v>#DIV/0!</v>
      </c>
      <c r="E70" s="21"/>
      <c r="J70" s="6">
        <f>COUNTIF(K$21:K70,"=yes")</f>
        <v>1</v>
      </c>
      <c r="K70" s="533" t="str">
        <f>IF(LOOKUP(VALUE(M70),INPUTS!$G$6:$G$35)=M70,"yes","no")</f>
        <v>no</v>
      </c>
      <c r="L70" s="533">
        <f>IF(K70="yes",(LOOKUP(J70,INPUTS!$E$6:$E$35,INPUTS!$F$6:$F$35)),0)</f>
        <v>0</v>
      </c>
      <c r="M70" s="135">
        <f t="shared" si="1"/>
        <v>49</v>
      </c>
      <c r="N70" s="135">
        <f t="shared" si="2"/>
        <v>1</v>
      </c>
      <c r="O70" s="135">
        <f t="shared" si="3"/>
        <v>0</v>
      </c>
      <c r="P70" s="536" t="e">
        <f t="shared" si="14"/>
        <v>#DIV/0!</v>
      </c>
      <c r="Q70" s="537" t="e">
        <f t="shared" si="4"/>
        <v>#DIV/0!</v>
      </c>
      <c r="R70" s="538" t="e">
        <f>IF(INPUTS!$B$15="yes",Q70,P70)</f>
        <v>#DIV/0!</v>
      </c>
      <c r="S70" s="536" t="e">
        <f t="shared" si="5"/>
        <v>#DIV/0!</v>
      </c>
      <c r="T70" s="537" t="e">
        <f t="shared" si="6"/>
        <v>#DIV/0!</v>
      </c>
      <c r="U70" s="538" t="e">
        <f>IF(INPUTS!$B$15="yes",T70,S70)</f>
        <v>#DIV/0!</v>
      </c>
      <c r="V70" s="536" t="e">
        <f t="shared" si="7"/>
        <v>#DIV/0!</v>
      </c>
      <c r="W70" s="537" t="e">
        <f t="shared" si="8"/>
        <v>#DIV/0!</v>
      </c>
      <c r="X70" s="538" t="e">
        <f>IF(INPUTS!$B$15="yes",W70,V70)</f>
        <v>#DIV/0!</v>
      </c>
      <c r="Y70" s="536" t="e">
        <f t="shared" si="9"/>
        <v>#DIV/0!</v>
      </c>
      <c r="Z70" s="537" t="e">
        <f t="shared" si="10"/>
        <v>#DIV/0!</v>
      </c>
      <c r="AA70" s="538" t="e">
        <f>IF(INPUTS!$B$15="yes",Z70,Y70)</f>
        <v>#DIV/0!</v>
      </c>
      <c r="AB70" s="536" t="e">
        <f t="shared" si="11"/>
        <v>#DIV/0!</v>
      </c>
      <c r="AC70" s="537" t="e">
        <f t="shared" si="12"/>
        <v>#DIV/0!</v>
      </c>
      <c r="AD70" s="538" t="e">
        <f>IF(INPUTS!$B$15="yes",AC70,AB70)</f>
        <v>#DIV/0!</v>
      </c>
      <c r="AE70" s="36" t="str">
        <f t="shared" si="0"/>
        <v>no</v>
      </c>
      <c r="AF70" s="36"/>
      <c r="AG70" s="389" t="e">
        <f>P70*('upper bound Kenaga'!$F$36/100)</f>
        <v>#DIV/0!</v>
      </c>
      <c r="AH70" s="36"/>
      <c r="AI70" s="389" t="e">
        <f>P70*('upper bound Kenaga'!$F$96/100)</f>
        <v>#DIV/0!</v>
      </c>
      <c r="AJ70" s="36"/>
      <c r="AK70" s="36"/>
      <c r="AL70" s="36"/>
      <c r="AM70" s="36"/>
      <c r="AN70" s="36"/>
      <c r="AO70" s="36"/>
    </row>
    <row r="71" spans="1:41">
      <c r="A71" s="311" t="s">
        <v>415</v>
      </c>
      <c r="B71" s="324" t="e">
        <f>B55/$C$46</f>
        <v>#DIV/0!</v>
      </c>
      <c r="C71" s="324" t="e">
        <f>C55/$C$47</f>
        <v>#DIV/0!</v>
      </c>
      <c r="D71" s="295" t="e">
        <f>D55/$C$48</f>
        <v>#DIV/0!</v>
      </c>
      <c r="E71" s="9"/>
      <c r="J71" s="6">
        <f>COUNTIF(K$21:K71,"=yes")</f>
        <v>1</v>
      </c>
      <c r="K71" s="533" t="str">
        <f>IF(LOOKUP(VALUE(M71),INPUTS!$G$6:$G$35)=M71,"yes","no")</f>
        <v>no</v>
      </c>
      <c r="L71" s="533">
        <f>IF(K71="yes",(LOOKUP(J71,INPUTS!$E$6:$E$35,INPUTS!$F$6:$F$35)),0)</f>
        <v>0</v>
      </c>
      <c r="M71" s="135">
        <f t="shared" si="1"/>
        <v>50</v>
      </c>
      <c r="N71" s="135">
        <f t="shared" si="2"/>
        <v>1</v>
      </c>
      <c r="O71" s="135">
        <f t="shared" si="3"/>
        <v>0</v>
      </c>
      <c r="P71" s="536" t="e">
        <f t="shared" si="14"/>
        <v>#DIV/0!</v>
      </c>
      <c r="Q71" s="537" t="e">
        <f t="shared" si="4"/>
        <v>#DIV/0!</v>
      </c>
      <c r="R71" s="538" t="e">
        <f>IF(INPUTS!$B$15="yes",Q71,P71)</f>
        <v>#DIV/0!</v>
      </c>
      <c r="S71" s="536" t="e">
        <f t="shared" si="5"/>
        <v>#DIV/0!</v>
      </c>
      <c r="T71" s="537" t="e">
        <f t="shared" si="6"/>
        <v>#DIV/0!</v>
      </c>
      <c r="U71" s="538" t="e">
        <f>IF(INPUTS!$B$15="yes",T71,S71)</f>
        <v>#DIV/0!</v>
      </c>
      <c r="V71" s="536" t="e">
        <f t="shared" si="7"/>
        <v>#DIV/0!</v>
      </c>
      <c r="W71" s="537" t="e">
        <f t="shared" si="8"/>
        <v>#DIV/0!</v>
      </c>
      <c r="X71" s="538" t="e">
        <f>IF(INPUTS!$B$15="yes",W71,V71)</f>
        <v>#DIV/0!</v>
      </c>
      <c r="Y71" s="536" t="e">
        <f t="shared" si="9"/>
        <v>#DIV/0!</v>
      </c>
      <c r="Z71" s="537" t="e">
        <f t="shared" si="10"/>
        <v>#DIV/0!</v>
      </c>
      <c r="AA71" s="538" t="e">
        <f>IF(INPUTS!$B$15="yes",Z71,Y71)</f>
        <v>#DIV/0!</v>
      </c>
      <c r="AB71" s="536" t="e">
        <f t="shared" si="11"/>
        <v>#DIV/0!</v>
      </c>
      <c r="AC71" s="537" t="e">
        <f t="shared" si="12"/>
        <v>#DIV/0!</v>
      </c>
      <c r="AD71" s="538" t="e">
        <f>IF(INPUTS!$B$15="yes",AC71,AB71)</f>
        <v>#DIV/0!</v>
      </c>
      <c r="AE71" s="36" t="str">
        <f t="shared" si="0"/>
        <v>no</v>
      </c>
      <c r="AF71" s="36"/>
      <c r="AG71" s="389" t="e">
        <f>P71*('upper bound Kenaga'!$F$36/100)</f>
        <v>#DIV/0!</v>
      </c>
      <c r="AH71" s="36"/>
      <c r="AI71" s="389" t="e">
        <f>P71*('upper bound Kenaga'!$F$96/100)</f>
        <v>#DIV/0!</v>
      </c>
      <c r="AJ71" s="36"/>
      <c r="AK71" s="36"/>
      <c r="AL71" s="36"/>
      <c r="AM71" s="36"/>
      <c r="AN71" s="36"/>
      <c r="AO71" s="36"/>
    </row>
    <row r="72" spans="1:41">
      <c r="A72" s="311" t="s">
        <v>417</v>
      </c>
      <c r="B72" s="324" t="e">
        <f>B56/$C$46</f>
        <v>#DIV/0!</v>
      </c>
      <c r="C72" s="324" t="e">
        <f>C56/$C$47</f>
        <v>#DIV/0!</v>
      </c>
      <c r="D72" s="295" t="e">
        <f>D56/$C$48</f>
        <v>#DIV/0!</v>
      </c>
      <c r="E72" s="441"/>
      <c r="F72" s="9"/>
      <c r="G72" s="441"/>
      <c r="H72" s="4"/>
      <c r="J72" s="6">
        <f>COUNTIF(K$21:K72,"=yes")</f>
        <v>1</v>
      </c>
      <c r="K72" s="533" t="str">
        <f>IF(LOOKUP(VALUE(M72),INPUTS!$G$6:$G$35)=M72,"yes","no")</f>
        <v>no</v>
      </c>
      <c r="L72" s="533">
        <f>IF(K72="yes",(LOOKUP(J72,INPUTS!$E$6:$E$35,INPUTS!$F$6:$F$35)),0)</f>
        <v>0</v>
      </c>
      <c r="M72" s="135">
        <f t="shared" si="1"/>
        <v>51</v>
      </c>
      <c r="N72" s="135">
        <f t="shared" si="2"/>
        <v>1</v>
      </c>
      <c r="O72" s="135">
        <f t="shared" si="3"/>
        <v>0</v>
      </c>
      <c r="P72" s="536" t="e">
        <f t="shared" si="14"/>
        <v>#DIV/0!</v>
      </c>
      <c r="Q72" s="537" t="e">
        <f t="shared" si="4"/>
        <v>#DIV/0!</v>
      </c>
      <c r="R72" s="538" t="e">
        <f>IF(INPUTS!$B$15="yes",Q72,P72)</f>
        <v>#DIV/0!</v>
      </c>
      <c r="S72" s="536" t="e">
        <f t="shared" si="5"/>
        <v>#DIV/0!</v>
      </c>
      <c r="T72" s="537" t="e">
        <f t="shared" si="6"/>
        <v>#DIV/0!</v>
      </c>
      <c r="U72" s="538" t="e">
        <f>IF(INPUTS!$B$15="yes",T72,S72)</f>
        <v>#DIV/0!</v>
      </c>
      <c r="V72" s="536" t="e">
        <f t="shared" si="7"/>
        <v>#DIV/0!</v>
      </c>
      <c r="W72" s="537" t="e">
        <f t="shared" si="8"/>
        <v>#DIV/0!</v>
      </c>
      <c r="X72" s="538" t="e">
        <f>IF(INPUTS!$B$15="yes",W72,V72)</f>
        <v>#DIV/0!</v>
      </c>
      <c r="Y72" s="536" t="e">
        <f t="shared" si="9"/>
        <v>#DIV/0!</v>
      </c>
      <c r="Z72" s="537" t="e">
        <f t="shared" si="10"/>
        <v>#DIV/0!</v>
      </c>
      <c r="AA72" s="538" t="e">
        <f>IF(INPUTS!$B$15="yes",Z72,Y72)</f>
        <v>#DIV/0!</v>
      </c>
      <c r="AB72" s="536" t="e">
        <f t="shared" si="11"/>
        <v>#DIV/0!</v>
      </c>
      <c r="AC72" s="537" t="e">
        <f t="shared" si="12"/>
        <v>#DIV/0!</v>
      </c>
      <c r="AD72" s="538" t="e">
        <f>IF(INPUTS!$B$15="yes",AC72,AB72)</f>
        <v>#DIV/0!</v>
      </c>
      <c r="AE72" s="36" t="str">
        <f t="shared" si="0"/>
        <v>no</v>
      </c>
      <c r="AF72" s="36"/>
      <c r="AG72" s="389" t="e">
        <f>P72*('upper bound Kenaga'!$F$36/100)</f>
        <v>#DIV/0!</v>
      </c>
      <c r="AH72" s="36"/>
      <c r="AI72" s="389" t="e">
        <f>P72*('upper bound Kenaga'!$F$96/100)</f>
        <v>#DIV/0!</v>
      </c>
      <c r="AJ72" s="36"/>
      <c r="AK72" s="36"/>
      <c r="AL72" s="36"/>
      <c r="AM72" s="36"/>
      <c r="AN72" s="36"/>
      <c r="AO72" s="36"/>
    </row>
    <row r="73" spans="1:41" ht="12.75" customHeight="1">
      <c r="A73" s="594" t="s">
        <v>414</v>
      </c>
      <c r="B73" s="591" t="e">
        <f>B64/$C$46</f>
        <v>#DIV/0!</v>
      </c>
      <c r="C73" s="591" t="e">
        <f>C64/$C$47</f>
        <v>#DIV/0!</v>
      </c>
      <c r="D73" s="595" t="e">
        <f>D64/$C$48</f>
        <v>#DIV/0!</v>
      </c>
      <c r="E73" s="9"/>
      <c r="J73" s="6">
        <f>COUNTIF(K$21:K73,"=yes")</f>
        <v>1</v>
      </c>
      <c r="K73" s="533" t="str">
        <f>IF(LOOKUP(VALUE(M73),INPUTS!$G$6:$G$35)=M73,"yes","no")</f>
        <v>no</v>
      </c>
      <c r="L73" s="533">
        <f>IF(K73="yes",(LOOKUP(J73,INPUTS!$E$6:$E$35,INPUTS!$F$6:$F$35)),0)</f>
        <v>0</v>
      </c>
      <c r="M73" s="135">
        <f t="shared" si="1"/>
        <v>52</v>
      </c>
      <c r="N73" s="135">
        <f>IF($B$9&gt;N71,IF(O71=($B$8-1),(N71+1),(N71)),(N71))</f>
        <v>1</v>
      </c>
      <c r="O73" s="135">
        <f t="shared" si="3"/>
        <v>0</v>
      </c>
      <c r="P73" s="536" t="e">
        <f t="shared" si="14"/>
        <v>#DIV/0!</v>
      </c>
      <c r="Q73" s="537" t="e">
        <f t="shared" si="4"/>
        <v>#DIV/0!</v>
      </c>
      <c r="R73" s="538" t="e">
        <f>IF(INPUTS!$B$15="yes",Q73,P73)</f>
        <v>#DIV/0!</v>
      </c>
      <c r="S73" s="536" t="e">
        <f t="shared" si="5"/>
        <v>#DIV/0!</v>
      </c>
      <c r="T73" s="537" t="e">
        <f t="shared" si="6"/>
        <v>#DIV/0!</v>
      </c>
      <c r="U73" s="538" t="e">
        <f>IF(INPUTS!$B$15="yes",T73,S73)</f>
        <v>#DIV/0!</v>
      </c>
      <c r="V73" s="536" t="e">
        <f t="shared" si="7"/>
        <v>#DIV/0!</v>
      </c>
      <c r="W73" s="537" t="e">
        <f t="shared" si="8"/>
        <v>#DIV/0!</v>
      </c>
      <c r="X73" s="538" t="e">
        <f>IF(INPUTS!$B$15="yes",W73,V73)</f>
        <v>#DIV/0!</v>
      </c>
      <c r="Y73" s="536" t="e">
        <f t="shared" si="9"/>
        <v>#DIV/0!</v>
      </c>
      <c r="Z73" s="537" t="e">
        <f t="shared" si="10"/>
        <v>#DIV/0!</v>
      </c>
      <c r="AA73" s="538" t="e">
        <f>IF(INPUTS!$B$15="yes",Z73,Y73)</f>
        <v>#DIV/0!</v>
      </c>
      <c r="AB73" s="536" t="e">
        <f t="shared" si="11"/>
        <v>#DIV/0!</v>
      </c>
      <c r="AC73" s="537" t="e">
        <f t="shared" si="12"/>
        <v>#DIV/0!</v>
      </c>
      <c r="AD73" s="538" t="e">
        <f>IF(INPUTS!$B$15="yes",AC73,AB73)</f>
        <v>#DIV/0!</v>
      </c>
      <c r="AE73" s="36" t="str">
        <f t="shared" si="0"/>
        <v>no</v>
      </c>
      <c r="AF73" s="36"/>
      <c r="AG73" s="389" t="e">
        <f>P73*('upper bound Kenaga'!$F$36/100)</f>
        <v>#DIV/0!</v>
      </c>
      <c r="AH73" s="36"/>
      <c r="AI73" s="389" t="e">
        <f>P73*('upper bound Kenaga'!$F$96/100)</f>
        <v>#DIV/0!</v>
      </c>
      <c r="AJ73" s="36"/>
      <c r="AK73" s="36"/>
      <c r="AL73" s="36"/>
      <c r="AM73" s="36"/>
      <c r="AN73" s="36"/>
      <c r="AO73" s="36"/>
    </row>
    <row r="74" spans="1:41" ht="12.75" customHeight="1" thickBot="1">
      <c r="A74" s="358" t="s">
        <v>418</v>
      </c>
      <c r="B74" s="592" t="e">
        <f>$B$65/$C$46</f>
        <v>#DIV/0!</v>
      </c>
      <c r="C74" s="592" t="e">
        <f>$C$65/$C$47</f>
        <v>#DIV/0!</v>
      </c>
      <c r="D74" s="593" t="e">
        <f>$D$65/$C$48</f>
        <v>#DIV/0!</v>
      </c>
      <c r="E74" s="9"/>
      <c r="J74" s="6">
        <f>COUNTIF(K$21:K74,"=yes")</f>
        <v>1</v>
      </c>
      <c r="K74" s="533" t="str">
        <f>IF(LOOKUP(VALUE(M74),INPUTS!$G$6:$G$35)=M74,"yes","no")</f>
        <v>no</v>
      </c>
      <c r="L74" s="533">
        <f>IF(K74="yes",(LOOKUP(J74,INPUTS!$E$6:$E$35,INPUTS!$F$6:$F$35)),0)</f>
        <v>0</v>
      </c>
      <c r="M74" s="135">
        <f t="shared" si="1"/>
        <v>53</v>
      </c>
      <c r="N74" s="135">
        <f t="shared" si="2"/>
        <v>1</v>
      </c>
      <c r="O74" s="135">
        <f t="shared" si="3"/>
        <v>0</v>
      </c>
      <c r="P74" s="536" t="e">
        <f t="shared" si="14"/>
        <v>#DIV/0!</v>
      </c>
      <c r="Q74" s="537" t="e">
        <f t="shared" si="4"/>
        <v>#DIV/0!</v>
      </c>
      <c r="R74" s="538" t="e">
        <f>IF(INPUTS!$B$15="yes",Q74,P74)</f>
        <v>#DIV/0!</v>
      </c>
      <c r="S74" s="536" t="e">
        <f t="shared" si="5"/>
        <v>#DIV/0!</v>
      </c>
      <c r="T74" s="537" t="e">
        <f t="shared" si="6"/>
        <v>#DIV/0!</v>
      </c>
      <c r="U74" s="538" t="e">
        <f>IF(INPUTS!$B$15="yes",T74,S74)</f>
        <v>#DIV/0!</v>
      </c>
      <c r="V74" s="536" t="e">
        <f t="shared" si="7"/>
        <v>#DIV/0!</v>
      </c>
      <c r="W74" s="537" t="e">
        <f t="shared" si="8"/>
        <v>#DIV/0!</v>
      </c>
      <c r="X74" s="538" t="e">
        <f>IF(INPUTS!$B$15="yes",W74,V74)</f>
        <v>#DIV/0!</v>
      </c>
      <c r="Y74" s="536" t="e">
        <f t="shared" si="9"/>
        <v>#DIV/0!</v>
      </c>
      <c r="Z74" s="537" t="e">
        <f t="shared" si="10"/>
        <v>#DIV/0!</v>
      </c>
      <c r="AA74" s="538" t="e">
        <f>IF(INPUTS!$B$15="yes",Z74,Y74)</f>
        <v>#DIV/0!</v>
      </c>
      <c r="AB74" s="536" t="e">
        <f t="shared" si="11"/>
        <v>#DIV/0!</v>
      </c>
      <c r="AC74" s="537" t="e">
        <f t="shared" si="12"/>
        <v>#DIV/0!</v>
      </c>
      <c r="AD74" s="538" t="e">
        <f>IF(INPUTS!$B$15="yes",AC74,AB74)</f>
        <v>#DIV/0!</v>
      </c>
      <c r="AE74" s="36" t="str">
        <f t="shared" si="0"/>
        <v>no</v>
      </c>
      <c r="AF74" s="36"/>
      <c r="AG74" s="389" t="e">
        <f>P74*('upper bound Kenaga'!$F$36/100)</f>
        <v>#DIV/0!</v>
      </c>
      <c r="AH74" s="36"/>
      <c r="AI74" s="389" t="e">
        <f>P74*('upper bound Kenaga'!$F$96/100)</f>
        <v>#DIV/0!</v>
      </c>
      <c r="AJ74" s="36"/>
      <c r="AK74" s="36"/>
      <c r="AL74" s="36"/>
      <c r="AM74" s="36"/>
      <c r="AN74" s="36"/>
      <c r="AO74" s="36"/>
    </row>
    <row r="75" spans="1:41" ht="12.75" customHeight="1" thickBot="1">
      <c r="A75" s="36"/>
      <c r="E75" s="9"/>
      <c r="J75" s="6">
        <f>COUNTIF(K$21:K75,"=yes")</f>
        <v>1</v>
      </c>
      <c r="K75" s="533" t="str">
        <f>IF(LOOKUP(VALUE(M75),INPUTS!$G$6:$G$35)=M75,"yes","no")</f>
        <v>no</v>
      </c>
      <c r="L75" s="533">
        <f>IF(K75="yes",(LOOKUP(J75,INPUTS!$E$6:$E$35,INPUTS!$F$6:$F$35)),0)</f>
        <v>0</v>
      </c>
      <c r="M75" s="135">
        <f t="shared" si="1"/>
        <v>54</v>
      </c>
      <c r="N75" s="135">
        <f t="shared" si="2"/>
        <v>1</v>
      </c>
      <c r="O75" s="135">
        <f t="shared" si="3"/>
        <v>0</v>
      </c>
      <c r="P75" s="536" t="e">
        <f t="shared" si="14"/>
        <v>#DIV/0!</v>
      </c>
      <c r="Q75" s="537" t="e">
        <f t="shared" si="4"/>
        <v>#DIV/0!</v>
      </c>
      <c r="R75" s="538" t="e">
        <f>IF(INPUTS!$B$15="yes",Q75,P75)</f>
        <v>#DIV/0!</v>
      </c>
      <c r="S75" s="536" t="e">
        <f t="shared" si="5"/>
        <v>#DIV/0!</v>
      </c>
      <c r="T75" s="537" t="e">
        <f t="shared" si="6"/>
        <v>#DIV/0!</v>
      </c>
      <c r="U75" s="538" t="e">
        <f>IF(INPUTS!$B$15="yes",T75,S75)</f>
        <v>#DIV/0!</v>
      </c>
      <c r="V75" s="536" t="e">
        <f t="shared" si="7"/>
        <v>#DIV/0!</v>
      </c>
      <c r="W75" s="537" t="e">
        <f t="shared" si="8"/>
        <v>#DIV/0!</v>
      </c>
      <c r="X75" s="538" t="e">
        <f>IF(INPUTS!$B$15="yes",W75,V75)</f>
        <v>#DIV/0!</v>
      </c>
      <c r="Y75" s="536" t="e">
        <f t="shared" si="9"/>
        <v>#DIV/0!</v>
      </c>
      <c r="Z75" s="537" t="e">
        <f t="shared" si="10"/>
        <v>#DIV/0!</v>
      </c>
      <c r="AA75" s="538" t="e">
        <f>IF(INPUTS!$B$15="yes",Z75,Y75)</f>
        <v>#DIV/0!</v>
      </c>
      <c r="AB75" s="536" t="e">
        <f t="shared" si="11"/>
        <v>#DIV/0!</v>
      </c>
      <c r="AC75" s="537" t="e">
        <f t="shared" si="12"/>
        <v>#DIV/0!</v>
      </c>
      <c r="AD75" s="538" t="e">
        <f>IF(INPUTS!$B$15="yes",AC75,AB75)</f>
        <v>#DIV/0!</v>
      </c>
      <c r="AE75" s="36" t="str">
        <f t="shared" si="0"/>
        <v>no</v>
      </c>
      <c r="AF75" s="36"/>
      <c r="AG75" s="389" t="e">
        <f>P75*('upper bound Kenaga'!$F$36/100)</f>
        <v>#DIV/0!</v>
      </c>
      <c r="AH75" s="36"/>
      <c r="AI75" s="389" t="e">
        <f>P75*('upper bound Kenaga'!$F$96/100)</f>
        <v>#DIV/0!</v>
      </c>
      <c r="AJ75" s="36"/>
      <c r="AK75" s="36"/>
      <c r="AL75" s="36"/>
      <c r="AM75" s="36"/>
      <c r="AN75" s="36"/>
      <c r="AO75" s="36"/>
    </row>
    <row r="76" spans="1:41" ht="25.5" customHeight="1">
      <c r="A76" s="546" t="s">
        <v>277</v>
      </c>
      <c r="B76" s="909" t="s">
        <v>126</v>
      </c>
      <c r="C76" s="910"/>
      <c r="J76" s="6">
        <f>COUNTIF(K$21:K76,"=yes")</f>
        <v>1</v>
      </c>
      <c r="K76" s="533" t="str">
        <f>IF(LOOKUP(VALUE(M76),INPUTS!$G$6:$G$35)=M76,"yes","no")</f>
        <v>no</v>
      </c>
      <c r="L76" s="533">
        <f>IF(K76="yes",(LOOKUP(J76,INPUTS!$E$6:$E$35,INPUTS!$F$6:$F$35)),0)</f>
        <v>0</v>
      </c>
      <c r="M76" s="135">
        <f t="shared" si="1"/>
        <v>55</v>
      </c>
      <c r="N76" s="135">
        <f t="shared" si="2"/>
        <v>1</v>
      </c>
      <c r="O76" s="135">
        <f t="shared" si="3"/>
        <v>0</v>
      </c>
      <c r="P76" s="536" t="e">
        <f t="shared" si="14"/>
        <v>#DIV/0!</v>
      </c>
      <c r="Q76" s="537" t="e">
        <f t="shared" si="4"/>
        <v>#DIV/0!</v>
      </c>
      <c r="R76" s="538" t="e">
        <f>IF(INPUTS!$B$15="yes",Q76,P76)</f>
        <v>#DIV/0!</v>
      </c>
      <c r="S76" s="536" t="e">
        <f t="shared" si="5"/>
        <v>#DIV/0!</v>
      </c>
      <c r="T76" s="537" t="e">
        <f t="shared" si="6"/>
        <v>#DIV/0!</v>
      </c>
      <c r="U76" s="538" t="e">
        <f>IF(INPUTS!$B$15="yes",T76,S76)</f>
        <v>#DIV/0!</v>
      </c>
      <c r="V76" s="536" t="e">
        <f t="shared" si="7"/>
        <v>#DIV/0!</v>
      </c>
      <c r="W76" s="537" t="e">
        <f t="shared" si="8"/>
        <v>#DIV/0!</v>
      </c>
      <c r="X76" s="538" t="e">
        <f>IF(INPUTS!$B$15="yes",W76,V76)</f>
        <v>#DIV/0!</v>
      </c>
      <c r="Y76" s="536" t="e">
        <f t="shared" si="9"/>
        <v>#DIV/0!</v>
      </c>
      <c r="Z76" s="537" t="e">
        <f t="shared" si="10"/>
        <v>#DIV/0!</v>
      </c>
      <c r="AA76" s="538" t="e">
        <f>IF(INPUTS!$B$15="yes",Z76,Y76)</f>
        <v>#DIV/0!</v>
      </c>
      <c r="AB76" s="536" t="e">
        <f t="shared" si="11"/>
        <v>#DIV/0!</v>
      </c>
      <c r="AC76" s="537" t="e">
        <f t="shared" si="12"/>
        <v>#DIV/0!</v>
      </c>
      <c r="AD76" s="538" t="e">
        <f>IF(INPUTS!$B$15="yes",AC76,AB76)</f>
        <v>#DIV/0!</v>
      </c>
      <c r="AE76" s="36" t="str">
        <f t="shared" si="0"/>
        <v>no</v>
      </c>
      <c r="AF76" s="36"/>
      <c r="AG76" s="389" t="e">
        <f>P76*('upper bound Kenaga'!$F$36/100)</f>
        <v>#DIV/0!</v>
      </c>
      <c r="AH76" s="36"/>
      <c r="AI76" s="389" t="e">
        <f>P76*('upper bound Kenaga'!$F$96/100)</f>
        <v>#DIV/0!</v>
      </c>
      <c r="AJ76" s="36"/>
      <c r="AK76" s="36"/>
      <c r="AL76" s="36"/>
      <c r="AM76" s="36"/>
      <c r="AN76" s="36"/>
      <c r="AO76" s="36"/>
    </row>
    <row r="77" spans="1:41">
      <c r="A77" s="548"/>
      <c r="B77" s="911"/>
      <c r="C77" s="912"/>
      <c r="J77" s="6">
        <f>COUNTIF(K$21:K77,"=yes")</f>
        <v>1</v>
      </c>
      <c r="K77" s="533" t="str">
        <f>IF(LOOKUP(VALUE(M77),INPUTS!$G$6:$G$35)=M77,"yes","no")</f>
        <v>no</v>
      </c>
      <c r="L77" s="533">
        <f>IF(K77="yes",(LOOKUP(J77,INPUTS!$E$6:$E$35,INPUTS!$F$6:$F$35)),0)</f>
        <v>0</v>
      </c>
      <c r="M77" s="135">
        <f t="shared" si="1"/>
        <v>56</v>
      </c>
      <c r="N77" s="135">
        <f t="shared" si="2"/>
        <v>1</v>
      </c>
      <c r="O77" s="135">
        <f t="shared" si="3"/>
        <v>0</v>
      </c>
      <c r="P77" s="536" t="e">
        <f t="shared" si="14"/>
        <v>#DIV/0!</v>
      </c>
      <c r="Q77" s="537" t="e">
        <f t="shared" si="4"/>
        <v>#DIV/0!</v>
      </c>
      <c r="R77" s="538" t="e">
        <f>IF(INPUTS!$B$15="yes",Q77,P77)</f>
        <v>#DIV/0!</v>
      </c>
      <c r="S77" s="536" t="e">
        <f t="shared" si="5"/>
        <v>#DIV/0!</v>
      </c>
      <c r="T77" s="537" t="e">
        <f t="shared" si="6"/>
        <v>#DIV/0!</v>
      </c>
      <c r="U77" s="538" t="e">
        <f>IF(INPUTS!$B$15="yes",T77,S77)</f>
        <v>#DIV/0!</v>
      </c>
      <c r="V77" s="536" t="e">
        <f t="shared" si="7"/>
        <v>#DIV/0!</v>
      </c>
      <c r="W77" s="537" t="e">
        <f t="shared" si="8"/>
        <v>#DIV/0!</v>
      </c>
      <c r="X77" s="538" t="e">
        <f>IF(INPUTS!$B$15="yes",W77,V77)</f>
        <v>#DIV/0!</v>
      </c>
      <c r="Y77" s="536" t="e">
        <f t="shared" si="9"/>
        <v>#DIV/0!</v>
      </c>
      <c r="Z77" s="537" t="e">
        <f t="shared" si="10"/>
        <v>#DIV/0!</v>
      </c>
      <c r="AA77" s="538" t="e">
        <f>IF(INPUTS!$B$15="yes",Z77,Y77)</f>
        <v>#DIV/0!</v>
      </c>
      <c r="AB77" s="536" t="e">
        <f t="shared" si="11"/>
        <v>#DIV/0!</v>
      </c>
      <c r="AC77" s="537" t="e">
        <f t="shared" si="12"/>
        <v>#DIV/0!</v>
      </c>
      <c r="AD77" s="538" t="e">
        <f>IF(INPUTS!$B$15="yes",AC77,AB77)</f>
        <v>#DIV/0!</v>
      </c>
      <c r="AE77" s="36" t="str">
        <f t="shared" si="0"/>
        <v>no</v>
      </c>
      <c r="AF77" s="36"/>
      <c r="AG77" s="389" t="e">
        <f>P77*('upper bound Kenaga'!$F$36/100)</f>
        <v>#DIV/0!</v>
      </c>
      <c r="AH77" s="36"/>
      <c r="AI77" s="389" t="e">
        <f>P77*('upper bound Kenaga'!$F$96/100)</f>
        <v>#DIV/0!</v>
      </c>
      <c r="AJ77" s="36"/>
      <c r="AK77" s="36"/>
      <c r="AL77" s="36"/>
      <c r="AM77" s="36"/>
      <c r="AN77" s="36"/>
      <c r="AO77" s="36"/>
    </row>
    <row r="78" spans="1:41" ht="13.5" thickBot="1">
      <c r="A78" s="547"/>
      <c r="B78" s="322" t="s">
        <v>31</v>
      </c>
      <c r="C78" s="323" t="s">
        <v>32</v>
      </c>
      <c r="J78" s="6">
        <f>COUNTIF(K$21:K78,"=yes")</f>
        <v>1</v>
      </c>
      <c r="K78" s="533" t="str">
        <f>IF(LOOKUP(VALUE(M78),INPUTS!$G$6:$G$35)=M78,"yes","no")</f>
        <v>no</v>
      </c>
      <c r="L78" s="533">
        <f>IF(K78="yes",(LOOKUP(J78,INPUTS!$E$6:$E$35,INPUTS!$F$6:$F$35)),0)</f>
        <v>0</v>
      </c>
      <c r="M78" s="135">
        <f t="shared" si="1"/>
        <v>57</v>
      </c>
      <c r="N78" s="135">
        <f t="shared" si="2"/>
        <v>1</v>
      </c>
      <c r="O78" s="135">
        <f t="shared" si="3"/>
        <v>0</v>
      </c>
      <c r="P78" s="536" t="e">
        <f t="shared" si="14"/>
        <v>#DIV/0!</v>
      </c>
      <c r="Q78" s="537" t="e">
        <f t="shared" si="4"/>
        <v>#DIV/0!</v>
      </c>
      <c r="R78" s="538" t="e">
        <f>IF(INPUTS!$B$15="yes",Q78,P78)</f>
        <v>#DIV/0!</v>
      </c>
      <c r="S78" s="536" t="e">
        <f t="shared" si="5"/>
        <v>#DIV/0!</v>
      </c>
      <c r="T78" s="537" t="e">
        <f t="shared" si="6"/>
        <v>#DIV/0!</v>
      </c>
      <c r="U78" s="538" t="e">
        <f>IF(INPUTS!$B$15="yes",T78,S78)</f>
        <v>#DIV/0!</v>
      </c>
      <c r="V78" s="536" t="e">
        <f t="shared" si="7"/>
        <v>#DIV/0!</v>
      </c>
      <c r="W78" s="537" t="e">
        <f t="shared" si="8"/>
        <v>#DIV/0!</v>
      </c>
      <c r="X78" s="538" t="e">
        <f>IF(INPUTS!$B$15="yes",W78,V78)</f>
        <v>#DIV/0!</v>
      </c>
      <c r="Y78" s="536" t="e">
        <f t="shared" si="9"/>
        <v>#DIV/0!</v>
      </c>
      <c r="Z78" s="537" t="e">
        <f t="shared" si="10"/>
        <v>#DIV/0!</v>
      </c>
      <c r="AA78" s="538" t="e">
        <f>IF(INPUTS!$B$15="yes",Z78,Y78)</f>
        <v>#DIV/0!</v>
      </c>
      <c r="AB78" s="536" t="e">
        <f t="shared" si="11"/>
        <v>#DIV/0!</v>
      </c>
      <c r="AC78" s="537" t="e">
        <f t="shared" si="12"/>
        <v>#DIV/0!</v>
      </c>
      <c r="AD78" s="538" t="e">
        <f>IF(INPUTS!$B$15="yes",AC78,AB78)</f>
        <v>#DIV/0!</v>
      </c>
      <c r="AE78" s="36" t="str">
        <f t="shared" si="0"/>
        <v>no</v>
      </c>
      <c r="AF78" s="36"/>
      <c r="AG78" s="389" t="e">
        <f>P78*('upper bound Kenaga'!$F$36/100)</f>
        <v>#DIV/0!</v>
      </c>
      <c r="AH78" s="36"/>
      <c r="AI78" s="389" t="e">
        <f>P78*('upper bound Kenaga'!$F$96/100)</f>
        <v>#DIV/0!</v>
      </c>
      <c r="AJ78" s="36"/>
      <c r="AK78" s="36"/>
      <c r="AL78" s="36"/>
      <c r="AM78" s="36"/>
      <c r="AN78" s="36"/>
      <c r="AO78" s="36"/>
    </row>
    <row r="79" spans="1:41" ht="13.5" thickTop="1">
      <c r="A79" s="297" t="s">
        <v>13</v>
      </c>
      <c r="B79" s="454" t="e">
        <f>B27/D16</f>
        <v>#DIV/0!</v>
      </c>
      <c r="C79" s="455" t="e">
        <f>B27/D18</f>
        <v>#DIV/0!</v>
      </c>
      <c r="I79" s="12"/>
      <c r="J79" s="6">
        <f>COUNTIF(K$21:K79,"=yes")</f>
        <v>1</v>
      </c>
      <c r="K79" s="533" t="str">
        <f>IF(LOOKUP(VALUE(M79),INPUTS!$G$6:$G$35)=M79,"yes","no")</f>
        <v>no</v>
      </c>
      <c r="L79" s="533">
        <f>IF(K79="yes",(LOOKUP(J79,INPUTS!$E$6:$E$35,INPUTS!$F$6:$F$35)),0)</f>
        <v>0</v>
      </c>
      <c r="M79" s="135">
        <f t="shared" si="1"/>
        <v>58</v>
      </c>
      <c r="N79" s="135">
        <f t="shared" si="2"/>
        <v>1</v>
      </c>
      <c r="O79" s="135">
        <f t="shared" si="3"/>
        <v>0</v>
      </c>
      <c r="P79" s="536" t="e">
        <f t="shared" si="14"/>
        <v>#DIV/0!</v>
      </c>
      <c r="Q79" s="537" t="e">
        <f t="shared" si="4"/>
        <v>#DIV/0!</v>
      </c>
      <c r="R79" s="538" t="e">
        <f>IF(INPUTS!$B$15="yes",Q79,P79)</f>
        <v>#DIV/0!</v>
      </c>
      <c r="S79" s="536" t="e">
        <f t="shared" si="5"/>
        <v>#DIV/0!</v>
      </c>
      <c r="T79" s="537" t="e">
        <f t="shared" si="6"/>
        <v>#DIV/0!</v>
      </c>
      <c r="U79" s="538" t="e">
        <f>IF(INPUTS!$B$15="yes",T79,S79)</f>
        <v>#DIV/0!</v>
      </c>
      <c r="V79" s="536" t="e">
        <f t="shared" si="7"/>
        <v>#DIV/0!</v>
      </c>
      <c r="W79" s="537" t="e">
        <f t="shared" si="8"/>
        <v>#DIV/0!</v>
      </c>
      <c r="X79" s="538" t="e">
        <f>IF(INPUTS!$B$15="yes",W79,V79)</f>
        <v>#DIV/0!</v>
      </c>
      <c r="Y79" s="536" t="e">
        <f t="shared" si="9"/>
        <v>#DIV/0!</v>
      </c>
      <c r="Z79" s="537" t="e">
        <f t="shared" si="10"/>
        <v>#DIV/0!</v>
      </c>
      <c r="AA79" s="538" t="e">
        <f>IF(INPUTS!$B$15="yes",Z79,Y79)</f>
        <v>#DIV/0!</v>
      </c>
      <c r="AB79" s="536" t="e">
        <f t="shared" si="11"/>
        <v>#DIV/0!</v>
      </c>
      <c r="AC79" s="537" t="e">
        <f t="shared" si="12"/>
        <v>#DIV/0!</v>
      </c>
      <c r="AD79" s="538" t="e">
        <f>IF(INPUTS!$B$15="yes",AC79,AB79)</f>
        <v>#DIV/0!</v>
      </c>
      <c r="AE79" s="36" t="str">
        <f t="shared" si="0"/>
        <v>no</v>
      </c>
      <c r="AF79" s="36"/>
      <c r="AG79" s="389" t="e">
        <f>P79*('upper bound Kenaga'!$F$36/100)</f>
        <v>#DIV/0!</v>
      </c>
      <c r="AH79" s="36"/>
      <c r="AI79" s="389" t="e">
        <f>P79*('upper bound Kenaga'!$F$96/100)</f>
        <v>#DIV/0!</v>
      </c>
      <c r="AJ79" s="36"/>
      <c r="AK79" s="36"/>
      <c r="AL79" s="36"/>
      <c r="AM79" s="36"/>
      <c r="AN79" s="36"/>
      <c r="AO79" s="36"/>
    </row>
    <row r="80" spans="1:41">
      <c r="A80" s="297" t="s">
        <v>16</v>
      </c>
      <c r="B80" s="454" t="e">
        <f>B28/D16</f>
        <v>#DIV/0!</v>
      </c>
      <c r="C80" s="455" t="e">
        <f>B28/D18</f>
        <v>#DIV/0!</v>
      </c>
      <c r="I80" s="12"/>
      <c r="J80" s="6">
        <f>COUNTIF(K$21:K80,"=yes")</f>
        <v>1</v>
      </c>
      <c r="K80" s="533" t="str">
        <f>IF(LOOKUP(VALUE(M80),INPUTS!$G$6:$G$35)=M80,"yes","no")</f>
        <v>no</v>
      </c>
      <c r="L80" s="533">
        <f>IF(K80="yes",(LOOKUP(J80,INPUTS!$E$6:$E$35,INPUTS!$F$6:$F$35)),0)</f>
        <v>0</v>
      </c>
      <c r="M80" s="135">
        <f t="shared" si="1"/>
        <v>59</v>
      </c>
      <c r="N80" s="135">
        <f t="shared" si="2"/>
        <v>1</v>
      </c>
      <c r="O80" s="135">
        <f t="shared" si="3"/>
        <v>0</v>
      </c>
      <c r="P80" s="536" t="e">
        <f t="shared" si="14"/>
        <v>#DIV/0!</v>
      </c>
      <c r="Q80" s="537" t="e">
        <f t="shared" si="4"/>
        <v>#DIV/0!</v>
      </c>
      <c r="R80" s="538" t="e">
        <f>IF(INPUTS!$B$15="yes",Q80,P80)</f>
        <v>#DIV/0!</v>
      </c>
      <c r="S80" s="536" t="e">
        <f t="shared" si="5"/>
        <v>#DIV/0!</v>
      </c>
      <c r="T80" s="537" t="e">
        <f t="shared" si="6"/>
        <v>#DIV/0!</v>
      </c>
      <c r="U80" s="538" t="e">
        <f>IF(INPUTS!$B$15="yes",T80,S80)</f>
        <v>#DIV/0!</v>
      </c>
      <c r="V80" s="536" t="e">
        <f t="shared" si="7"/>
        <v>#DIV/0!</v>
      </c>
      <c r="W80" s="537" t="e">
        <f t="shared" si="8"/>
        <v>#DIV/0!</v>
      </c>
      <c r="X80" s="538" t="e">
        <f>IF(INPUTS!$B$15="yes",W80,V80)</f>
        <v>#DIV/0!</v>
      </c>
      <c r="Y80" s="536" t="e">
        <f t="shared" si="9"/>
        <v>#DIV/0!</v>
      </c>
      <c r="Z80" s="537" t="e">
        <f t="shared" si="10"/>
        <v>#DIV/0!</v>
      </c>
      <c r="AA80" s="538" t="e">
        <f>IF(INPUTS!$B$15="yes",Z80,Y80)</f>
        <v>#DIV/0!</v>
      </c>
      <c r="AB80" s="536" t="e">
        <f t="shared" si="11"/>
        <v>#DIV/0!</v>
      </c>
      <c r="AC80" s="537" t="e">
        <f t="shared" si="12"/>
        <v>#DIV/0!</v>
      </c>
      <c r="AD80" s="538" t="e">
        <f>IF(INPUTS!$B$15="yes",AC80,AB80)</f>
        <v>#DIV/0!</v>
      </c>
      <c r="AE80" s="36" t="str">
        <f t="shared" si="0"/>
        <v>no</v>
      </c>
      <c r="AF80" s="36"/>
      <c r="AG80" s="389" t="e">
        <f>P80*('upper bound Kenaga'!$F$36/100)</f>
        <v>#DIV/0!</v>
      </c>
      <c r="AH80" s="36"/>
      <c r="AI80" s="389" t="e">
        <f>P80*('upper bound Kenaga'!$F$96/100)</f>
        <v>#DIV/0!</v>
      </c>
      <c r="AJ80" s="36"/>
      <c r="AK80" s="36"/>
      <c r="AL80" s="36"/>
      <c r="AM80" s="36"/>
      <c r="AN80" s="36"/>
      <c r="AO80" s="36"/>
    </row>
    <row r="81" spans="1:41">
      <c r="A81" s="561" t="s">
        <v>415</v>
      </c>
      <c r="B81" s="454" t="e">
        <f>B29/D16</f>
        <v>#DIV/0!</v>
      </c>
      <c r="C81" s="455" t="e">
        <f>B29/D18</f>
        <v>#DIV/0!</v>
      </c>
      <c r="D81" s="21"/>
      <c r="I81" s="12"/>
      <c r="J81" s="6">
        <f>COUNTIF(K$21:K81,"=yes")</f>
        <v>1</v>
      </c>
      <c r="K81" s="533" t="str">
        <f>IF(LOOKUP(VALUE(M81),INPUTS!$G$6:$G$35)=M81,"yes","no")</f>
        <v>no</v>
      </c>
      <c r="L81" s="533">
        <f>IF(K81="yes",(LOOKUP(J81,INPUTS!$E$6:$E$35,INPUTS!$F$6:$F$35)),0)</f>
        <v>0</v>
      </c>
      <c r="M81" s="135">
        <f t="shared" si="1"/>
        <v>60</v>
      </c>
      <c r="N81" s="135">
        <f t="shared" si="2"/>
        <v>1</v>
      </c>
      <c r="O81" s="135">
        <f t="shared" si="3"/>
        <v>0</v>
      </c>
      <c r="P81" s="536" t="e">
        <f t="shared" si="14"/>
        <v>#DIV/0!</v>
      </c>
      <c r="Q81" s="537" t="e">
        <f t="shared" si="4"/>
        <v>#DIV/0!</v>
      </c>
      <c r="R81" s="538" t="e">
        <f>IF(INPUTS!$B$15="yes",Q81,P81)</f>
        <v>#DIV/0!</v>
      </c>
      <c r="S81" s="536" t="e">
        <f t="shared" si="5"/>
        <v>#DIV/0!</v>
      </c>
      <c r="T81" s="537" t="e">
        <f t="shared" si="6"/>
        <v>#DIV/0!</v>
      </c>
      <c r="U81" s="538" t="e">
        <f>IF(INPUTS!$B$15="yes",T81,S81)</f>
        <v>#DIV/0!</v>
      </c>
      <c r="V81" s="536" t="e">
        <f t="shared" si="7"/>
        <v>#DIV/0!</v>
      </c>
      <c r="W81" s="537" t="e">
        <f t="shared" si="8"/>
        <v>#DIV/0!</v>
      </c>
      <c r="X81" s="538" t="e">
        <f>IF(INPUTS!$B$15="yes",W81,V81)</f>
        <v>#DIV/0!</v>
      </c>
      <c r="Y81" s="536" t="e">
        <f t="shared" si="9"/>
        <v>#DIV/0!</v>
      </c>
      <c r="Z81" s="537" t="e">
        <f t="shared" si="10"/>
        <v>#DIV/0!</v>
      </c>
      <c r="AA81" s="538" t="e">
        <f>IF(INPUTS!$B$15="yes",Z81,Y81)</f>
        <v>#DIV/0!</v>
      </c>
      <c r="AB81" s="536" t="e">
        <f t="shared" si="11"/>
        <v>#DIV/0!</v>
      </c>
      <c r="AC81" s="537" t="e">
        <f t="shared" si="12"/>
        <v>#DIV/0!</v>
      </c>
      <c r="AD81" s="538" t="e">
        <f>IF(INPUTS!$B$15="yes",AC81,AB81)</f>
        <v>#DIV/0!</v>
      </c>
      <c r="AE81" s="36" t="str">
        <f t="shared" si="0"/>
        <v>no</v>
      </c>
      <c r="AF81" s="36"/>
      <c r="AG81" s="389" t="e">
        <f>P81*('upper bound Kenaga'!$F$36/100)</f>
        <v>#DIV/0!</v>
      </c>
      <c r="AH81" s="36"/>
      <c r="AI81" s="389" t="e">
        <f>P81*('upper bound Kenaga'!$F$96/100)</f>
        <v>#DIV/0!</v>
      </c>
      <c r="AJ81" s="36"/>
      <c r="AK81" s="36"/>
      <c r="AL81" s="36"/>
      <c r="AM81" s="36"/>
      <c r="AN81" s="36"/>
      <c r="AO81" s="36"/>
    </row>
    <row r="82" spans="1:41">
      <c r="A82" s="561" t="s">
        <v>416</v>
      </c>
      <c r="B82" s="596" t="e">
        <f>B30/D16</f>
        <v>#DIV/0!</v>
      </c>
      <c r="C82" s="455" t="e">
        <f>B30/D18</f>
        <v>#DIV/0!</v>
      </c>
      <c r="D82" s="68"/>
      <c r="I82" s="12"/>
      <c r="J82" s="6">
        <f>COUNTIF(K$21:K82,"=yes")</f>
        <v>1</v>
      </c>
      <c r="K82" s="533" t="str">
        <f>IF(LOOKUP(VALUE(M82),INPUTS!$G$6:$G$35)=M82,"yes","no")</f>
        <v>no</v>
      </c>
      <c r="L82" s="533">
        <f>IF(K82="yes",(LOOKUP(J82,INPUTS!$E$6:$E$35,INPUTS!$F$6:$F$35)),0)</f>
        <v>0</v>
      </c>
      <c r="M82" s="135">
        <f t="shared" si="1"/>
        <v>61</v>
      </c>
      <c r="N82" s="135">
        <f t="shared" si="2"/>
        <v>1</v>
      </c>
      <c r="O82" s="135">
        <f t="shared" si="3"/>
        <v>0</v>
      </c>
      <c r="P82" s="536" t="e">
        <f t="shared" si="14"/>
        <v>#DIV/0!</v>
      </c>
      <c r="Q82" s="537" t="e">
        <f t="shared" si="4"/>
        <v>#DIV/0!</v>
      </c>
      <c r="R82" s="538" t="e">
        <f>IF(INPUTS!$B$15="yes",Q82,P82)</f>
        <v>#DIV/0!</v>
      </c>
      <c r="S82" s="536" t="e">
        <f t="shared" si="5"/>
        <v>#DIV/0!</v>
      </c>
      <c r="T82" s="537" t="e">
        <f t="shared" si="6"/>
        <v>#DIV/0!</v>
      </c>
      <c r="U82" s="538" t="e">
        <f>IF(INPUTS!$B$15="yes",T82,S82)</f>
        <v>#DIV/0!</v>
      </c>
      <c r="V82" s="536" t="e">
        <f t="shared" si="7"/>
        <v>#DIV/0!</v>
      </c>
      <c r="W82" s="537" t="e">
        <f t="shared" si="8"/>
        <v>#DIV/0!</v>
      </c>
      <c r="X82" s="538" t="e">
        <f>IF(INPUTS!$B$15="yes",W82,V82)</f>
        <v>#DIV/0!</v>
      </c>
      <c r="Y82" s="536" t="e">
        <f t="shared" si="9"/>
        <v>#DIV/0!</v>
      </c>
      <c r="Z82" s="537" t="e">
        <f t="shared" si="10"/>
        <v>#DIV/0!</v>
      </c>
      <c r="AA82" s="538" t="e">
        <f>IF(INPUTS!$B$15="yes",Z82,Y82)</f>
        <v>#DIV/0!</v>
      </c>
      <c r="AB82" s="536" t="e">
        <f t="shared" si="11"/>
        <v>#DIV/0!</v>
      </c>
      <c r="AC82" s="537" t="e">
        <f t="shared" si="12"/>
        <v>#DIV/0!</v>
      </c>
      <c r="AD82" s="538" t="e">
        <f>IF(INPUTS!$B$15="yes",AC82,AB82)</f>
        <v>#DIV/0!</v>
      </c>
      <c r="AE82" s="36" t="str">
        <f t="shared" si="0"/>
        <v>no</v>
      </c>
      <c r="AF82" s="36"/>
      <c r="AG82" s="389" t="e">
        <f>P82*('upper bound Kenaga'!$F$36/100)</f>
        <v>#DIV/0!</v>
      </c>
      <c r="AH82" s="36"/>
      <c r="AI82" s="389" t="e">
        <f>P82*('upper bound Kenaga'!$F$96/100)</f>
        <v>#DIV/0!</v>
      </c>
      <c r="AJ82" s="36"/>
      <c r="AK82" s="36"/>
      <c r="AL82" s="36"/>
      <c r="AM82" s="36"/>
      <c r="AN82" s="36"/>
      <c r="AO82" s="36"/>
    </row>
    <row r="83" spans="1:41" ht="13.5" thickBot="1">
      <c r="A83" s="597" t="s">
        <v>414</v>
      </c>
      <c r="B83" s="598" t="e">
        <f>B31/D16</f>
        <v>#DIV/0!</v>
      </c>
      <c r="C83" s="560" t="e">
        <f>B31/D18</f>
        <v>#DIV/0!</v>
      </c>
      <c r="D83" s="21"/>
      <c r="I83" s="12"/>
      <c r="J83" s="6">
        <f>COUNTIF(K$21:K83,"=yes")</f>
        <v>1</v>
      </c>
      <c r="K83" s="533" t="str">
        <f>IF(LOOKUP(VALUE(M83),INPUTS!$G$6:$G$35)=M83,"yes","no")</f>
        <v>no</v>
      </c>
      <c r="L83" s="533">
        <f>IF(K83="yes",(LOOKUP(J83,INPUTS!$E$6:$E$35,INPUTS!$F$6:$F$35)),0)</f>
        <v>0</v>
      </c>
      <c r="M83" s="135">
        <f t="shared" si="1"/>
        <v>62</v>
      </c>
      <c r="N83" s="135">
        <f t="shared" si="2"/>
        <v>1</v>
      </c>
      <c r="O83" s="135">
        <f t="shared" si="3"/>
        <v>0</v>
      </c>
      <c r="P83" s="536" t="e">
        <f t="shared" si="14"/>
        <v>#DIV/0!</v>
      </c>
      <c r="Q83" s="537" t="e">
        <f t="shared" si="4"/>
        <v>#DIV/0!</v>
      </c>
      <c r="R83" s="538" t="e">
        <f>IF(INPUTS!$B$15="yes",Q83,P83)</f>
        <v>#DIV/0!</v>
      </c>
      <c r="S83" s="536" t="e">
        <f t="shared" si="5"/>
        <v>#DIV/0!</v>
      </c>
      <c r="T83" s="537" t="e">
        <f t="shared" si="6"/>
        <v>#DIV/0!</v>
      </c>
      <c r="U83" s="538" t="e">
        <f>IF(INPUTS!$B$15="yes",T83,S83)</f>
        <v>#DIV/0!</v>
      </c>
      <c r="V83" s="536" t="e">
        <f t="shared" si="7"/>
        <v>#DIV/0!</v>
      </c>
      <c r="W83" s="537" t="e">
        <f t="shared" si="8"/>
        <v>#DIV/0!</v>
      </c>
      <c r="X83" s="538" t="e">
        <f>IF(INPUTS!$B$15="yes",W83,V83)</f>
        <v>#DIV/0!</v>
      </c>
      <c r="Y83" s="536" t="e">
        <f t="shared" si="9"/>
        <v>#DIV/0!</v>
      </c>
      <c r="Z83" s="537" t="e">
        <f t="shared" si="10"/>
        <v>#DIV/0!</v>
      </c>
      <c r="AA83" s="538" t="e">
        <f>IF(INPUTS!$B$15="yes",Z83,Y83)</f>
        <v>#DIV/0!</v>
      </c>
      <c r="AB83" s="536" t="e">
        <f t="shared" si="11"/>
        <v>#DIV/0!</v>
      </c>
      <c r="AC83" s="537" t="e">
        <f t="shared" si="12"/>
        <v>#DIV/0!</v>
      </c>
      <c r="AD83" s="538" t="e">
        <f>IF(INPUTS!$B$15="yes",AC83,AB83)</f>
        <v>#DIV/0!</v>
      </c>
      <c r="AE83" s="36" t="str">
        <f t="shared" si="0"/>
        <v>no</v>
      </c>
      <c r="AF83" s="36"/>
      <c r="AG83" s="389" t="e">
        <f>P83*('upper bound Kenaga'!$F$36/100)</f>
        <v>#DIV/0!</v>
      </c>
      <c r="AH83" s="36"/>
      <c r="AI83" s="389" t="e">
        <f>P83*('upper bound Kenaga'!$F$96/100)</f>
        <v>#DIV/0!</v>
      </c>
      <c r="AJ83" s="36"/>
      <c r="AK83" s="36"/>
      <c r="AL83" s="36"/>
      <c r="AM83" s="36"/>
      <c r="AN83" s="36"/>
      <c r="AO83" s="36"/>
    </row>
    <row r="84" spans="1:41">
      <c r="D84" s="9"/>
      <c r="I84" s="12"/>
      <c r="J84" s="6">
        <f>COUNTIF(K$21:K84,"=yes")</f>
        <v>1</v>
      </c>
      <c r="K84" s="533" t="str">
        <f>IF(LOOKUP(VALUE(M84),INPUTS!$G$6:$G$35)=M84,"yes","no")</f>
        <v>no</v>
      </c>
      <c r="L84" s="533">
        <f>IF(K84="yes",(LOOKUP(J84,INPUTS!$E$6:$E$35,INPUTS!$F$6:$F$35)),0)</f>
        <v>0</v>
      </c>
      <c r="M84" s="135">
        <f t="shared" si="1"/>
        <v>63</v>
      </c>
      <c r="N84" s="135">
        <f t="shared" si="2"/>
        <v>1</v>
      </c>
      <c r="O84" s="135">
        <f t="shared" si="3"/>
        <v>0</v>
      </c>
      <c r="P84" s="536" t="e">
        <f t="shared" si="14"/>
        <v>#DIV/0!</v>
      </c>
      <c r="Q84" s="537" t="e">
        <f t="shared" si="4"/>
        <v>#DIV/0!</v>
      </c>
      <c r="R84" s="538" t="e">
        <f>IF(INPUTS!$B$15="yes",Q84,P84)</f>
        <v>#DIV/0!</v>
      </c>
      <c r="S84" s="536" t="e">
        <f t="shared" si="5"/>
        <v>#DIV/0!</v>
      </c>
      <c r="T84" s="537" t="e">
        <f t="shared" si="6"/>
        <v>#DIV/0!</v>
      </c>
      <c r="U84" s="538" t="e">
        <f>IF(INPUTS!$B$15="yes",T84,S84)</f>
        <v>#DIV/0!</v>
      </c>
      <c r="V84" s="536" t="e">
        <f t="shared" si="7"/>
        <v>#DIV/0!</v>
      </c>
      <c r="W84" s="537" t="e">
        <f t="shared" si="8"/>
        <v>#DIV/0!</v>
      </c>
      <c r="X84" s="538" t="e">
        <f>IF(INPUTS!$B$15="yes",W84,V84)</f>
        <v>#DIV/0!</v>
      </c>
      <c r="Y84" s="536" t="e">
        <f t="shared" si="9"/>
        <v>#DIV/0!</v>
      </c>
      <c r="Z84" s="537" t="e">
        <f t="shared" si="10"/>
        <v>#DIV/0!</v>
      </c>
      <c r="AA84" s="538" t="e">
        <f>IF(INPUTS!$B$15="yes",Z84,Y84)</f>
        <v>#DIV/0!</v>
      </c>
      <c r="AB84" s="536" t="e">
        <f t="shared" si="11"/>
        <v>#DIV/0!</v>
      </c>
      <c r="AC84" s="537" t="e">
        <f t="shared" si="12"/>
        <v>#DIV/0!</v>
      </c>
      <c r="AD84" s="538" t="e">
        <f>IF(INPUTS!$B$15="yes",AC84,AB84)</f>
        <v>#DIV/0!</v>
      </c>
      <c r="AE84" s="36" t="str">
        <f t="shared" si="0"/>
        <v>no</v>
      </c>
      <c r="AF84" s="36"/>
      <c r="AG84" s="389" t="e">
        <f>P84*('upper bound Kenaga'!$F$36/100)</f>
        <v>#DIV/0!</v>
      </c>
      <c r="AH84" s="36"/>
      <c r="AI84" s="389" t="e">
        <f>P84*('upper bound Kenaga'!$F$96/100)</f>
        <v>#DIV/0!</v>
      </c>
      <c r="AJ84" s="36"/>
      <c r="AK84" s="36"/>
      <c r="AL84" s="36"/>
      <c r="AM84" s="36"/>
      <c r="AN84" s="36"/>
      <c r="AO84" s="36"/>
    </row>
    <row r="85" spans="1:41">
      <c r="A85" s="36" t="s">
        <v>134</v>
      </c>
      <c r="D85" s="9"/>
      <c r="I85" s="12"/>
      <c r="J85" s="6">
        <f>COUNTIF(K$21:K85,"=yes")</f>
        <v>1</v>
      </c>
      <c r="K85" s="533" t="str">
        <f>IF(LOOKUP(VALUE(M85),INPUTS!$G$6:$G$35)=M85,"yes","no")</f>
        <v>no</v>
      </c>
      <c r="L85" s="533">
        <f>IF(K85="yes",(LOOKUP(J85,INPUTS!$E$6:$E$35,INPUTS!$F$6:$F$35)),0)</f>
        <v>0</v>
      </c>
      <c r="M85" s="135">
        <f t="shared" si="1"/>
        <v>64</v>
      </c>
      <c r="N85" s="135">
        <f t="shared" si="2"/>
        <v>1</v>
      </c>
      <c r="O85" s="135">
        <f t="shared" si="3"/>
        <v>0</v>
      </c>
      <c r="P85" s="536" t="e">
        <f t="shared" si="14"/>
        <v>#DIV/0!</v>
      </c>
      <c r="Q85" s="537" t="e">
        <f t="shared" si="4"/>
        <v>#DIV/0!</v>
      </c>
      <c r="R85" s="538" t="e">
        <f>IF(INPUTS!$B$15="yes",Q85,P85)</f>
        <v>#DIV/0!</v>
      </c>
      <c r="S85" s="536" t="e">
        <f t="shared" si="5"/>
        <v>#DIV/0!</v>
      </c>
      <c r="T85" s="537" t="e">
        <f t="shared" si="6"/>
        <v>#DIV/0!</v>
      </c>
      <c r="U85" s="538" t="e">
        <f>IF(INPUTS!$B$15="yes",T85,S85)</f>
        <v>#DIV/0!</v>
      </c>
      <c r="V85" s="536" t="e">
        <f t="shared" si="7"/>
        <v>#DIV/0!</v>
      </c>
      <c r="W85" s="537" t="e">
        <f t="shared" si="8"/>
        <v>#DIV/0!</v>
      </c>
      <c r="X85" s="538" t="e">
        <f>IF(INPUTS!$B$15="yes",W85,V85)</f>
        <v>#DIV/0!</v>
      </c>
      <c r="Y85" s="536" t="e">
        <f t="shared" si="9"/>
        <v>#DIV/0!</v>
      </c>
      <c r="Z85" s="537" t="e">
        <f t="shared" si="10"/>
        <v>#DIV/0!</v>
      </c>
      <c r="AA85" s="538" t="e">
        <f>IF(INPUTS!$B$15="yes",Z85,Y85)</f>
        <v>#DIV/0!</v>
      </c>
      <c r="AB85" s="536" t="e">
        <f t="shared" si="11"/>
        <v>#DIV/0!</v>
      </c>
      <c r="AC85" s="537" t="e">
        <f t="shared" si="12"/>
        <v>#DIV/0!</v>
      </c>
      <c r="AD85" s="538" t="e">
        <f>IF(INPUTS!$B$15="yes",AC85,AB85)</f>
        <v>#DIV/0!</v>
      </c>
      <c r="AE85" s="36" t="str">
        <f t="shared" si="0"/>
        <v>no</v>
      </c>
      <c r="AF85" s="36"/>
      <c r="AG85" s="389" t="e">
        <f>P85*('upper bound Kenaga'!$F$36/100)</f>
        <v>#DIV/0!</v>
      </c>
      <c r="AH85" s="36"/>
      <c r="AI85" s="389" t="e">
        <f>P85*('upper bound Kenaga'!$F$96/100)</f>
        <v>#DIV/0!</v>
      </c>
      <c r="AJ85" s="36"/>
      <c r="AK85" s="36"/>
      <c r="AL85" s="36"/>
      <c r="AM85" s="36"/>
      <c r="AN85" s="36"/>
      <c r="AO85" s="36"/>
    </row>
    <row r="86" spans="1:41">
      <c r="A86" s="36" t="s">
        <v>133</v>
      </c>
      <c r="D86" s="9"/>
      <c r="I86" s="12"/>
      <c r="J86" s="6">
        <f>COUNTIF(K$21:K86,"=yes")</f>
        <v>1</v>
      </c>
      <c r="K86" s="533" t="str">
        <f>IF(LOOKUP(VALUE(M86),INPUTS!$G$6:$G$35)=M86,"yes","no")</f>
        <v>no</v>
      </c>
      <c r="L86" s="533">
        <f>IF(K86="yes",(LOOKUP(J86,INPUTS!$E$6:$E$35,INPUTS!$F$6:$F$35)),0)</f>
        <v>0</v>
      </c>
      <c r="M86" s="135">
        <f t="shared" si="1"/>
        <v>65</v>
      </c>
      <c r="N86" s="135">
        <f t="shared" si="2"/>
        <v>1</v>
      </c>
      <c r="O86" s="135">
        <f t="shared" si="3"/>
        <v>0</v>
      </c>
      <c r="P86" s="536" t="e">
        <f t="shared" si="14"/>
        <v>#DIV/0!</v>
      </c>
      <c r="Q86" s="537" t="e">
        <f t="shared" ref="Q86:Q149" si="18">IF($K86="yes",(EXP(-$R$16)*(Q85)+(240*$L86)),((EXP(-$R$16)*(Q85))))</f>
        <v>#DIV/0!</v>
      </c>
      <c r="R86" s="538" t="e">
        <f>IF(INPUTS!$B$15="yes",Q86,P86)</f>
        <v>#DIV/0!</v>
      </c>
      <c r="S86" s="536" t="e">
        <f t="shared" ref="S86:S149" si="19">IF(($N86&gt;$N85),(EXP(-$R$16)*(S85)+$R$12),((EXP(-$R$16)*(S85))))</f>
        <v>#DIV/0!</v>
      </c>
      <c r="T86" s="537" t="e">
        <f t="shared" ref="T86:T149" si="20">IF($K86="yes",(EXP(-$R$16)*(T85)+(110*$L86)),((EXP(-$R$16)*(T85))))</f>
        <v>#DIV/0!</v>
      </c>
      <c r="U86" s="538" t="e">
        <f>IF(INPUTS!$B$15="yes",T86,S86)</f>
        <v>#DIV/0!</v>
      </c>
      <c r="V86" s="536" t="e">
        <f t="shared" ref="V86:V149" si="21">IF(($N86&gt;$N85),(EXP(-$R$16)*(V85)+$R$13),((EXP(-$R$16)*(V85))))</f>
        <v>#DIV/0!</v>
      </c>
      <c r="W86" s="537" t="e">
        <f t="shared" ref="W86:W149" si="22">IF($K86="yes",(EXP(-$R$16)*(W85)+(135*$L86)),((EXP(-$R$16)*(W85))))</f>
        <v>#DIV/0!</v>
      </c>
      <c r="X86" s="538" t="e">
        <f>IF(INPUTS!$B$15="yes",W86,V86)</f>
        <v>#DIV/0!</v>
      </c>
      <c r="Y86" s="536" t="e">
        <f t="shared" ref="Y86:Y149" si="23">IF(($N86&gt;$N85),(EXP(-$R$16)*(Y85)+$R$14),((EXP(-$R$16)*(Y85))))</f>
        <v>#DIV/0!</v>
      </c>
      <c r="Z86" s="537" t="e">
        <f t="shared" ref="Z86:Z149" si="24">IF($K86="yes",(EXP(-$R$16)*(Z85)+(15*$L86)),((EXP(-$R$16)*(Z85))))</f>
        <v>#DIV/0!</v>
      </c>
      <c r="AA86" s="538" t="e">
        <f>IF(INPUTS!$B$15="yes",Z86,Y86)</f>
        <v>#DIV/0!</v>
      </c>
      <c r="AB86" s="536" t="e">
        <f t="shared" ref="AB86:AB149" si="25">IF(($N86&gt;$N85),(EXP(-$R$16)*(AB85)+$R$15),((EXP(-$R$16)*(AB85))))</f>
        <v>#DIV/0!</v>
      </c>
      <c r="AC86" s="537" t="e">
        <f t="shared" ref="AC86:AC149" si="26">IF($K86="yes",(EXP(-$R$16)*(AC85)+(94*$L86)),((EXP(-$R$16)*(AC85))))</f>
        <v>#DIV/0!</v>
      </c>
      <c r="AD86" s="538" t="e">
        <f>IF(INPUTS!$B$15="yes",AC86,AB86)</f>
        <v>#DIV/0!</v>
      </c>
      <c r="AE86" s="36" t="str">
        <f t="shared" si="0"/>
        <v>no</v>
      </c>
      <c r="AF86" s="36"/>
      <c r="AG86" s="389" t="e">
        <f>P86*('upper bound Kenaga'!$F$36/100)</f>
        <v>#DIV/0!</v>
      </c>
      <c r="AH86" s="36"/>
      <c r="AI86" s="389" t="e">
        <f>P86*('upper bound Kenaga'!$F$96/100)</f>
        <v>#DIV/0!</v>
      </c>
      <c r="AJ86" s="36"/>
      <c r="AK86" s="36"/>
      <c r="AL86" s="36"/>
      <c r="AM86" s="36"/>
      <c r="AN86" s="36"/>
      <c r="AO86" s="36"/>
    </row>
    <row r="87" spans="1:41">
      <c r="A87" s="36" t="s">
        <v>132</v>
      </c>
      <c r="I87" s="12"/>
      <c r="J87" s="6">
        <f>COUNTIF(K$21:K87,"=yes")</f>
        <v>1</v>
      </c>
      <c r="K87" s="533" t="str">
        <f>IF(LOOKUP(VALUE(M87),INPUTS!$G$6:$G$35)=M87,"yes","no")</f>
        <v>no</v>
      </c>
      <c r="L87" s="533">
        <f>IF(K87="yes",(LOOKUP(J87,INPUTS!$E$6:$E$35,INPUTS!$F$6:$F$35)),0)</f>
        <v>0</v>
      </c>
      <c r="M87" s="135">
        <f t="shared" si="1"/>
        <v>66</v>
      </c>
      <c r="N87" s="135">
        <f t="shared" si="2"/>
        <v>1</v>
      </c>
      <c r="O87" s="135">
        <f t="shared" si="3"/>
        <v>0</v>
      </c>
      <c r="P87" s="536" t="e">
        <f t="shared" si="14"/>
        <v>#DIV/0!</v>
      </c>
      <c r="Q87" s="537" t="e">
        <f t="shared" si="18"/>
        <v>#DIV/0!</v>
      </c>
      <c r="R87" s="538" t="e">
        <f>IF(INPUTS!$B$15="yes",Q87,P87)</f>
        <v>#DIV/0!</v>
      </c>
      <c r="S87" s="536" t="e">
        <f t="shared" si="19"/>
        <v>#DIV/0!</v>
      </c>
      <c r="T87" s="537" t="e">
        <f t="shared" si="20"/>
        <v>#DIV/0!</v>
      </c>
      <c r="U87" s="538" t="e">
        <f>IF(INPUTS!$B$15="yes",T87,S87)</f>
        <v>#DIV/0!</v>
      </c>
      <c r="V87" s="536" t="e">
        <f t="shared" si="21"/>
        <v>#DIV/0!</v>
      </c>
      <c r="W87" s="537" t="e">
        <f t="shared" si="22"/>
        <v>#DIV/0!</v>
      </c>
      <c r="X87" s="538" t="e">
        <f>IF(INPUTS!$B$15="yes",W87,V87)</f>
        <v>#DIV/0!</v>
      </c>
      <c r="Y87" s="536" t="e">
        <f t="shared" si="23"/>
        <v>#DIV/0!</v>
      </c>
      <c r="Z87" s="537" t="e">
        <f t="shared" si="24"/>
        <v>#DIV/0!</v>
      </c>
      <c r="AA87" s="538" t="e">
        <f>IF(INPUTS!$B$15="yes",Z87,Y87)</f>
        <v>#DIV/0!</v>
      </c>
      <c r="AB87" s="536" t="e">
        <f t="shared" si="25"/>
        <v>#DIV/0!</v>
      </c>
      <c r="AC87" s="537" t="e">
        <f t="shared" si="26"/>
        <v>#DIV/0!</v>
      </c>
      <c r="AD87" s="538" t="e">
        <f>IF(INPUTS!$B$15="yes",AC87,AB87)</f>
        <v>#DIV/0!</v>
      </c>
      <c r="AE87" s="36" t="str">
        <f t="shared" si="0"/>
        <v>no</v>
      </c>
      <c r="AF87" s="36"/>
      <c r="AG87" s="389" t="e">
        <f>P87*('upper bound Kenaga'!$F$36/100)</f>
        <v>#DIV/0!</v>
      </c>
      <c r="AH87" s="36"/>
      <c r="AI87" s="389" t="e">
        <f>P87*('upper bound Kenaga'!$F$96/100)</f>
        <v>#DIV/0!</v>
      </c>
      <c r="AJ87" s="36"/>
      <c r="AK87" s="36"/>
      <c r="AL87" s="36"/>
      <c r="AM87" s="36"/>
      <c r="AN87" s="36"/>
      <c r="AO87" s="36"/>
    </row>
    <row r="88" spans="1:41">
      <c r="I88" s="12"/>
      <c r="J88" s="6">
        <f>COUNTIF(K$21:K88,"=yes")</f>
        <v>1</v>
      </c>
      <c r="K88" s="533" t="str">
        <f>IF(LOOKUP(VALUE(M88),INPUTS!$G$6:$G$35)=M88,"yes","no")</f>
        <v>no</v>
      </c>
      <c r="L88" s="533">
        <f>IF(K88="yes",(LOOKUP(J88,INPUTS!$E$6:$E$35,INPUTS!$F$6:$F$35)),0)</f>
        <v>0</v>
      </c>
      <c r="M88" s="135">
        <f t="shared" si="1"/>
        <v>67</v>
      </c>
      <c r="N88" s="135">
        <f t="shared" si="2"/>
        <v>1</v>
      </c>
      <c r="O88" s="135">
        <f t="shared" si="3"/>
        <v>0</v>
      </c>
      <c r="P88" s="536" t="e">
        <f t="shared" si="14"/>
        <v>#DIV/0!</v>
      </c>
      <c r="Q88" s="537" t="e">
        <f t="shared" si="18"/>
        <v>#DIV/0!</v>
      </c>
      <c r="R88" s="538" t="e">
        <f>IF(INPUTS!$B$15="yes",Q88,P88)</f>
        <v>#DIV/0!</v>
      </c>
      <c r="S88" s="536" t="e">
        <f t="shared" si="19"/>
        <v>#DIV/0!</v>
      </c>
      <c r="T88" s="537" t="e">
        <f t="shared" si="20"/>
        <v>#DIV/0!</v>
      </c>
      <c r="U88" s="538" t="e">
        <f>IF(INPUTS!$B$15="yes",T88,S88)</f>
        <v>#DIV/0!</v>
      </c>
      <c r="V88" s="536" t="e">
        <f t="shared" si="21"/>
        <v>#DIV/0!</v>
      </c>
      <c r="W88" s="537" t="e">
        <f t="shared" si="22"/>
        <v>#DIV/0!</v>
      </c>
      <c r="X88" s="538" t="e">
        <f>IF(INPUTS!$B$15="yes",W88,V88)</f>
        <v>#DIV/0!</v>
      </c>
      <c r="Y88" s="536" t="e">
        <f t="shared" si="23"/>
        <v>#DIV/0!</v>
      </c>
      <c r="Z88" s="537" t="e">
        <f t="shared" si="24"/>
        <v>#DIV/0!</v>
      </c>
      <c r="AA88" s="538" t="e">
        <f>IF(INPUTS!$B$15="yes",Z88,Y88)</f>
        <v>#DIV/0!</v>
      </c>
      <c r="AB88" s="536" t="e">
        <f t="shared" si="25"/>
        <v>#DIV/0!</v>
      </c>
      <c r="AC88" s="537" t="e">
        <f t="shared" si="26"/>
        <v>#DIV/0!</v>
      </c>
      <c r="AD88" s="538" t="e">
        <f>IF(INPUTS!$B$15="yes",AC88,AB88)</f>
        <v>#DIV/0!</v>
      </c>
      <c r="AE88" s="36" t="str">
        <f t="shared" si="0"/>
        <v>no</v>
      </c>
      <c r="AF88" s="36"/>
      <c r="AG88" s="389" t="e">
        <f>P88*('upper bound Kenaga'!$F$36/100)</f>
        <v>#DIV/0!</v>
      </c>
      <c r="AH88" s="36"/>
      <c r="AI88" s="389" t="e">
        <f>P88*('upper bound Kenaga'!$F$96/100)</f>
        <v>#DIV/0!</v>
      </c>
      <c r="AJ88" s="36"/>
      <c r="AK88" s="36"/>
      <c r="AL88" s="36"/>
      <c r="AM88" s="36"/>
      <c r="AN88" s="36"/>
      <c r="AO88" s="36"/>
    </row>
    <row r="89" spans="1:41">
      <c r="I89" s="12"/>
      <c r="J89" s="6">
        <f>COUNTIF(K$21:K89,"=yes")</f>
        <v>1</v>
      </c>
      <c r="K89" s="533" t="str">
        <f>IF(LOOKUP(VALUE(M89),INPUTS!$G$6:$G$35)=M89,"yes","no")</f>
        <v>no</v>
      </c>
      <c r="L89" s="533">
        <f>IF(K89="yes",(LOOKUP(J89,INPUTS!$E$6:$E$35,INPUTS!$F$6:$F$35)),0)</f>
        <v>0</v>
      </c>
      <c r="M89" s="135">
        <f t="shared" si="1"/>
        <v>68</v>
      </c>
      <c r="N89" s="135">
        <f t="shared" si="2"/>
        <v>1</v>
      </c>
      <c r="O89" s="135">
        <f t="shared" si="3"/>
        <v>0</v>
      </c>
      <c r="P89" s="536" t="e">
        <f t="shared" si="14"/>
        <v>#DIV/0!</v>
      </c>
      <c r="Q89" s="537" t="e">
        <f t="shared" si="18"/>
        <v>#DIV/0!</v>
      </c>
      <c r="R89" s="538" t="e">
        <f>IF(INPUTS!$B$15="yes",Q89,P89)</f>
        <v>#DIV/0!</v>
      </c>
      <c r="S89" s="536" t="e">
        <f t="shared" si="19"/>
        <v>#DIV/0!</v>
      </c>
      <c r="T89" s="537" t="e">
        <f t="shared" si="20"/>
        <v>#DIV/0!</v>
      </c>
      <c r="U89" s="538" t="e">
        <f>IF(INPUTS!$B$15="yes",T89,S89)</f>
        <v>#DIV/0!</v>
      </c>
      <c r="V89" s="536" t="e">
        <f t="shared" si="21"/>
        <v>#DIV/0!</v>
      </c>
      <c r="W89" s="537" t="e">
        <f t="shared" si="22"/>
        <v>#DIV/0!</v>
      </c>
      <c r="X89" s="538" t="e">
        <f>IF(INPUTS!$B$15="yes",W89,V89)</f>
        <v>#DIV/0!</v>
      </c>
      <c r="Y89" s="536" t="e">
        <f t="shared" si="23"/>
        <v>#DIV/0!</v>
      </c>
      <c r="Z89" s="537" t="e">
        <f t="shared" si="24"/>
        <v>#DIV/0!</v>
      </c>
      <c r="AA89" s="538" t="e">
        <f>IF(INPUTS!$B$15="yes",Z89,Y89)</f>
        <v>#DIV/0!</v>
      </c>
      <c r="AB89" s="536" t="e">
        <f t="shared" si="25"/>
        <v>#DIV/0!</v>
      </c>
      <c r="AC89" s="537" t="e">
        <f t="shared" si="26"/>
        <v>#DIV/0!</v>
      </c>
      <c r="AD89" s="538" t="e">
        <f>IF(INPUTS!$B$15="yes",AC89,AB89)</f>
        <v>#DIV/0!</v>
      </c>
      <c r="AE89" s="36" t="str">
        <f t="shared" si="0"/>
        <v>no</v>
      </c>
      <c r="AF89" s="36"/>
      <c r="AG89" s="389" t="e">
        <f>P89*('upper bound Kenaga'!$F$36/100)</f>
        <v>#DIV/0!</v>
      </c>
      <c r="AH89" s="36"/>
      <c r="AI89" s="389" t="e">
        <f>P89*('upper bound Kenaga'!$F$96/100)</f>
        <v>#DIV/0!</v>
      </c>
      <c r="AJ89" s="36"/>
      <c r="AK89" s="36"/>
      <c r="AL89" s="36"/>
      <c r="AM89" s="36"/>
      <c r="AN89" s="36"/>
      <c r="AO89" s="36"/>
    </row>
    <row r="90" spans="1:41">
      <c r="I90" s="12"/>
      <c r="J90" s="6">
        <f>COUNTIF(K$21:K90,"=yes")</f>
        <v>1</v>
      </c>
      <c r="K90" s="533" t="str">
        <f>IF(LOOKUP(VALUE(M90),INPUTS!$G$6:$G$35)=M90,"yes","no")</f>
        <v>no</v>
      </c>
      <c r="L90" s="533">
        <f>IF(K90="yes",(LOOKUP(J90,INPUTS!$E$6:$E$35,INPUTS!$F$6:$F$35)),0)</f>
        <v>0</v>
      </c>
      <c r="M90" s="135">
        <f t="shared" si="1"/>
        <v>69</v>
      </c>
      <c r="N90" s="135">
        <f t="shared" si="2"/>
        <v>1</v>
      </c>
      <c r="O90" s="135">
        <f t="shared" si="3"/>
        <v>0</v>
      </c>
      <c r="P90" s="536" t="e">
        <f t="shared" si="14"/>
        <v>#DIV/0!</v>
      </c>
      <c r="Q90" s="537" t="e">
        <f t="shared" si="18"/>
        <v>#DIV/0!</v>
      </c>
      <c r="R90" s="538" t="e">
        <f>IF(INPUTS!$B$15="yes",Q90,P90)</f>
        <v>#DIV/0!</v>
      </c>
      <c r="S90" s="536" t="e">
        <f t="shared" si="19"/>
        <v>#DIV/0!</v>
      </c>
      <c r="T90" s="537" t="e">
        <f t="shared" si="20"/>
        <v>#DIV/0!</v>
      </c>
      <c r="U90" s="538" t="e">
        <f>IF(INPUTS!$B$15="yes",T90,S90)</f>
        <v>#DIV/0!</v>
      </c>
      <c r="V90" s="536" t="e">
        <f t="shared" si="21"/>
        <v>#DIV/0!</v>
      </c>
      <c r="W90" s="537" t="e">
        <f t="shared" si="22"/>
        <v>#DIV/0!</v>
      </c>
      <c r="X90" s="538" t="e">
        <f>IF(INPUTS!$B$15="yes",W90,V90)</f>
        <v>#DIV/0!</v>
      </c>
      <c r="Y90" s="536" t="e">
        <f t="shared" si="23"/>
        <v>#DIV/0!</v>
      </c>
      <c r="Z90" s="537" t="e">
        <f t="shared" si="24"/>
        <v>#DIV/0!</v>
      </c>
      <c r="AA90" s="538" t="e">
        <f>IF(INPUTS!$B$15="yes",Z90,Y90)</f>
        <v>#DIV/0!</v>
      </c>
      <c r="AB90" s="536" t="e">
        <f t="shared" si="25"/>
        <v>#DIV/0!</v>
      </c>
      <c r="AC90" s="537" t="e">
        <f t="shared" si="26"/>
        <v>#DIV/0!</v>
      </c>
      <c r="AD90" s="538" t="e">
        <f>IF(INPUTS!$B$15="yes",AC90,AB90)</f>
        <v>#DIV/0!</v>
      </c>
      <c r="AE90" s="36" t="str">
        <f t="shared" ref="AE90:AE153" si="27">$B$11</f>
        <v>no</v>
      </c>
      <c r="AF90" s="36"/>
      <c r="AG90" s="389" t="e">
        <f>P90*('upper bound Kenaga'!$F$36/100)</f>
        <v>#DIV/0!</v>
      </c>
      <c r="AH90" s="36"/>
      <c r="AI90" s="389" t="e">
        <f>P90*('upper bound Kenaga'!$F$96/100)</f>
        <v>#DIV/0!</v>
      </c>
      <c r="AJ90" s="36"/>
      <c r="AK90" s="36"/>
      <c r="AL90" s="36"/>
      <c r="AM90" s="36"/>
      <c r="AN90" s="36"/>
      <c r="AO90" s="36"/>
    </row>
    <row r="91" spans="1:41">
      <c r="A91" s="79">
        <f>B3</f>
        <v>0</v>
      </c>
      <c r="B91" s="79">
        <f>B4</f>
        <v>0</v>
      </c>
      <c r="C91" s="26"/>
      <c r="D91" s="27"/>
      <c r="E91" s="26" t="s">
        <v>99</v>
      </c>
      <c r="J91" s="6">
        <f>COUNTIF(K$21:K91,"=yes")</f>
        <v>1</v>
      </c>
      <c r="K91" s="533" t="str">
        <f>IF(LOOKUP(VALUE(M91),INPUTS!$G$6:$G$35)=M91,"yes","no")</f>
        <v>no</v>
      </c>
      <c r="L91" s="533">
        <f>IF(K91="yes",(LOOKUP(J91,INPUTS!$E$6:$E$35,INPUTS!$F$6:$F$35)),0)</f>
        <v>0</v>
      </c>
      <c r="M91" s="135">
        <f t="shared" ref="M91:M154" si="28">(M90+1)</f>
        <v>70</v>
      </c>
      <c r="N91" s="135">
        <f t="shared" ref="N91:N154" si="29">IF($B$9&gt;N90,IF(O90=($B$8-1),(N90+1),(N90)),(N90))</f>
        <v>1</v>
      </c>
      <c r="O91" s="135">
        <f t="shared" ref="O91:O154" si="30">IF(O90&lt;($B$8-1),(1+O90),0)</f>
        <v>0</v>
      </c>
      <c r="P91" s="536" t="e">
        <f t="shared" si="14"/>
        <v>#DIV/0!</v>
      </c>
      <c r="Q91" s="537" t="e">
        <f t="shared" si="18"/>
        <v>#DIV/0!</v>
      </c>
      <c r="R91" s="538" t="e">
        <f>IF(INPUTS!$B$15="yes",Q91,P91)</f>
        <v>#DIV/0!</v>
      </c>
      <c r="S91" s="536" t="e">
        <f t="shared" si="19"/>
        <v>#DIV/0!</v>
      </c>
      <c r="T91" s="537" t="e">
        <f t="shared" si="20"/>
        <v>#DIV/0!</v>
      </c>
      <c r="U91" s="538" t="e">
        <f>IF(INPUTS!$B$15="yes",T91,S91)</f>
        <v>#DIV/0!</v>
      </c>
      <c r="V91" s="536" t="e">
        <f t="shared" si="21"/>
        <v>#DIV/0!</v>
      </c>
      <c r="W91" s="537" t="e">
        <f t="shared" si="22"/>
        <v>#DIV/0!</v>
      </c>
      <c r="X91" s="538" t="e">
        <f>IF(INPUTS!$B$15="yes",W91,V91)</f>
        <v>#DIV/0!</v>
      </c>
      <c r="Y91" s="536" t="e">
        <f t="shared" si="23"/>
        <v>#DIV/0!</v>
      </c>
      <c r="Z91" s="537" t="e">
        <f t="shared" si="24"/>
        <v>#DIV/0!</v>
      </c>
      <c r="AA91" s="538" t="e">
        <f>IF(INPUTS!$B$15="yes",Z91,Y91)</f>
        <v>#DIV/0!</v>
      </c>
      <c r="AB91" s="536" t="e">
        <f t="shared" si="25"/>
        <v>#DIV/0!</v>
      </c>
      <c r="AC91" s="537" t="e">
        <f t="shared" si="26"/>
        <v>#DIV/0!</v>
      </c>
      <c r="AD91" s="538" t="e">
        <f>IF(INPUTS!$B$15="yes",AC91,AB91)</f>
        <v>#DIV/0!</v>
      </c>
      <c r="AE91" s="36" t="str">
        <f t="shared" si="27"/>
        <v>no</v>
      </c>
      <c r="AF91" s="36"/>
      <c r="AG91" s="389" t="e">
        <f>P91*('upper bound Kenaga'!$F$36/100)</f>
        <v>#DIV/0!</v>
      </c>
      <c r="AH91" s="36"/>
      <c r="AI91" s="389" t="e">
        <f>P91*('upper bound Kenaga'!$F$96/100)</f>
        <v>#DIV/0!</v>
      </c>
      <c r="AJ91" s="36"/>
      <c r="AK91" s="36"/>
      <c r="AL91" s="36"/>
      <c r="AM91" s="36"/>
      <c r="AN91" s="36"/>
      <c r="AO91" s="36"/>
    </row>
    <row r="92" spans="1:41" ht="21" thickBot="1">
      <c r="A92" s="13" t="s">
        <v>48</v>
      </c>
      <c r="B92" s="16"/>
      <c r="C92" s="16"/>
      <c r="D92" s="17"/>
      <c r="E92" s="16"/>
      <c r="F92" s="18"/>
      <c r="G92" s="19"/>
      <c r="H92" s="18"/>
      <c r="J92" s="6">
        <f>COUNTIF(K$21:K92,"=yes")</f>
        <v>1</v>
      </c>
      <c r="K92" s="533" t="str">
        <f>IF(LOOKUP(VALUE(M92),INPUTS!$G$6:$G$35)=M92,"yes","no")</f>
        <v>no</v>
      </c>
      <c r="L92" s="533">
        <f>IF(K92="yes",(LOOKUP(J92,INPUTS!$E$6:$E$35,INPUTS!$F$6:$F$35)),0)</f>
        <v>0</v>
      </c>
      <c r="M92" s="135">
        <f t="shared" si="28"/>
        <v>71</v>
      </c>
      <c r="N92" s="135">
        <f t="shared" si="29"/>
        <v>1</v>
      </c>
      <c r="O92" s="135">
        <f t="shared" si="30"/>
        <v>0</v>
      </c>
      <c r="P92" s="536" t="e">
        <f t="shared" si="14"/>
        <v>#DIV/0!</v>
      </c>
      <c r="Q92" s="537" t="e">
        <f t="shared" si="18"/>
        <v>#DIV/0!</v>
      </c>
      <c r="R92" s="538" t="e">
        <f>IF(INPUTS!$B$15="yes",Q92,P92)</f>
        <v>#DIV/0!</v>
      </c>
      <c r="S92" s="536" t="e">
        <f t="shared" si="19"/>
        <v>#DIV/0!</v>
      </c>
      <c r="T92" s="537" t="e">
        <f t="shared" si="20"/>
        <v>#DIV/0!</v>
      </c>
      <c r="U92" s="538" t="e">
        <f>IF(INPUTS!$B$15="yes",T92,S92)</f>
        <v>#DIV/0!</v>
      </c>
      <c r="V92" s="536" t="e">
        <f t="shared" si="21"/>
        <v>#DIV/0!</v>
      </c>
      <c r="W92" s="537" t="e">
        <f t="shared" si="22"/>
        <v>#DIV/0!</v>
      </c>
      <c r="X92" s="538" t="e">
        <f>IF(INPUTS!$B$15="yes",W92,V92)</f>
        <v>#DIV/0!</v>
      </c>
      <c r="Y92" s="536" t="e">
        <f t="shared" si="23"/>
        <v>#DIV/0!</v>
      </c>
      <c r="Z92" s="537" t="e">
        <f t="shared" si="24"/>
        <v>#DIV/0!</v>
      </c>
      <c r="AA92" s="538" t="e">
        <f>IF(INPUTS!$B$15="yes",Z92,Y92)</f>
        <v>#DIV/0!</v>
      </c>
      <c r="AB92" s="536" t="e">
        <f t="shared" si="25"/>
        <v>#DIV/0!</v>
      </c>
      <c r="AC92" s="537" t="e">
        <f t="shared" si="26"/>
        <v>#DIV/0!</v>
      </c>
      <c r="AD92" s="538" t="e">
        <f>IF(INPUTS!$B$15="yes",AC92,AB92)</f>
        <v>#DIV/0!</v>
      </c>
      <c r="AE92" s="36" t="str">
        <f t="shared" si="27"/>
        <v>no</v>
      </c>
      <c r="AF92" s="36"/>
      <c r="AG92" s="389" t="e">
        <f>P92*('upper bound Kenaga'!$F$36/100)</f>
        <v>#DIV/0!</v>
      </c>
      <c r="AH92" s="36"/>
      <c r="AI92" s="389" t="e">
        <f>P92*('upper bound Kenaga'!$F$96/100)</f>
        <v>#DIV/0!</v>
      </c>
      <c r="AJ92" s="36"/>
      <c r="AK92" s="36"/>
      <c r="AL92" s="36"/>
      <c r="AM92" s="36"/>
      <c r="AN92" s="36"/>
      <c r="AO92" s="36"/>
    </row>
    <row r="93" spans="1:41" ht="14.25" thickTop="1" thickBot="1">
      <c r="C93" s="5"/>
      <c r="D93" s="126"/>
      <c r="E93" s="127"/>
      <c r="F93" s="11"/>
      <c r="G93" s="10"/>
      <c r="H93" s="11"/>
      <c r="J93" s="6">
        <f>COUNTIF(K$21:K93,"=yes")</f>
        <v>1</v>
      </c>
      <c r="K93" s="533" t="str">
        <f>IF(LOOKUP(VALUE(M93),INPUTS!$G$6:$G$35)=M93,"yes","no")</f>
        <v>no</v>
      </c>
      <c r="L93" s="533">
        <f>IF(K93="yes",(LOOKUP(J93,INPUTS!$E$6:$E$35,INPUTS!$F$6:$F$35)),0)</f>
        <v>0</v>
      </c>
      <c r="M93" s="135">
        <f t="shared" si="28"/>
        <v>72</v>
      </c>
      <c r="N93" s="135">
        <f t="shared" si="29"/>
        <v>1</v>
      </c>
      <c r="O93" s="135">
        <f t="shared" si="30"/>
        <v>0</v>
      </c>
      <c r="P93" s="536" t="e">
        <f t="shared" si="14"/>
        <v>#DIV/0!</v>
      </c>
      <c r="Q93" s="537" t="e">
        <f t="shared" si="18"/>
        <v>#DIV/0!</v>
      </c>
      <c r="R93" s="538" t="e">
        <f>IF(INPUTS!$B$15="yes",Q93,P93)</f>
        <v>#DIV/0!</v>
      </c>
      <c r="S93" s="536" t="e">
        <f t="shared" si="19"/>
        <v>#DIV/0!</v>
      </c>
      <c r="T93" s="537" t="e">
        <f t="shared" si="20"/>
        <v>#DIV/0!</v>
      </c>
      <c r="U93" s="538" t="e">
        <f>IF(INPUTS!$B$15="yes",T93,S93)</f>
        <v>#DIV/0!</v>
      </c>
      <c r="V93" s="536" t="e">
        <f t="shared" si="21"/>
        <v>#DIV/0!</v>
      </c>
      <c r="W93" s="537" t="e">
        <f t="shared" si="22"/>
        <v>#DIV/0!</v>
      </c>
      <c r="X93" s="538" t="e">
        <f>IF(INPUTS!$B$15="yes",W93,V93)</f>
        <v>#DIV/0!</v>
      </c>
      <c r="Y93" s="536" t="e">
        <f t="shared" si="23"/>
        <v>#DIV/0!</v>
      </c>
      <c r="Z93" s="537" t="e">
        <f t="shared" si="24"/>
        <v>#DIV/0!</v>
      </c>
      <c r="AA93" s="538" t="e">
        <f>IF(INPUTS!$B$15="yes",Z93,Y93)</f>
        <v>#DIV/0!</v>
      </c>
      <c r="AB93" s="536" t="e">
        <f t="shared" si="25"/>
        <v>#DIV/0!</v>
      </c>
      <c r="AC93" s="537" t="e">
        <f t="shared" si="26"/>
        <v>#DIV/0!</v>
      </c>
      <c r="AD93" s="538" t="e">
        <f>IF(INPUTS!$B$15="yes",AC93,AB93)</f>
        <v>#DIV/0!</v>
      </c>
      <c r="AE93" s="36" t="str">
        <f t="shared" si="27"/>
        <v>no</v>
      </c>
      <c r="AF93" s="36"/>
      <c r="AG93" s="389" t="e">
        <f>P93*('upper bound Kenaga'!$F$36/100)</f>
        <v>#DIV/0!</v>
      </c>
      <c r="AH93" s="36"/>
      <c r="AI93" s="389" t="e">
        <f>P93*('upper bound Kenaga'!$F$96/100)</f>
        <v>#DIV/0!</v>
      </c>
      <c r="AJ93" s="36"/>
      <c r="AK93" s="36"/>
      <c r="AL93" s="36"/>
      <c r="AM93" s="36"/>
      <c r="AN93" s="36"/>
      <c r="AO93" s="36"/>
    </row>
    <row r="94" spans="1:41">
      <c r="B94" s="371" t="s">
        <v>15</v>
      </c>
      <c r="C94" s="372" t="s">
        <v>35</v>
      </c>
      <c r="D94" s="373" t="s">
        <v>212</v>
      </c>
      <c r="E94" s="373" t="s">
        <v>214</v>
      </c>
      <c r="F94" s="315" t="s">
        <v>37</v>
      </c>
      <c r="G94" s="374" t="s">
        <v>210</v>
      </c>
      <c r="J94" s="6">
        <f>COUNTIF(K$21:K94,"=yes")</f>
        <v>1</v>
      </c>
      <c r="K94" s="533" t="str">
        <f>IF(LOOKUP(VALUE(M94),INPUTS!$G$6:$G$35)=M94,"yes","no")</f>
        <v>no</v>
      </c>
      <c r="L94" s="533">
        <f>IF(K94="yes",(LOOKUP(J94,INPUTS!$E$6:$E$35,INPUTS!$F$6:$F$35)),0)</f>
        <v>0</v>
      </c>
      <c r="M94" s="135">
        <f t="shared" si="28"/>
        <v>73</v>
      </c>
      <c r="N94" s="135">
        <f t="shared" si="29"/>
        <v>1</v>
      </c>
      <c r="O94" s="135">
        <f t="shared" si="30"/>
        <v>0</v>
      </c>
      <c r="P94" s="536" t="e">
        <f t="shared" si="14"/>
        <v>#DIV/0!</v>
      </c>
      <c r="Q94" s="537" t="e">
        <f t="shared" si="18"/>
        <v>#DIV/0!</v>
      </c>
      <c r="R94" s="538" t="e">
        <f>IF(INPUTS!$B$15="yes",Q94,P94)</f>
        <v>#DIV/0!</v>
      </c>
      <c r="S94" s="536" t="e">
        <f t="shared" si="19"/>
        <v>#DIV/0!</v>
      </c>
      <c r="T94" s="537" t="e">
        <f t="shared" si="20"/>
        <v>#DIV/0!</v>
      </c>
      <c r="U94" s="538" t="e">
        <f>IF(INPUTS!$B$15="yes",T94,S94)</f>
        <v>#DIV/0!</v>
      </c>
      <c r="V94" s="536" t="e">
        <f t="shared" si="21"/>
        <v>#DIV/0!</v>
      </c>
      <c r="W94" s="537" t="e">
        <f t="shared" si="22"/>
        <v>#DIV/0!</v>
      </c>
      <c r="X94" s="538" t="e">
        <f>IF(INPUTS!$B$15="yes",W94,V94)</f>
        <v>#DIV/0!</v>
      </c>
      <c r="Y94" s="536" t="e">
        <f t="shared" si="23"/>
        <v>#DIV/0!</v>
      </c>
      <c r="Z94" s="537" t="e">
        <f t="shared" si="24"/>
        <v>#DIV/0!</v>
      </c>
      <c r="AA94" s="538" t="e">
        <f>IF(INPUTS!$B$15="yes",Z94,Y94)</f>
        <v>#DIV/0!</v>
      </c>
      <c r="AB94" s="536" t="e">
        <f t="shared" si="25"/>
        <v>#DIV/0!</v>
      </c>
      <c r="AC94" s="537" t="e">
        <f t="shared" si="26"/>
        <v>#DIV/0!</v>
      </c>
      <c r="AD94" s="538" t="e">
        <f>IF(INPUTS!$B$15="yes",AC94,AB94)</f>
        <v>#DIV/0!</v>
      </c>
      <c r="AE94" s="36" t="str">
        <f t="shared" si="27"/>
        <v>no</v>
      </c>
      <c r="AF94" s="36"/>
      <c r="AG94" s="389" t="e">
        <f>P94*('upper bound Kenaga'!$F$36/100)</f>
        <v>#DIV/0!</v>
      </c>
      <c r="AH94" s="36"/>
      <c r="AI94" s="389" t="e">
        <f>P94*('upper bound Kenaga'!$F$96/100)</f>
        <v>#DIV/0!</v>
      </c>
      <c r="AJ94" s="36"/>
      <c r="AK94" s="36"/>
      <c r="AL94" s="36"/>
      <c r="AM94" s="36"/>
      <c r="AN94" s="36"/>
      <c r="AO94" s="36"/>
    </row>
    <row r="95" spans="1:41">
      <c r="B95" s="375" t="s">
        <v>34</v>
      </c>
      <c r="C95" s="376" t="s">
        <v>36</v>
      </c>
      <c r="D95" s="321" t="s">
        <v>206</v>
      </c>
      <c r="E95" s="321" t="s">
        <v>208</v>
      </c>
      <c r="F95" s="318" t="s">
        <v>38</v>
      </c>
      <c r="G95" s="377" t="s">
        <v>211</v>
      </c>
      <c r="J95" s="6">
        <f>COUNTIF(K$21:K95,"=yes")</f>
        <v>1</v>
      </c>
      <c r="K95" s="533" t="str">
        <f>IF(LOOKUP(VALUE(M95),INPUTS!$G$6:$G$35)=M95,"yes","no")</f>
        <v>no</v>
      </c>
      <c r="L95" s="533">
        <f>IF(K95="yes",(LOOKUP(J95,INPUTS!$E$6:$E$35,INPUTS!$F$6:$F$35)),0)</f>
        <v>0</v>
      </c>
      <c r="M95" s="135">
        <f t="shared" si="28"/>
        <v>74</v>
      </c>
      <c r="N95" s="135">
        <f t="shared" si="29"/>
        <v>1</v>
      </c>
      <c r="O95" s="135">
        <f t="shared" si="30"/>
        <v>0</v>
      </c>
      <c r="P95" s="536" t="e">
        <f t="shared" ref="P95:P158" si="31">IF((N95&gt;N94),(EXP(-$R$16)*(P94)+$R$11),((EXP(-$R$16)*(P94))))</f>
        <v>#DIV/0!</v>
      </c>
      <c r="Q95" s="537" t="e">
        <f t="shared" si="18"/>
        <v>#DIV/0!</v>
      </c>
      <c r="R95" s="538" t="e">
        <f>IF(INPUTS!$B$15="yes",Q95,P95)</f>
        <v>#DIV/0!</v>
      </c>
      <c r="S95" s="536" t="e">
        <f t="shared" si="19"/>
        <v>#DIV/0!</v>
      </c>
      <c r="T95" s="537" t="e">
        <f t="shared" si="20"/>
        <v>#DIV/0!</v>
      </c>
      <c r="U95" s="538" t="e">
        <f>IF(INPUTS!$B$15="yes",T95,S95)</f>
        <v>#DIV/0!</v>
      </c>
      <c r="V95" s="536" t="e">
        <f t="shared" si="21"/>
        <v>#DIV/0!</v>
      </c>
      <c r="W95" s="537" t="e">
        <f t="shared" si="22"/>
        <v>#DIV/0!</v>
      </c>
      <c r="X95" s="538" t="e">
        <f>IF(INPUTS!$B$15="yes",W95,V95)</f>
        <v>#DIV/0!</v>
      </c>
      <c r="Y95" s="536" t="e">
        <f t="shared" si="23"/>
        <v>#DIV/0!</v>
      </c>
      <c r="Z95" s="537" t="e">
        <f t="shared" si="24"/>
        <v>#DIV/0!</v>
      </c>
      <c r="AA95" s="538" t="e">
        <f>IF(INPUTS!$B$15="yes",Z95,Y95)</f>
        <v>#DIV/0!</v>
      </c>
      <c r="AB95" s="536" t="e">
        <f t="shared" si="25"/>
        <v>#DIV/0!</v>
      </c>
      <c r="AC95" s="537" t="e">
        <f t="shared" si="26"/>
        <v>#DIV/0!</v>
      </c>
      <c r="AD95" s="538" t="e">
        <f>IF(INPUTS!$B$15="yes",AC95,AB95)</f>
        <v>#DIV/0!</v>
      </c>
      <c r="AE95" s="36" t="str">
        <f t="shared" si="27"/>
        <v>no</v>
      </c>
      <c r="AF95" s="36"/>
      <c r="AG95" s="389" t="e">
        <f>P95*('upper bound Kenaga'!$F$36/100)</f>
        <v>#DIV/0!</v>
      </c>
      <c r="AH95" s="36"/>
      <c r="AI95" s="389" t="e">
        <f>P95*('upper bound Kenaga'!$F$96/100)</f>
        <v>#DIV/0!</v>
      </c>
      <c r="AJ95" s="36"/>
      <c r="AK95" s="36"/>
      <c r="AL95" s="36"/>
      <c r="AM95" s="36"/>
      <c r="AN95" s="36"/>
      <c r="AO95" s="36"/>
    </row>
    <row r="96" spans="1:41" ht="12.75" customHeight="1">
      <c r="B96" s="328"/>
      <c r="C96" s="329">
        <f>INPUTS!C19</f>
        <v>15</v>
      </c>
      <c r="D96" s="330">
        <f t="shared" ref="D96:D101" si="32">(0.621*C96^0.564)</f>
        <v>2.8602702585762825</v>
      </c>
      <c r="E96" s="330">
        <f>D96/0.2</f>
        <v>14.301351292881412</v>
      </c>
      <c r="F96" s="300">
        <f t="shared" ref="F96:F101" si="33">(E96/C96)*100</f>
        <v>95.342341952542739</v>
      </c>
      <c r="G96" s="331">
        <f t="shared" ref="G96:G101" si="34">E96/1000</f>
        <v>1.4301351292881412E-2</v>
      </c>
      <c r="J96" s="6">
        <f>COUNTIF(K$21:K96,"=yes")</f>
        <v>1</v>
      </c>
      <c r="K96" s="533" t="str">
        <f>IF(LOOKUP(VALUE(M96),INPUTS!$G$6:$G$35)=M96,"yes","no")</f>
        <v>no</v>
      </c>
      <c r="L96" s="533">
        <f>IF(K96="yes",(LOOKUP(J96,INPUTS!$E$6:$E$35,INPUTS!$F$6:$F$35)),0)</f>
        <v>0</v>
      </c>
      <c r="M96" s="135">
        <f t="shared" si="28"/>
        <v>75</v>
      </c>
      <c r="N96" s="135">
        <f t="shared" si="29"/>
        <v>1</v>
      </c>
      <c r="O96" s="135">
        <f t="shared" si="30"/>
        <v>0</v>
      </c>
      <c r="P96" s="536" t="e">
        <f t="shared" si="31"/>
        <v>#DIV/0!</v>
      </c>
      <c r="Q96" s="537" t="e">
        <f t="shared" si="18"/>
        <v>#DIV/0!</v>
      </c>
      <c r="R96" s="538" t="e">
        <f>IF(INPUTS!$B$15="yes",Q96,P96)</f>
        <v>#DIV/0!</v>
      </c>
      <c r="S96" s="536" t="e">
        <f t="shared" si="19"/>
        <v>#DIV/0!</v>
      </c>
      <c r="T96" s="537" t="e">
        <f t="shared" si="20"/>
        <v>#DIV/0!</v>
      </c>
      <c r="U96" s="538" t="e">
        <f>IF(INPUTS!$B$15="yes",T96,S96)</f>
        <v>#DIV/0!</v>
      </c>
      <c r="V96" s="536" t="e">
        <f t="shared" si="21"/>
        <v>#DIV/0!</v>
      </c>
      <c r="W96" s="537" t="e">
        <f t="shared" si="22"/>
        <v>#DIV/0!</v>
      </c>
      <c r="X96" s="538" t="e">
        <f>IF(INPUTS!$B$15="yes",W96,V96)</f>
        <v>#DIV/0!</v>
      </c>
      <c r="Y96" s="536" t="e">
        <f t="shared" si="23"/>
        <v>#DIV/0!</v>
      </c>
      <c r="Z96" s="537" t="e">
        <f t="shared" si="24"/>
        <v>#DIV/0!</v>
      </c>
      <c r="AA96" s="538" t="e">
        <f>IF(INPUTS!$B$15="yes",Z96,Y96)</f>
        <v>#DIV/0!</v>
      </c>
      <c r="AB96" s="536" t="e">
        <f t="shared" si="25"/>
        <v>#DIV/0!</v>
      </c>
      <c r="AC96" s="537" t="e">
        <f t="shared" si="26"/>
        <v>#DIV/0!</v>
      </c>
      <c r="AD96" s="538" t="e">
        <f>IF(INPUTS!$B$15="yes",AC96,AB96)</f>
        <v>#DIV/0!</v>
      </c>
      <c r="AE96" s="36" t="str">
        <f t="shared" si="27"/>
        <v>no</v>
      </c>
      <c r="AF96" s="36"/>
      <c r="AG96" s="389" t="e">
        <f>P96*('upper bound Kenaga'!$F$36/100)</f>
        <v>#DIV/0!</v>
      </c>
      <c r="AH96" s="36"/>
      <c r="AI96" s="389" t="e">
        <f>P96*('upper bound Kenaga'!$F$96/100)</f>
        <v>#DIV/0!</v>
      </c>
      <c r="AJ96" s="36"/>
      <c r="AK96" s="36"/>
      <c r="AL96" s="36"/>
      <c r="AM96" s="36"/>
      <c r="AN96" s="36"/>
      <c r="AO96" s="36"/>
    </row>
    <row r="97" spans="1:41">
      <c r="B97" s="328" t="s">
        <v>29</v>
      </c>
      <c r="C97" s="329">
        <f>INPUTS!C20</f>
        <v>35</v>
      </c>
      <c r="D97" s="330">
        <f t="shared" si="32"/>
        <v>4.612601938597475</v>
      </c>
      <c r="E97" s="330">
        <f>D97/0.2</f>
        <v>23.063009692987375</v>
      </c>
      <c r="F97" s="300">
        <f t="shared" si="33"/>
        <v>65.894313408535353</v>
      </c>
      <c r="G97" s="331">
        <f t="shared" si="34"/>
        <v>2.3063009692987375E-2</v>
      </c>
      <c r="J97" s="6">
        <f>COUNTIF(K$21:K97,"=yes")</f>
        <v>1</v>
      </c>
      <c r="K97" s="533" t="str">
        <f>IF(LOOKUP(VALUE(M97),INPUTS!$G$6:$G$35)=M97,"yes","no")</f>
        <v>no</v>
      </c>
      <c r="L97" s="533">
        <f>IF(K97="yes",(LOOKUP(J97,INPUTS!$E$6:$E$35,INPUTS!$F$6:$F$35)),0)</f>
        <v>0</v>
      </c>
      <c r="M97" s="135">
        <f t="shared" si="28"/>
        <v>76</v>
      </c>
      <c r="N97" s="135">
        <f t="shared" si="29"/>
        <v>1</v>
      </c>
      <c r="O97" s="135">
        <f t="shared" si="30"/>
        <v>0</v>
      </c>
      <c r="P97" s="536" t="e">
        <f t="shared" si="31"/>
        <v>#DIV/0!</v>
      </c>
      <c r="Q97" s="537" t="e">
        <f t="shared" si="18"/>
        <v>#DIV/0!</v>
      </c>
      <c r="R97" s="538" t="e">
        <f>IF(INPUTS!$B$15="yes",Q97,P97)</f>
        <v>#DIV/0!</v>
      </c>
      <c r="S97" s="536" t="e">
        <f t="shared" si="19"/>
        <v>#DIV/0!</v>
      </c>
      <c r="T97" s="537" t="e">
        <f t="shared" si="20"/>
        <v>#DIV/0!</v>
      </c>
      <c r="U97" s="538" t="e">
        <f>IF(INPUTS!$B$15="yes",T97,S97)</f>
        <v>#DIV/0!</v>
      </c>
      <c r="V97" s="536" t="e">
        <f t="shared" si="21"/>
        <v>#DIV/0!</v>
      </c>
      <c r="W97" s="537" t="e">
        <f t="shared" si="22"/>
        <v>#DIV/0!</v>
      </c>
      <c r="X97" s="538" t="e">
        <f>IF(INPUTS!$B$15="yes",W97,V97)</f>
        <v>#DIV/0!</v>
      </c>
      <c r="Y97" s="536" t="e">
        <f t="shared" si="23"/>
        <v>#DIV/0!</v>
      </c>
      <c r="Z97" s="537" t="e">
        <f t="shared" si="24"/>
        <v>#DIV/0!</v>
      </c>
      <c r="AA97" s="538" t="e">
        <f>IF(INPUTS!$B$15="yes",Z97,Y97)</f>
        <v>#DIV/0!</v>
      </c>
      <c r="AB97" s="536" t="e">
        <f t="shared" si="25"/>
        <v>#DIV/0!</v>
      </c>
      <c r="AC97" s="537" t="e">
        <f t="shared" si="26"/>
        <v>#DIV/0!</v>
      </c>
      <c r="AD97" s="538" t="e">
        <f>IF(INPUTS!$B$15="yes",AC97,AB97)</f>
        <v>#DIV/0!</v>
      </c>
      <c r="AE97" s="36" t="str">
        <f t="shared" si="27"/>
        <v>no</v>
      </c>
      <c r="AF97" s="36"/>
      <c r="AG97" s="389" t="e">
        <f>P97*('upper bound Kenaga'!$F$36/100)</f>
        <v>#DIV/0!</v>
      </c>
      <c r="AH97" s="36"/>
      <c r="AI97" s="389" t="e">
        <f>P97*('upper bound Kenaga'!$F$96/100)</f>
        <v>#DIV/0!</v>
      </c>
      <c r="AJ97" s="36"/>
      <c r="AK97" s="36"/>
      <c r="AL97" s="36"/>
      <c r="AM97" s="36"/>
      <c r="AN97" s="36"/>
      <c r="AO97" s="36"/>
    </row>
    <row r="98" spans="1:41">
      <c r="B98" s="332" t="s">
        <v>30</v>
      </c>
      <c r="C98" s="327">
        <f>INPUTS!C21</f>
        <v>1000</v>
      </c>
      <c r="D98" s="333">
        <f t="shared" si="32"/>
        <v>30.555655165818088</v>
      </c>
      <c r="E98" s="333">
        <f>D98/0.2</f>
        <v>152.77827582909043</v>
      </c>
      <c r="F98" s="334">
        <f t="shared" si="33"/>
        <v>15.277827582909042</v>
      </c>
      <c r="G98" s="335">
        <f t="shared" si="34"/>
        <v>0.15277827582909043</v>
      </c>
      <c r="J98" s="6">
        <f>COUNTIF(K$21:K98,"=yes")</f>
        <v>1</v>
      </c>
      <c r="K98" s="533" t="str">
        <f>IF(LOOKUP(VALUE(M98),INPUTS!$G$6:$G$35)=M98,"yes","no")</f>
        <v>no</v>
      </c>
      <c r="L98" s="533">
        <f>IF(K98="yes",(LOOKUP(J98,INPUTS!$E$6:$E$35,INPUTS!$F$6:$F$35)),0)</f>
        <v>0</v>
      </c>
      <c r="M98" s="135">
        <f t="shared" si="28"/>
        <v>77</v>
      </c>
      <c r="N98" s="135">
        <f t="shared" si="29"/>
        <v>1</v>
      </c>
      <c r="O98" s="135">
        <f t="shared" si="30"/>
        <v>0</v>
      </c>
      <c r="P98" s="536" t="e">
        <f t="shared" si="31"/>
        <v>#DIV/0!</v>
      </c>
      <c r="Q98" s="537" t="e">
        <f t="shared" si="18"/>
        <v>#DIV/0!</v>
      </c>
      <c r="R98" s="538" t="e">
        <f>IF(INPUTS!$B$15="yes",Q98,P98)</f>
        <v>#DIV/0!</v>
      </c>
      <c r="S98" s="536" t="e">
        <f t="shared" si="19"/>
        <v>#DIV/0!</v>
      </c>
      <c r="T98" s="537" t="e">
        <f t="shared" si="20"/>
        <v>#DIV/0!</v>
      </c>
      <c r="U98" s="538" t="e">
        <f>IF(INPUTS!$B$15="yes",T98,S98)</f>
        <v>#DIV/0!</v>
      </c>
      <c r="V98" s="536" t="e">
        <f t="shared" si="21"/>
        <v>#DIV/0!</v>
      </c>
      <c r="W98" s="537" t="e">
        <f t="shared" si="22"/>
        <v>#DIV/0!</v>
      </c>
      <c r="X98" s="538" t="e">
        <f>IF(INPUTS!$B$15="yes",W98,V98)</f>
        <v>#DIV/0!</v>
      </c>
      <c r="Y98" s="536" t="e">
        <f t="shared" si="23"/>
        <v>#DIV/0!</v>
      </c>
      <c r="Z98" s="537" t="e">
        <f t="shared" si="24"/>
        <v>#DIV/0!</v>
      </c>
      <c r="AA98" s="538" t="e">
        <f>IF(INPUTS!$B$15="yes",Z98,Y98)</f>
        <v>#DIV/0!</v>
      </c>
      <c r="AB98" s="536" t="e">
        <f t="shared" si="25"/>
        <v>#DIV/0!</v>
      </c>
      <c r="AC98" s="537" t="e">
        <f t="shared" si="26"/>
        <v>#DIV/0!</v>
      </c>
      <c r="AD98" s="538" t="e">
        <f>IF(INPUTS!$B$15="yes",AC98,AB98)</f>
        <v>#DIV/0!</v>
      </c>
      <c r="AE98" s="36" t="str">
        <f t="shared" si="27"/>
        <v>no</v>
      </c>
      <c r="AF98" s="36"/>
      <c r="AG98" s="389" t="e">
        <f>P98*('upper bound Kenaga'!$F$36/100)</f>
        <v>#DIV/0!</v>
      </c>
      <c r="AH98" s="36"/>
      <c r="AI98" s="389" t="e">
        <f>P98*('upper bound Kenaga'!$F$96/100)</f>
        <v>#DIV/0!</v>
      </c>
      <c r="AJ98" s="36"/>
      <c r="AK98" s="36"/>
      <c r="AL98" s="36"/>
      <c r="AM98" s="36"/>
      <c r="AN98" s="36"/>
      <c r="AO98" s="36"/>
    </row>
    <row r="99" spans="1:41">
      <c r="B99" s="328"/>
      <c r="C99" s="329">
        <f>INPUTS!C19</f>
        <v>15</v>
      </c>
      <c r="D99" s="330">
        <f t="shared" si="32"/>
        <v>2.8602702585762825</v>
      </c>
      <c r="E99" s="330">
        <f>D99/0.9</f>
        <v>3.1780780650847582</v>
      </c>
      <c r="F99" s="300">
        <f t="shared" si="33"/>
        <v>21.187187100565055</v>
      </c>
      <c r="G99" s="331">
        <f t="shared" si="34"/>
        <v>3.1780780650847583E-3</v>
      </c>
      <c r="J99" s="6">
        <f>COUNTIF(K$21:K99,"=yes")</f>
        <v>1</v>
      </c>
      <c r="K99" s="533" t="str">
        <f>IF(LOOKUP(VALUE(M99),INPUTS!$G$6:$G$35)=M99,"yes","no")</f>
        <v>no</v>
      </c>
      <c r="L99" s="533">
        <f>IF(K99="yes",(LOOKUP(J99,INPUTS!$E$6:$E$35,INPUTS!$F$6:$F$35)),0)</f>
        <v>0</v>
      </c>
      <c r="M99" s="135">
        <f t="shared" si="28"/>
        <v>78</v>
      </c>
      <c r="N99" s="135">
        <f t="shared" si="29"/>
        <v>1</v>
      </c>
      <c r="O99" s="135">
        <f t="shared" si="30"/>
        <v>0</v>
      </c>
      <c r="P99" s="536" t="e">
        <f t="shared" si="31"/>
        <v>#DIV/0!</v>
      </c>
      <c r="Q99" s="537" t="e">
        <f t="shared" si="18"/>
        <v>#DIV/0!</v>
      </c>
      <c r="R99" s="538" t="e">
        <f>IF(INPUTS!$B$15="yes",Q99,P99)</f>
        <v>#DIV/0!</v>
      </c>
      <c r="S99" s="536" t="e">
        <f t="shared" si="19"/>
        <v>#DIV/0!</v>
      </c>
      <c r="T99" s="537" t="e">
        <f t="shared" si="20"/>
        <v>#DIV/0!</v>
      </c>
      <c r="U99" s="538" t="e">
        <f>IF(INPUTS!$B$15="yes",T99,S99)</f>
        <v>#DIV/0!</v>
      </c>
      <c r="V99" s="536" t="e">
        <f t="shared" si="21"/>
        <v>#DIV/0!</v>
      </c>
      <c r="W99" s="537" t="e">
        <f t="shared" si="22"/>
        <v>#DIV/0!</v>
      </c>
      <c r="X99" s="538" t="e">
        <f>IF(INPUTS!$B$15="yes",W99,V99)</f>
        <v>#DIV/0!</v>
      </c>
      <c r="Y99" s="536" t="e">
        <f t="shared" si="23"/>
        <v>#DIV/0!</v>
      </c>
      <c r="Z99" s="537" t="e">
        <f t="shared" si="24"/>
        <v>#DIV/0!</v>
      </c>
      <c r="AA99" s="538" t="e">
        <f>IF(INPUTS!$B$15="yes",Z99,Y99)</f>
        <v>#DIV/0!</v>
      </c>
      <c r="AB99" s="536" t="e">
        <f t="shared" si="25"/>
        <v>#DIV/0!</v>
      </c>
      <c r="AC99" s="537" t="e">
        <f t="shared" si="26"/>
        <v>#DIV/0!</v>
      </c>
      <c r="AD99" s="538" t="e">
        <f>IF(INPUTS!$B$15="yes",AC99,AB99)</f>
        <v>#DIV/0!</v>
      </c>
      <c r="AE99" s="36" t="str">
        <f t="shared" si="27"/>
        <v>no</v>
      </c>
      <c r="AF99" s="36"/>
      <c r="AG99" s="389" t="e">
        <f>P99*('upper bound Kenaga'!$F$36/100)</f>
        <v>#DIV/0!</v>
      </c>
      <c r="AH99" s="36"/>
      <c r="AI99" s="389" t="e">
        <f>P99*('upper bound Kenaga'!$F$96/100)</f>
        <v>#DIV/0!</v>
      </c>
      <c r="AJ99" s="36"/>
      <c r="AK99" s="36"/>
      <c r="AL99" s="36"/>
      <c r="AM99" s="36"/>
      <c r="AN99" s="36"/>
      <c r="AO99" s="36"/>
    </row>
    <row r="100" spans="1:41">
      <c r="B100" s="328" t="s">
        <v>57</v>
      </c>
      <c r="C100" s="329">
        <f>INPUTS!C20</f>
        <v>35</v>
      </c>
      <c r="D100" s="330">
        <f t="shared" si="32"/>
        <v>4.612601938597475</v>
      </c>
      <c r="E100" s="330">
        <f>D100/0.9</f>
        <v>5.1251132651083058</v>
      </c>
      <c r="F100" s="300">
        <f t="shared" si="33"/>
        <v>14.643180757452301</v>
      </c>
      <c r="G100" s="331">
        <f t="shared" si="34"/>
        <v>5.1251132651083057E-3</v>
      </c>
      <c r="J100" s="6">
        <f>COUNTIF(K$21:K100,"=yes")</f>
        <v>1</v>
      </c>
      <c r="K100" s="533" t="str">
        <f>IF(LOOKUP(VALUE(M100),INPUTS!$G$6:$G$35)=M100,"yes","no")</f>
        <v>no</v>
      </c>
      <c r="L100" s="533">
        <f>IF(K100="yes",(LOOKUP(J100,INPUTS!$E$6:$E$35,INPUTS!$F$6:$F$35)),0)</f>
        <v>0</v>
      </c>
      <c r="M100" s="135">
        <f t="shared" si="28"/>
        <v>79</v>
      </c>
      <c r="N100" s="135">
        <f t="shared" si="29"/>
        <v>1</v>
      </c>
      <c r="O100" s="135">
        <f t="shared" si="30"/>
        <v>0</v>
      </c>
      <c r="P100" s="536" t="e">
        <f t="shared" si="31"/>
        <v>#DIV/0!</v>
      </c>
      <c r="Q100" s="537" t="e">
        <f t="shared" si="18"/>
        <v>#DIV/0!</v>
      </c>
      <c r="R100" s="538" t="e">
        <f>IF(INPUTS!$B$15="yes",Q100,P100)</f>
        <v>#DIV/0!</v>
      </c>
      <c r="S100" s="536" t="e">
        <f t="shared" si="19"/>
        <v>#DIV/0!</v>
      </c>
      <c r="T100" s="537" t="e">
        <f t="shared" si="20"/>
        <v>#DIV/0!</v>
      </c>
      <c r="U100" s="538" t="e">
        <f>IF(INPUTS!$B$15="yes",T100,S100)</f>
        <v>#DIV/0!</v>
      </c>
      <c r="V100" s="536" t="e">
        <f t="shared" si="21"/>
        <v>#DIV/0!</v>
      </c>
      <c r="W100" s="537" t="e">
        <f t="shared" si="22"/>
        <v>#DIV/0!</v>
      </c>
      <c r="X100" s="538" t="e">
        <f>IF(INPUTS!$B$15="yes",W100,V100)</f>
        <v>#DIV/0!</v>
      </c>
      <c r="Y100" s="536" t="e">
        <f t="shared" si="23"/>
        <v>#DIV/0!</v>
      </c>
      <c r="Z100" s="537" t="e">
        <f t="shared" si="24"/>
        <v>#DIV/0!</v>
      </c>
      <c r="AA100" s="538" t="e">
        <f>IF(INPUTS!$B$15="yes",Z100,Y100)</f>
        <v>#DIV/0!</v>
      </c>
      <c r="AB100" s="536" t="e">
        <f t="shared" si="25"/>
        <v>#DIV/0!</v>
      </c>
      <c r="AC100" s="537" t="e">
        <f t="shared" si="26"/>
        <v>#DIV/0!</v>
      </c>
      <c r="AD100" s="538" t="e">
        <f>IF(INPUTS!$B$15="yes",AC100,AB100)</f>
        <v>#DIV/0!</v>
      </c>
      <c r="AE100" s="36" t="str">
        <f t="shared" si="27"/>
        <v>no</v>
      </c>
      <c r="AF100" s="36"/>
      <c r="AG100" s="389" t="e">
        <f>P100*('upper bound Kenaga'!$F$36/100)</f>
        <v>#DIV/0!</v>
      </c>
      <c r="AH100" s="36"/>
      <c r="AI100" s="389" t="e">
        <f>P100*('upper bound Kenaga'!$F$96/100)</f>
        <v>#DIV/0!</v>
      </c>
      <c r="AJ100" s="36"/>
      <c r="AK100" s="36"/>
      <c r="AL100" s="36"/>
      <c r="AM100" s="36"/>
      <c r="AN100" s="36"/>
      <c r="AO100" s="36"/>
    </row>
    <row r="101" spans="1:41" ht="13.5" thickBot="1">
      <c r="B101" s="336"/>
      <c r="C101" s="337">
        <f>INPUTS!C21</f>
        <v>1000</v>
      </c>
      <c r="D101" s="338">
        <f t="shared" si="32"/>
        <v>30.555655165818088</v>
      </c>
      <c r="E101" s="338">
        <f>D101/0.9</f>
        <v>33.950727962020096</v>
      </c>
      <c r="F101" s="306">
        <f t="shared" si="33"/>
        <v>3.3950727962020095</v>
      </c>
      <c r="G101" s="339">
        <f t="shared" si="34"/>
        <v>3.3950727962020096E-2</v>
      </c>
      <c r="J101" s="6">
        <f>COUNTIF(K$21:K101,"=yes")</f>
        <v>1</v>
      </c>
      <c r="K101" s="533" t="str">
        <f>IF(LOOKUP(VALUE(M101),INPUTS!$G$6:$G$35)=M101,"yes","no")</f>
        <v>no</v>
      </c>
      <c r="L101" s="533">
        <f>IF(K101="yes",(LOOKUP(J101,INPUTS!$E$6:$E$35,INPUTS!$F$6:$F$35)),0)</f>
        <v>0</v>
      </c>
      <c r="M101" s="135">
        <f t="shared" si="28"/>
        <v>80</v>
      </c>
      <c r="N101" s="135">
        <f t="shared" si="29"/>
        <v>1</v>
      </c>
      <c r="O101" s="135">
        <f t="shared" si="30"/>
        <v>0</v>
      </c>
      <c r="P101" s="536" t="e">
        <f t="shared" si="31"/>
        <v>#DIV/0!</v>
      </c>
      <c r="Q101" s="537" t="e">
        <f t="shared" si="18"/>
        <v>#DIV/0!</v>
      </c>
      <c r="R101" s="538" t="e">
        <f>IF(INPUTS!$B$15="yes",Q101,P101)</f>
        <v>#DIV/0!</v>
      </c>
      <c r="S101" s="536" t="e">
        <f t="shared" si="19"/>
        <v>#DIV/0!</v>
      </c>
      <c r="T101" s="537" t="e">
        <f t="shared" si="20"/>
        <v>#DIV/0!</v>
      </c>
      <c r="U101" s="538" t="e">
        <f>IF(INPUTS!$B$15="yes",T101,S101)</f>
        <v>#DIV/0!</v>
      </c>
      <c r="V101" s="536" t="e">
        <f t="shared" si="21"/>
        <v>#DIV/0!</v>
      </c>
      <c r="W101" s="537" t="e">
        <f t="shared" si="22"/>
        <v>#DIV/0!</v>
      </c>
      <c r="X101" s="538" t="e">
        <f>IF(INPUTS!$B$15="yes",W101,V101)</f>
        <v>#DIV/0!</v>
      </c>
      <c r="Y101" s="536" t="e">
        <f t="shared" si="23"/>
        <v>#DIV/0!</v>
      </c>
      <c r="Z101" s="537" t="e">
        <f t="shared" si="24"/>
        <v>#DIV/0!</v>
      </c>
      <c r="AA101" s="538" t="e">
        <f>IF(INPUTS!$B$15="yes",Z101,Y101)</f>
        <v>#DIV/0!</v>
      </c>
      <c r="AB101" s="536" t="e">
        <f t="shared" si="25"/>
        <v>#DIV/0!</v>
      </c>
      <c r="AC101" s="537" t="e">
        <f t="shared" si="26"/>
        <v>#DIV/0!</v>
      </c>
      <c r="AD101" s="538" t="e">
        <f>IF(INPUTS!$B$15="yes",AC101,AB101)</f>
        <v>#DIV/0!</v>
      </c>
      <c r="AE101" s="36" t="str">
        <f t="shared" si="27"/>
        <v>no</v>
      </c>
      <c r="AF101" s="36"/>
      <c r="AG101" s="389" t="e">
        <f>P101*('upper bound Kenaga'!$F$36/100)</f>
        <v>#DIV/0!</v>
      </c>
      <c r="AH101" s="36"/>
      <c r="AI101" s="389" t="e">
        <f>P101*('upper bound Kenaga'!$F$96/100)</f>
        <v>#DIV/0!</v>
      </c>
      <c r="AJ101" s="36"/>
      <c r="AK101" s="36"/>
      <c r="AL101" s="36"/>
      <c r="AM101" s="36"/>
      <c r="AN101" s="36"/>
      <c r="AO101" s="36"/>
    </row>
    <row r="102" spans="1:41" ht="13.5" thickBot="1">
      <c r="A102" s="4"/>
      <c r="B102" s="147"/>
      <c r="C102" s="147"/>
      <c r="D102" s="340"/>
      <c r="E102" s="147"/>
      <c r="F102" s="147"/>
      <c r="G102" s="147"/>
      <c r="J102" s="6">
        <f>COUNTIF(K$21:K102,"=yes")</f>
        <v>1</v>
      </c>
      <c r="K102" s="533" t="str">
        <f>IF(LOOKUP(VALUE(M102),INPUTS!$G$6:$G$35)=M102,"yes","no")</f>
        <v>no</v>
      </c>
      <c r="L102" s="533">
        <f>IF(K102="yes",(LOOKUP(J102,INPUTS!$E$6:$E$35,INPUTS!$F$6:$F$35)),0)</f>
        <v>0</v>
      </c>
      <c r="M102" s="135">
        <f t="shared" si="28"/>
        <v>81</v>
      </c>
      <c r="N102" s="135">
        <f t="shared" si="29"/>
        <v>1</v>
      </c>
      <c r="O102" s="135">
        <f t="shared" si="30"/>
        <v>0</v>
      </c>
      <c r="P102" s="536" t="e">
        <f t="shared" si="31"/>
        <v>#DIV/0!</v>
      </c>
      <c r="Q102" s="537" t="e">
        <f t="shared" si="18"/>
        <v>#DIV/0!</v>
      </c>
      <c r="R102" s="538" t="e">
        <f>IF(INPUTS!$B$15="yes",Q102,P102)</f>
        <v>#DIV/0!</v>
      </c>
      <c r="S102" s="536" t="e">
        <f t="shared" si="19"/>
        <v>#DIV/0!</v>
      </c>
      <c r="T102" s="537" t="e">
        <f t="shared" si="20"/>
        <v>#DIV/0!</v>
      </c>
      <c r="U102" s="538" t="e">
        <f>IF(INPUTS!$B$15="yes",T102,S102)</f>
        <v>#DIV/0!</v>
      </c>
      <c r="V102" s="536" t="e">
        <f t="shared" si="21"/>
        <v>#DIV/0!</v>
      </c>
      <c r="W102" s="537" t="e">
        <f t="shared" si="22"/>
        <v>#DIV/0!</v>
      </c>
      <c r="X102" s="538" t="e">
        <f>IF(INPUTS!$B$15="yes",W102,V102)</f>
        <v>#DIV/0!</v>
      </c>
      <c r="Y102" s="536" t="e">
        <f t="shared" si="23"/>
        <v>#DIV/0!</v>
      </c>
      <c r="Z102" s="537" t="e">
        <f t="shared" si="24"/>
        <v>#DIV/0!</v>
      </c>
      <c r="AA102" s="538" t="e">
        <f>IF(INPUTS!$B$15="yes",Z102,Y102)</f>
        <v>#DIV/0!</v>
      </c>
      <c r="AB102" s="536" t="e">
        <f t="shared" si="25"/>
        <v>#DIV/0!</v>
      </c>
      <c r="AC102" s="537" t="e">
        <f t="shared" si="26"/>
        <v>#DIV/0!</v>
      </c>
      <c r="AD102" s="538" t="e">
        <f>IF(INPUTS!$B$15="yes",AC102,AB102)</f>
        <v>#DIV/0!</v>
      </c>
      <c r="AE102" s="36" t="str">
        <f t="shared" si="27"/>
        <v>no</v>
      </c>
      <c r="AF102" s="36"/>
      <c r="AG102" s="389" t="e">
        <f>P102*('upper bound Kenaga'!$F$36/100)</f>
        <v>#DIV/0!</v>
      </c>
      <c r="AH102" s="36"/>
      <c r="AI102" s="389" t="e">
        <f>P102*('upper bound Kenaga'!$F$96/100)</f>
        <v>#DIV/0!</v>
      </c>
      <c r="AJ102" s="36"/>
      <c r="AK102" s="36"/>
      <c r="AL102" s="36"/>
      <c r="AM102" s="36"/>
      <c r="AN102" s="36"/>
      <c r="AO102" s="36"/>
    </row>
    <row r="103" spans="1:41">
      <c r="B103" s="371" t="s">
        <v>15</v>
      </c>
      <c r="C103" s="378" t="s">
        <v>35</v>
      </c>
      <c r="D103" s="373" t="s">
        <v>140</v>
      </c>
      <c r="E103" s="379" t="s">
        <v>140</v>
      </c>
      <c r="F103" s="341"/>
      <c r="G103" s="147"/>
      <c r="J103" s="6">
        <f>COUNTIF(K$21:K103,"=yes")</f>
        <v>1</v>
      </c>
      <c r="K103" s="533" t="str">
        <f>IF(LOOKUP(VALUE(M103),INPUTS!$G$6:$G$35)=M103,"yes","no")</f>
        <v>no</v>
      </c>
      <c r="L103" s="533">
        <f>IF(K103="yes",(LOOKUP(J103,INPUTS!$E$6:$E$35,INPUTS!$F$6:$F$35)),0)</f>
        <v>0</v>
      </c>
      <c r="M103" s="135">
        <f t="shared" si="28"/>
        <v>82</v>
      </c>
      <c r="N103" s="135">
        <f t="shared" si="29"/>
        <v>1</v>
      </c>
      <c r="O103" s="135">
        <f t="shared" si="30"/>
        <v>0</v>
      </c>
      <c r="P103" s="536" t="e">
        <f t="shared" si="31"/>
        <v>#DIV/0!</v>
      </c>
      <c r="Q103" s="537" t="e">
        <f t="shared" si="18"/>
        <v>#DIV/0!</v>
      </c>
      <c r="R103" s="538" t="e">
        <f>IF(INPUTS!$B$15="yes",Q103,P103)</f>
        <v>#DIV/0!</v>
      </c>
      <c r="S103" s="536" t="e">
        <f t="shared" si="19"/>
        <v>#DIV/0!</v>
      </c>
      <c r="T103" s="537" t="e">
        <f t="shared" si="20"/>
        <v>#DIV/0!</v>
      </c>
      <c r="U103" s="538" t="e">
        <f>IF(INPUTS!$B$15="yes",T103,S103)</f>
        <v>#DIV/0!</v>
      </c>
      <c r="V103" s="536" t="e">
        <f t="shared" si="21"/>
        <v>#DIV/0!</v>
      </c>
      <c r="W103" s="537" t="e">
        <f t="shared" si="22"/>
        <v>#DIV/0!</v>
      </c>
      <c r="X103" s="538" t="e">
        <f>IF(INPUTS!$B$15="yes",W103,V103)</f>
        <v>#DIV/0!</v>
      </c>
      <c r="Y103" s="536" t="e">
        <f t="shared" si="23"/>
        <v>#DIV/0!</v>
      </c>
      <c r="Z103" s="537" t="e">
        <f t="shared" si="24"/>
        <v>#DIV/0!</v>
      </c>
      <c r="AA103" s="538" t="e">
        <f>IF(INPUTS!$B$15="yes",Z103,Y103)</f>
        <v>#DIV/0!</v>
      </c>
      <c r="AB103" s="536" t="e">
        <f t="shared" si="25"/>
        <v>#DIV/0!</v>
      </c>
      <c r="AC103" s="537" t="e">
        <f t="shared" si="26"/>
        <v>#DIV/0!</v>
      </c>
      <c r="AD103" s="538" t="e">
        <f>IF(INPUTS!$B$15="yes",AC103,AB103)</f>
        <v>#DIV/0!</v>
      </c>
      <c r="AE103" s="36" t="str">
        <f t="shared" si="27"/>
        <v>no</v>
      </c>
      <c r="AF103" s="36"/>
      <c r="AG103" s="389" t="e">
        <f>P103*('upper bound Kenaga'!$F$36/100)</f>
        <v>#DIV/0!</v>
      </c>
      <c r="AH103" s="36"/>
      <c r="AI103" s="389" t="e">
        <f>P103*('upper bound Kenaga'!$F$96/100)</f>
        <v>#DIV/0!</v>
      </c>
      <c r="AJ103" s="36"/>
      <c r="AK103" s="36"/>
      <c r="AL103" s="36"/>
      <c r="AM103" s="36"/>
      <c r="AN103" s="36"/>
      <c r="AO103" s="36"/>
    </row>
    <row r="104" spans="1:41">
      <c r="B104" s="375" t="s">
        <v>34</v>
      </c>
      <c r="C104" s="380" t="s">
        <v>36</v>
      </c>
      <c r="D104" s="321" t="s">
        <v>141</v>
      </c>
      <c r="E104" s="381" t="s">
        <v>82</v>
      </c>
      <c r="F104" s="341"/>
      <c r="G104" s="147"/>
      <c r="J104" s="6">
        <f>COUNTIF(K$21:K104,"=yes")</f>
        <v>1</v>
      </c>
      <c r="K104" s="533" t="str">
        <f>IF(LOOKUP(VALUE(M104),INPUTS!$G$6:$G$35)=M104,"yes","no")</f>
        <v>no</v>
      </c>
      <c r="L104" s="533">
        <f>IF(K104="yes",(LOOKUP(J104,INPUTS!$E$6:$E$35,INPUTS!$F$6:$F$35)),0)</f>
        <v>0</v>
      </c>
      <c r="M104" s="135">
        <f t="shared" si="28"/>
        <v>83</v>
      </c>
      <c r="N104" s="135">
        <f t="shared" si="29"/>
        <v>1</v>
      </c>
      <c r="O104" s="135">
        <f t="shared" si="30"/>
        <v>0</v>
      </c>
      <c r="P104" s="536" t="e">
        <f t="shared" si="31"/>
        <v>#DIV/0!</v>
      </c>
      <c r="Q104" s="537" t="e">
        <f t="shared" si="18"/>
        <v>#DIV/0!</v>
      </c>
      <c r="R104" s="538" t="e">
        <f>IF(INPUTS!$B$15="yes",Q104,P104)</f>
        <v>#DIV/0!</v>
      </c>
      <c r="S104" s="536" t="e">
        <f t="shared" si="19"/>
        <v>#DIV/0!</v>
      </c>
      <c r="T104" s="537" t="e">
        <f t="shared" si="20"/>
        <v>#DIV/0!</v>
      </c>
      <c r="U104" s="538" t="e">
        <f>IF(INPUTS!$B$15="yes",T104,S104)</f>
        <v>#DIV/0!</v>
      </c>
      <c r="V104" s="536" t="e">
        <f t="shared" si="21"/>
        <v>#DIV/0!</v>
      </c>
      <c r="W104" s="537" t="e">
        <f t="shared" si="22"/>
        <v>#DIV/0!</v>
      </c>
      <c r="X104" s="538" t="e">
        <f>IF(INPUTS!$B$15="yes",W104,V104)</f>
        <v>#DIV/0!</v>
      </c>
      <c r="Y104" s="536" t="e">
        <f t="shared" si="23"/>
        <v>#DIV/0!</v>
      </c>
      <c r="Z104" s="537" t="e">
        <f t="shared" si="24"/>
        <v>#DIV/0!</v>
      </c>
      <c r="AA104" s="538" t="e">
        <f>IF(INPUTS!$B$15="yes",Z104,Y104)</f>
        <v>#DIV/0!</v>
      </c>
      <c r="AB104" s="536" t="e">
        <f t="shared" si="25"/>
        <v>#DIV/0!</v>
      </c>
      <c r="AC104" s="537" t="e">
        <f t="shared" si="26"/>
        <v>#DIV/0!</v>
      </c>
      <c r="AD104" s="538" t="e">
        <f>IF(INPUTS!$B$15="yes",AC104,AB104)</f>
        <v>#DIV/0!</v>
      </c>
      <c r="AE104" s="36" t="str">
        <f t="shared" si="27"/>
        <v>no</v>
      </c>
      <c r="AF104" s="36"/>
      <c r="AG104" s="389" t="e">
        <f>P104*('upper bound Kenaga'!$F$36/100)</f>
        <v>#DIV/0!</v>
      </c>
      <c r="AH104" s="36"/>
      <c r="AI104" s="389" t="e">
        <f>P104*('upper bound Kenaga'!$F$96/100)</f>
        <v>#DIV/0!</v>
      </c>
      <c r="AJ104" s="36"/>
      <c r="AK104" s="36"/>
      <c r="AL104" s="36"/>
      <c r="AM104" s="36"/>
      <c r="AN104" s="36"/>
      <c r="AO104" s="36"/>
    </row>
    <row r="105" spans="1:41">
      <c r="B105" s="328"/>
      <c r="C105" s="343">
        <f t="shared" ref="C105:C110" si="35">C96</f>
        <v>15</v>
      </c>
      <c r="D105" s="344">
        <f>($D$20*((INPUTS!$D$48/C105)^0.25))</f>
        <v>0</v>
      </c>
      <c r="E105" s="345">
        <f>($D$22*((INPUTS!$E$48/C105)^0.25))</f>
        <v>0</v>
      </c>
      <c r="F105" s="346"/>
      <c r="G105" s="147"/>
      <c r="J105" s="6">
        <f>COUNTIF(K$21:K105,"=yes")</f>
        <v>1</v>
      </c>
      <c r="K105" s="533" t="str">
        <f>IF(LOOKUP(VALUE(M105),INPUTS!$G$6:$G$35)=M105,"yes","no")</f>
        <v>no</v>
      </c>
      <c r="L105" s="533">
        <f>IF(K105="yes",(LOOKUP(J105,INPUTS!$E$6:$E$35,INPUTS!$F$6:$F$35)),0)</f>
        <v>0</v>
      </c>
      <c r="M105" s="135">
        <f t="shared" si="28"/>
        <v>84</v>
      </c>
      <c r="N105" s="135">
        <f t="shared" si="29"/>
        <v>1</v>
      </c>
      <c r="O105" s="135">
        <f t="shared" si="30"/>
        <v>0</v>
      </c>
      <c r="P105" s="536" t="e">
        <f t="shared" si="31"/>
        <v>#DIV/0!</v>
      </c>
      <c r="Q105" s="537" t="e">
        <f t="shared" si="18"/>
        <v>#DIV/0!</v>
      </c>
      <c r="R105" s="538" t="e">
        <f>IF(INPUTS!$B$15="yes",Q105,P105)</f>
        <v>#DIV/0!</v>
      </c>
      <c r="S105" s="536" t="e">
        <f t="shared" si="19"/>
        <v>#DIV/0!</v>
      </c>
      <c r="T105" s="537" t="e">
        <f t="shared" si="20"/>
        <v>#DIV/0!</v>
      </c>
      <c r="U105" s="538" t="e">
        <f>IF(INPUTS!$B$15="yes",T105,S105)</f>
        <v>#DIV/0!</v>
      </c>
      <c r="V105" s="536" t="e">
        <f t="shared" si="21"/>
        <v>#DIV/0!</v>
      </c>
      <c r="W105" s="537" t="e">
        <f t="shared" si="22"/>
        <v>#DIV/0!</v>
      </c>
      <c r="X105" s="538" t="e">
        <f>IF(INPUTS!$B$15="yes",W105,V105)</f>
        <v>#DIV/0!</v>
      </c>
      <c r="Y105" s="536" t="e">
        <f t="shared" si="23"/>
        <v>#DIV/0!</v>
      </c>
      <c r="Z105" s="537" t="e">
        <f t="shared" si="24"/>
        <v>#DIV/0!</v>
      </c>
      <c r="AA105" s="538" t="e">
        <f>IF(INPUTS!$B$15="yes",Z105,Y105)</f>
        <v>#DIV/0!</v>
      </c>
      <c r="AB105" s="536" t="e">
        <f t="shared" si="25"/>
        <v>#DIV/0!</v>
      </c>
      <c r="AC105" s="537" t="e">
        <f t="shared" si="26"/>
        <v>#DIV/0!</v>
      </c>
      <c r="AD105" s="538" t="e">
        <f>IF(INPUTS!$B$15="yes",AC105,AB105)</f>
        <v>#DIV/0!</v>
      </c>
      <c r="AE105" s="36" t="str">
        <f t="shared" si="27"/>
        <v>no</v>
      </c>
      <c r="AF105" s="36"/>
      <c r="AG105" s="389" t="e">
        <f>P105*('upper bound Kenaga'!$F$36/100)</f>
        <v>#DIV/0!</v>
      </c>
      <c r="AH105" s="36"/>
      <c r="AI105" s="389" t="e">
        <f>P105*('upper bound Kenaga'!$F$96/100)</f>
        <v>#DIV/0!</v>
      </c>
      <c r="AJ105" s="36"/>
      <c r="AK105" s="36"/>
      <c r="AL105" s="36"/>
      <c r="AM105" s="36"/>
      <c r="AN105" s="36"/>
      <c r="AO105" s="36"/>
    </row>
    <row r="106" spans="1:41">
      <c r="B106" s="328" t="s">
        <v>29</v>
      </c>
      <c r="C106" s="343">
        <f t="shared" si="35"/>
        <v>35</v>
      </c>
      <c r="D106" s="324">
        <f>($D$20*((INPUTS!D48/C106)^0.25))</f>
        <v>0</v>
      </c>
      <c r="E106" s="347">
        <f>($D$22*((INPUTS!$E$48/C106)^0.25))</f>
        <v>0</v>
      </c>
      <c r="F106" s="346"/>
      <c r="G106" s="147"/>
      <c r="J106" s="6">
        <f>COUNTIF(K$21:K106,"=yes")</f>
        <v>1</v>
      </c>
      <c r="K106" s="533" t="str">
        <f>IF(LOOKUP(VALUE(M106),INPUTS!$G$6:$G$35)=M106,"yes","no")</f>
        <v>no</v>
      </c>
      <c r="L106" s="533">
        <f>IF(K106="yes",(LOOKUP(J106,INPUTS!$E$6:$E$35,INPUTS!$F$6:$F$35)),0)</f>
        <v>0</v>
      </c>
      <c r="M106" s="135">
        <f t="shared" si="28"/>
        <v>85</v>
      </c>
      <c r="N106" s="135">
        <f t="shared" si="29"/>
        <v>1</v>
      </c>
      <c r="O106" s="135">
        <f t="shared" si="30"/>
        <v>0</v>
      </c>
      <c r="P106" s="536" t="e">
        <f t="shared" si="31"/>
        <v>#DIV/0!</v>
      </c>
      <c r="Q106" s="537" t="e">
        <f t="shared" si="18"/>
        <v>#DIV/0!</v>
      </c>
      <c r="R106" s="538" t="e">
        <f>IF(INPUTS!$B$15="yes",Q106,P106)</f>
        <v>#DIV/0!</v>
      </c>
      <c r="S106" s="536" t="e">
        <f t="shared" si="19"/>
        <v>#DIV/0!</v>
      </c>
      <c r="T106" s="537" t="e">
        <f t="shared" si="20"/>
        <v>#DIV/0!</v>
      </c>
      <c r="U106" s="538" t="e">
        <f>IF(INPUTS!$B$15="yes",T106,S106)</f>
        <v>#DIV/0!</v>
      </c>
      <c r="V106" s="536" t="e">
        <f t="shared" si="21"/>
        <v>#DIV/0!</v>
      </c>
      <c r="W106" s="537" t="e">
        <f t="shared" si="22"/>
        <v>#DIV/0!</v>
      </c>
      <c r="X106" s="538" t="e">
        <f>IF(INPUTS!$B$15="yes",W106,V106)</f>
        <v>#DIV/0!</v>
      </c>
      <c r="Y106" s="536" t="e">
        <f t="shared" si="23"/>
        <v>#DIV/0!</v>
      </c>
      <c r="Z106" s="537" t="e">
        <f t="shared" si="24"/>
        <v>#DIV/0!</v>
      </c>
      <c r="AA106" s="538" t="e">
        <f>IF(INPUTS!$B$15="yes",Z106,Y106)</f>
        <v>#DIV/0!</v>
      </c>
      <c r="AB106" s="536" t="e">
        <f t="shared" si="25"/>
        <v>#DIV/0!</v>
      </c>
      <c r="AC106" s="537" t="e">
        <f t="shared" si="26"/>
        <v>#DIV/0!</v>
      </c>
      <c r="AD106" s="538" t="e">
        <f>IF(INPUTS!$B$15="yes",AC106,AB106)</f>
        <v>#DIV/0!</v>
      </c>
      <c r="AE106" s="36" t="str">
        <f t="shared" si="27"/>
        <v>no</v>
      </c>
      <c r="AF106" s="36"/>
      <c r="AG106" s="389" t="e">
        <f>P106*('upper bound Kenaga'!$F$36/100)</f>
        <v>#DIV/0!</v>
      </c>
      <c r="AH106" s="36"/>
      <c r="AI106" s="389" t="e">
        <f>P106*('upper bound Kenaga'!$F$96/100)</f>
        <v>#DIV/0!</v>
      </c>
      <c r="AJ106" s="36"/>
      <c r="AK106" s="36"/>
      <c r="AL106" s="36"/>
      <c r="AM106" s="36"/>
      <c r="AN106" s="36"/>
      <c r="AO106" s="36"/>
    </row>
    <row r="107" spans="1:41">
      <c r="B107" s="332" t="s">
        <v>30</v>
      </c>
      <c r="C107" s="342">
        <f t="shared" si="35"/>
        <v>1000</v>
      </c>
      <c r="D107" s="348">
        <f>($D$20*((INPUTS!D48/C107)^0.25))</f>
        <v>0</v>
      </c>
      <c r="E107" s="349">
        <f>($D$22*((INPUTS!$E$48/C107)^0.25))</f>
        <v>0</v>
      </c>
      <c r="F107" s="346"/>
      <c r="G107" s="147"/>
      <c r="J107" s="6">
        <f>COUNTIF(K$21:K107,"=yes")</f>
        <v>1</v>
      </c>
      <c r="K107" s="533" t="str">
        <f>IF(LOOKUP(VALUE(M107),INPUTS!$G$6:$G$35)=M107,"yes","no")</f>
        <v>no</v>
      </c>
      <c r="L107" s="533">
        <f>IF(K107="yes",(LOOKUP(J107,INPUTS!$E$6:$E$35,INPUTS!$F$6:$F$35)),0)</f>
        <v>0</v>
      </c>
      <c r="M107" s="135">
        <f t="shared" si="28"/>
        <v>86</v>
      </c>
      <c r="N107" s="135">
        <f t="shared" si="29"/>
        <v>1</v>
      </c>
      <c r="O107" s="135">
        <f t="shared" si="30"/>
        <v>0</v>
      </c>
      <c r="P107" s="536" t="e">
        <f t="shared" si="31"/>
        <v>#DIV/0!</v>
      </c>
      <c r="Q107" s="537" t="e">
        <f t="shared" si="18"/>
        <v>#DIV/0!</v>
      </c>
      <c r="R107" s="538" t="e">
        <f>IF(INPUTS!$B$15="yes",Q107,P107)</f>
        <v>#DIV/0!</v>
      </c>
      <c r="S107" s="536" t="e">
        <f t="shared" si="19"/>
        <v>#DIV/0!</v>
      </c>
      <c r="T107" s="537" t="e">
        <f t="shared" si="20"/>
        <v>#DIV/0!</v>
      </c>
      <c r="U107" s="538" t="e">
        <f>IF(INPUTS!$B$15="yes",T107,S107)</f>
        <v>#DIV/0!</v>
      </c>
      <c r="V107" s="536" t="e">
        <f t="shared" si="21"/>
        <v>#DIV/0!</v>
      </c>
      <c r="W107" s="537" t="e">
        <f t="shared" si="22"/>
        <v>#DIV/0!</v>
      </c>
      <c r="X107" s="538" t="e">
        <f>IF(INPUTS!$B$15="yes",W107,V107)</f>
        <v>#DIV/0!</v>
      </c>
      <c r="Y107" s="536" t="e">
        <f t="shared" si="23"/>
        <v>#DIV/0!</v>
      </c>
      <c r="Z107" s="537" t="e">
        <f t="shared" si="24"/>
        <v>#DIV/0!</v>
      </c>
      <c r="AA107" s="538" t="e">
        <f>IF(INPUTS!$B$15="yes",Z107,Y107)</f>
        <v>#DIV/0!</v>
      </c>
      <c r="AB107" s="536" t="e">
        <f t="shared" si="25"/>
        <v>#DIV/0!</v>
      </c>
      <c r="AC107" s="537" t="e">
        <f t="shared" si="26"/>
        <v>#DIV/0!</v>
      </c>
      <c r="AD107" s="538" t="e">
        <f>IF(INPUTS!$B$15="yes",AC107,AB107)</f>
        <v>#DIV/0!</v>
      </c>
      <c r="AE107" s="36" t="str">
        <f t="shared" si="27"/>
        <v>no</v>
      </c>
      <c r="AF107" s="36"/>
      <c r="AG107" s="389" t="e">
        <f>P107*('upper bound Kenaga'!$F$36/100)</f>
        <v>#DIV/0!</v>
      </c>
      <c r="AH107" s="36"/>
      <c r="AI107" s="389" t="e">
        <f>P107*('upper bound Kenaga'!$F$96/100)</f>
        <v>#DIV/0!</v>
      </c>
      <c r="AJ107" s="36"/>
      <c r="AK107" s="36"/>
      <c r="AL107" s="36"/>
      <c r="AM107" s="36"/>
      <c r="AN107" s="36"/>
      <c r="AO107" s="36"/>
    </row>
    <row r="108" spans="1:41">
      <c r="B108" s="328"/>
      <c r="C108" s="343">
        <f t="shared" si="35"/>
        <v>15</v>
      </c>
      <c r="D108" s="324">
        <f>($D$20*((INPUTS!D48/C108)^0.25))</f>
        <v>0</v>
      </c>
      <c r="E108" s="347">
        <f>($D$22*((INPUTS!$E$48/C108)^0.25))</f>
        <v>0</v>
      </c>
      <c r="F108" s="346"/>
      <c r="G108" s="147"/>
      <c r="H108" s="7"/>
      <c r="J108" s="6">
        <f>COUNTIF(K$21:K108,"=yes")</f>
        <v>1</v>
      </c>
      <c r="K108" s="533" t="str">
        <f>IF(LOOKUP(VALUE(M108),INPUTS!$G$6:$G$35)=M108,"yes","no")</f>
        <v>no</v>
      </c>
      <c r="L108" s="533">
        <f>IF(K108="yes",(LOOKUP(J108,INPUTS!$E$6:$E$35,INPUTS!$F$6:$F$35)),0)</f>
        <v>0</v>
      </c>
      <c r="M108" s="135">
        <f t="shared" si="28"/>
        <v>87</v>
      </c>
      <c r="N108" s="135">
        <f t="shared" si="29"/>
        <v>1</v>
      </c>
      <c r="O108" s="135">
        <f t="shared" si="30"/>
        <v>0</v>
      </c>
      <c r="P108" s="536" t="e">
        <f t="shared" si="31"/>
        <v>#DIV/0!</v>
      </c>
      <c r="Q108" s="537" t="e">
        <f t="shared" si="18"/>
        <v>#DIV/0!</v>
      </c>
      <c r="R108" s="538" t="e">
        <f>IF(INPUTS!$B$15="yes",Q108,P108)</f>
        <v>#DIV/0!</v>
      </c>
      <c r="S108" s="536" t="e">
        <f t="shared" si="19"/>
        <v>#DIV/0!</v>
      </c>
      <c r="T108" s="537" t="e">
        <f t="shared" si="20"/>
        <v>#DIV/0!</v>
      </c>
      <c r="U108" s="538" t="e">
        <f>IF(INPUTS!$B$15="yes",T108,S108)</f>
        <v>#DIV/0!</v>
      </c>
      <c r="V108" s="536" t="e">
        <f t="shared" si="21"/>
        <v>#DIV/0!</v>
      </c>
      <c r="W108" s="537" t="e">
        <f t="shared" si="22"/>
        <v>#DIV/0!</v>
      </c>
      <c r="X108" s="538" t="e">
        <f>IF(INPUTS!$B$15="yes",W108,V108)</f>
        <v>#DIV/0!</v>
      </c>
      <c r="Y108" s="536" t="e">
        <f t="shared" si="23"/>
        <v>#DIV/0!</v>
      </c>
      <c r="Z108" s="537" t="e">
        <f t="shared" si="24"/>
        <v>#DIV/0!</v>
      </c>
      <c r="AA108" s="538" t="e">
        <f>IF(INPUTS!$B$15="yes",Z108,Y108)</f>
        <v>#DIV/0!</v>
      </c>
      <c r="AB108" s="536" t="e">
        <f t="shared" si="25"/>
        <v>#DIV/0!</v>
      </c>
      <c r="AC108" s="537" t="e">
        <f t="shared" si="26"/>
        <v>#DIV/0!</v>
      </c>
      <c r="AD108" s="538" t="e">
        <f>IF(INPUTS!$B$15="yes",AC108,AB108)</f>
        <v>#DIV/0!</v>
      </c>
      <c r="AE108" s="36" t="str">
        <f t="shared" si="27"/>
        <v>no</v>
      </c>
      <c r="AF108" s="36"/>
      <c r="AG108" s="389" t="e">
        <f>P108*('upper bound Kenaga'!$F$36/100)</f>
        <v>#DIV/0!</v>
      </c>
      <c r="AH108" s="36"/>
      <c r="AI108" s="389" t="e">
        <f>P108*('upper bound Kenaga'!$F$96/100)</f>
        <v>#DIV/0!</v>
      </c>
      <c r="AJ108" s="36"/>
      <c r="AK108" s="36"/>
      <c r="AL108" s="36"/>
      <c r="AM108" s="36"/>
      <c r="AN108" s="36"/>
      <c r="AO108" s="36"/>
    </row>
    <row r="109" spans="1:41">
      <c r="B109" s="751" t="s">
        <v>40</v>
      </c>
      <c r="C109" s="343">
        <f t="shared" si="35"/>
        <v>35</v>
      </c>
      <c r="D109" s="324">
        <f>($D$20*((INPUTS!D48/C109)^0.25))</f>
        <v>0</v>
      </c>
      <c r="E109" s="347">
        <f>($D$22*((INPUTS!$E$48/C109)^0.25))</f>
        <v>0</v>
      </c>
      <c r="F109" s="346"/>
      <c r="G109" s="147"/>
      <c r="H109" s="7"/>
      <c r="J109" s="6">
        <f>COUNTIF(K$21:K109,"=yes")</f>
        <v>1</v>
      </c>
      <c r="K109" s="533" t="str">
        <f>IF(LOOKUP(VALUE(M109),INPUTS!$G$6:$G$35)=M109,"yes","no")</f>
        <v>no</v>
      </c>
      <c r="L109" s="533">
        <f>IF(K109="yes",(LOOKUP(J109,INPUTS!$E$6:$E$35,INPUTS!$F$6:$F$35)),0)</f>
        <v>0</v>
      </c>
      <c r="M109" s="135">
        <f t="shared" si="28"/>
        <v>88</v>
      </c>
      <c r="N109" s="135">
        <f t="shared" si="29"/>
        <v>1</v>
      </c>
      <c r="O109" s="135">
        <f t="shared" si="30"/>
        <v>0</v>
      </c>
      <c r="P109" s="536" t="e">
        <f t="shared" si="31"/>
        <v>#DIV/0!</v>
      </c>
      <c r="Q109" s="537" t="e">
        <f t="shared" si="18"/>
        <v>#DIV/0!</v>
      </c>
      <c r="R109" s="538" t="e">
        <f>IF(INPUTS!$B$15="yes",Q109,P109)</f>
        <v>#DIV/0!</v>
      </c>
      <c r="S109" s="536" t="e">
        <f t="shared" si="19"/>
        <v>#DIV/0!</v>
      </c>
      <c r="T109" s="537" t="e">
        <f t="shared" si="20"/>
        <v>#DIV/0!</v>
      </c>
      <c r="U109" s="538" t="e">
        <f>IF(INPUTS!$B$15="yes",T109,S109)</f>
        <v>#DIV/0!</v>
      </c>
      <c r="V109" s="536" t="e">
        <f t="shared" si="21"/>
        <v>#DIV/0!</v>
      </c>
      <c r="W109" s="537" t="e">
        <f t="shared" si="22"/>
        <v>#DIV/0!</v>
      </c>
      <c r="X109" s="538" t="e">
        <f>IF(INPUTS!$B$15="yes",W109,V109)</f>
        <v>#DIV/0!</v>
      </c>
      <c r="Y109" s="536" t="e">
        <f t="shared" si="23"/>
        <v>#DIV/0!</v>
      </c>
      <c r="Z109" s="537" t="e">
        <f t="shared" si="24"/>
        <v>#DIV/0!</v>
      </c>
      <c r="AA109" s="538" t="e">
        <f>IF(INPUTS!$B$15="yes",Z109,Y109)</f>
        <v>#DIV/0!</v>
      </c>
      <c r="AB109" s="536" t="e">
        <f t="shared" si="25"/>
        <v>#DIV/0!</v>
      </c>
      <c r="AC109" s="537" t="e">
        <f t="shared" si="26"/>
        <v>#DIV/0!</v>
      </c>
      <c r="AD109" s="538" t="e">
        <f>IF(INPUTS!$B$15="yes",AC109,AB109)</f>
        <v>#DIV/0!</v>
      </c>
      <c r="AE109" s="36" t="str">
        <f t="shared" si="27"/>
        <v>no</v>
      </c>
      <c r="AF109" s="36"/>
      <c r="AG109" s="389" t="e">
        <f>P109*('upper bound Kenaga'!$F$36/100)</f>
        <v>#DIV/0!</v>
      </c>
      <c r="AH109" s="36"/>
      <c r="AI109" s="389" t="e">
        <f>P109*('upper bound Kenaga'!$F$96/100)</f>
        <v>#DIV/0!</v>
      </c>
      <c r="AJ109" s="36"/>
      <c r="AK109" s="36"/>
      <c r="AL109" s="36"/>
      <c r="AM109" s="36"/>
      <c r="AN109" s="36"/>
      <c r="AO109" s="36"/>
    </row>
    <row r="110" spans="1:41" ht="13.5" thickBot="1">
      <c r="B110" s="336"/>
      <c r="C110" s="350">
        <f t="shared" si="35"/>
        <v>1000</v>
      </c>
      <c r="D110" s="325">
        <f>($D$20*((INPUTS!D48/C110)^0.25))</f>
        <v>0</v>
      </c>
      <c r="E110" s="351">
        <f>($D$22*((INPUTS!$E$48/C110)^0.25))</f>
        <v>0</v>
      </c>
      <c r="F110" s="346"/>
      <c r="G110" s="147"/>
      <c r="H110" s="7"/>
      <c r="J110" s="6">
        <f>COUNTIF(K$21:K110,"=yes")</f>
        <v>1</v>
      </c>
      <c r="K110" s="533" t="str">
        <f>IF(LOOKUP(VALUE(M110),INPUTS!$G$6:$G$35)=M110,"yes","no")</f>
        <v>no</v>
      </c>
      <c r="L110" s="533">
        <f>IF(K110="yes",(LOOKUP(J110,INPUTS!$E$6:$E$35,INPUTS!$F$6:$F$35)),0)</f>
        <v>0</v>
      </c>
      <c r="M110" s="135">
        <f t="shared" si="28"/>
        <v>89</v>
      </c>
      <c r="N110" s="135">
        <f t="shared" si="29"/>
        <v>1</v>
      </c>
      <c r="O110" s="135">
        <f t="shared" si="30"/>
        <v>0</v>
      </c>
      <c r="P110" s="536" t="e">
        <f t="shared" si="31"/>
        <v>#DIV/0!</v>
      </c>
      <c r="Q110" s="537" t="e">
        <f t="shared" si="18"/>
        <v>#DIV/0!</v>
      </c>
      <c r="R110" s="538" t="e">
        <f>IF(INPUTS!$B$15="yes",Q110,P110)</f>
        <v>#DIV/0!</v>
      </c>
      <c r="S110" s="536" t="e">
        <f t="shared" si="19"/>
        <v>#DIV/0!</v>
      </c>
      <c r="T110" s="537" t="e">
        <f t="shared" si="20"/>
        <v>#DIV/0!</v>
      </c>
      <c r="U110" s="538" t="e">
        <f>IF(INPUTS!$B$15="yes",T110,S110)</f>
        <v>#DIV/0!</v>
      </c>
      <c r="V110" s="536" t="e">
        <f t="shared" si="21"/>
        <v>#DIV/0!</v>
      </c>
      <c r="W110" s="537" t="e">
        <f t="shared" si="22"/>
        <v>#DIV/0!</v>
      </c>
      <c r="X110" s="538" t="e">
        <f>IF(INPUTS!$B$15="yes",W110,V110)</f>
        <v>#DIV/0!</v>
      </c>
      <c r="Y110" s="536" t="e">
        <f t="shared" si="23"/>
        <v>#DIV/0!</v>
      </c>
      <c r="Z110" s="537" t="e">
        <f t="shared" si="24"/>
        <v>#DIV/0!</v>
      </c>
      <c r="AA110" s="538" t="e">
        <f>IF(INPUTS!$B$15="yes",Z110,Y110)</f>
        <v>#DIV/0!</v>
      </c>
      <c r="AB110" s="536" t="e">
        <f t="shared" si="25"/>
        <v>#DIV/0!</v>
      </c>
      <c r="AC110" s="537" t="e">
        <f t="shared" si="26"/>
        <v>#DIV/0!</v>
      </c>
      <c r="AD110" s="538" t="e">
        <f>IF(INPUTS!$B$15="yes",AC110,AB110)</f>
        <v>#DIV/0!</v>
      </c>
      <c r="AE110" s="36" t="str">
        <f t="shared" si="27"/>
        <v>no</v>
      </c>
      <c r="AF110" s="36"/>
      <c r="AG110" s="389" t="e">
        <f>P110*('upper bound Kenaga'!$F$36/100)</f>
        <v>#DIV/0!</v>
      </c>
      <c r="AH110" s="36"/>
      <c r="AI110" s="389" t="e">
        <f>P110*('upper bound Kenaga'!$F$96/100)</f>
        <v>#DIV/0!</v>
      </c>
      <c r="AJ110" s="36"/>
      <c r="AK110" s="36"/>
      <c r="AL110" s="36"/>
      <c r="AM110" s="36"/>
      <c r="AN110" s="36"/>
      <c r="AO110" s="36"/>
    </row>
    <row r="111" spans="1:41" ht="12.75" customHeight="1" thickBot="1">
      <c r="B111" s="36"/>
      <c r="C111" s="36"/>
      <c r="D111" s="134"/>
      <c r="E111" s="36"/>
      <c r="F111" s="36"/>
      <c r="G111" s="36"/>
      <c r="H111" s="8"/>
      <c r="J111" s="6">
        <f>COUNTIF(K$21:K111,"=yes")</f>
        <v>1</v>
      </c>
      <c r="K111" s="533" t="str">
        <f>IF(LOOKUP(VALUE(M111),INPUTS!$G$6:$G$35)=M111,"yes","no")</f>
        <v>no</v>
      </c>
      <c r="L111" s="533">
        <f>IF(K111="yes",(LOOKUP(J111,INPUTS!$E$6:$E$35,INPUTS!$F$6:$F$35)),0)</f>
        <v>0</v>
      </c>
      <c r="M111" s="135">
        <f t="shared" si="28"/>
        <v>90</v>
      </c>
      <c r="N111" s="135">
        <f t="shared" si="29"/>
        <v>1</v>
      </c>
      <c r="O111" s="135">
        <f t="shared" si="30"/>
        <v>0</v>
      </c>
      <c r="P111" s="536" t="e">
        <f t="shared" si="31"/>
        <v>#DIV/0!</v>
      </c>
      <c r="Q111" s="537" t="e">
        <f t="shared" si="18"/>
        <v>#DIV/0!</v>
      </c>
      <c r="R111" s="538" t="e">
        <f>IF(INPUTS!$B$15="yes",Q111,P111)</f>
        <v>#DIV/0!</v>
      </c>
      <c r="S111" s="536" t="e">
        <f t="shared" si="19"/>
        <v>#DIV/0!</v>
      </c>
      <c r="T111" s="537" t="e">
        <f t="shared" si="20"/>
        <v>#DIV/0!</v>
      </c>
      <c r="U111" s="538" t="e">
        <f>IF(INPUTS!$B$15="yes",T111,S111)</f>
        <v>#DIV/0!</v>
      </c>
      <c r="V111" s="536" t="e">
        <f t="shared" si="21"/>
        <v>#DIV/0!</v>
      </c>
      <c r="W111" s="537" t="e">
        <f t="shared" si="22"/>
        <v>#DIV/0!</v>
      </c>
      <c r="X111" s="538" t="e">
        <f>IF(INPUTS!$B$15="yes",W111,V111)</f>
        <v>#DIV/0!</v>
      </c>
      <c r="Y111" s="536" t="e">
        <f t="shared" si="23"/>
        <v>#DIV/0!</v>
      </c>
      <c r="Z111" s="537" t="e">
        <f t="shared" si="24"/>
        <v>#DIV/0!</v>
      </c>
      <c r="AA111" s="538" t="e">
        <f>IF(INPUTS!$B$15="yes",Z111,Y111)</f>
        <v>#DIV/0!</v>
      </c>
      <c r="AB111" s="536" t="e">
        <f t="shared" si="25"/>
        <v>#DIV/0!</v>
      </c>
      <c r="AC111" s="537" t="e">
        <f t="shared" si="26"/>
        <v>#DIV/0!</v>
      </c>
      <c r="AD111" s="538" t="e">
        <f>IF(INPUTS!$B$15="yes",AC111,AB111)</f>
        <v>#DIV/0!</v>
      </c>
      <c r="AE111" s="36" t="str">
        <f t="shared" si="27"/>
        <v>no</v>
      </c>
      <c r="AF111" s="36"/>
      <c r="AG111" s="389" t="e">
        <f>P111*('upper bound Kenaga'!$F$36/100)</f>
        <v>#DIV/0!</v>
      </c>
      <c r="AH111" s="36"/>
      <c r="AI111" s="389" t="e">
        <f>P111*('upper bound Kenaga'!$F$96/100)</f>
        <v>#DIV/0!</v>
      </c>
      <c r="AJ111" s="36"/>
      <c r="AK111" s="36"/>
      <c r="AL111" s="36"/>
      <c r="AM111" s="36"/>
      <c r="AN111" s="36"/>
      <c r="AO111" s="36"/>
    </row>
    <row r="112" spans="1:41">
      <c r="A112" s="887" t="s">
        <v>279</v>
      </c>
      <c r="B112" s="902" t="s">
        <v>39</v>
      </c>
      <c r="C112" s="817"/>
      <c r="D112" s="903"/>
      <c r="E112" s="600"/>
      <c r="F112" s="600"/>
      <c r="G112" s="600"/>
      <c r="H112" s="8"/>
      <c r="J112" s="6">
        <f>COUNTIF(K$21:K112,"=yes")</f>
        <v>1</v>
      </c>
      <c r="K112" s="533" t="str">
        <f>IF(LOOKUP(VALUE(M112),INPUTS!$G$6:$G$35)=M112,"yes","no")</f>
        <v>no</v>
      </c>
      <c r="L112" s="533">
        <f>IF(K112="yes",(LOOKUP(J112,INPUTS!$E$6:$E$35,INPUTS!$F$6:$F$35)),0)</f>
        <v>0</v>
      </c>
      <c r="M112" s="135">
        <f t="shared" si="28"/>
        <v>91</v>
      </c>
      <c r="N112" s="135">
        <f t="shared" si="29"/>
        <v>1</v>
      </c>
      <c r="O112" s="135">
        <f t="shared" si="30"/>
        <v>0</v>
      </c>
      <c r="P112" s="536" t="e">
        <f t="shared" si="31"/>
        <v>#DIV/0!</v>
      </c>
      <c r="Q112" s="537" t="e">
        <f t="shared" si="18"/>
        <v>#DIV/0!</v>
      </c>
      <c r="R112" s="538" t="e">
        <f>IF(INPUTS!$B$15="yes",Q112,P112)</f>
        <v>#DIV/0!</v>
      </c>
      <c r="S112" s="536" t="e">
        <f t="shared" si="19"/>
        <v>#DIV/0!</v>
      </c>
      <c r="T112" s="537" t="e">
        <f t="shared" si="20"/>
        <v>#DIV/0!</v>
      </c>
      <c r="U112" s="538" t="e">
        <f>IF(INPUTS!$B$15="yes",T112,S112)</f>
        <v>#DIV/0!</v>
      </c>
      <c r="V112" s="536" t="e">
        <f t="shared" si="21"/>
        <v>#DIV/0!</v>
      </c>
      <c r="W112" s="537" t="e">
        <f t="shared" si="22"/>
        <v>#DIV/0!</v>
      </c>
      <c r="X112" s="538" t="e">
        <f>IF(INPUTS!$B$15="yes",W112,V112)</f>
        <v>#DIV/0!</v>
      </c>
      <c r="Y112" s="536" t="e">
        <f t="shared" si="23"/>
        <v>#DIV/0!</v>
      </c>
      <c r="Z112" s="537" t="e">
        <f t="shared" si="24"/>
        <v>#DIV/0!</v>
      </c>
      <c r="AA112" s="538" t="e">
        <f>IF(INPUTS!$B$15="yes",Z112,Y112)</f>
        <v>#DIV/0!</v>
      </c>
      <c r="AB112" s="536" t="e">
        <f t="shared" si="25"/>
        <v>#DIV/0!</v>
      </c>
      <c r="AC112" s="537" t="e">
        <f t="shared" si="26"/>
        <v>#DIV/0!</v>
      </c>
      <c r="AD112" s="538" t="e">
        <f>IF(INPUTS!$B$15="yes",AC112,AB112)</f>
        <v>#DIV/0!</v>
      </c>
      <c r="AE112" s="36" t="str">
        <f t="shared" si="27"/>
        <v>no</v>
      </c>
      <c r="AF112" s="36"/>
      <c r="AG112" s="389" t="e">
        <f>P112*('upper bound Kenaga'!$F$36/100)</f>
        <v>#DIV/0!</v>
      </c>
      <c r="AH112" s="36"/>
      <c r="AI112" s="389" t="e">
        <f>P112*('upper bound Kenaga'!$F$96/100)</f>
        <v>#DIV/0!</v>
      </c>
      <c r="AJ112" s="36"/>
      <c r="AK112" s="36"/>
      <c r="AL112" s="36"/>
      <c r="AM112" s="36"/>
      <c r="AN112" s="36"/>
      <c r="AO112" s="36"/>
    </row>
    <row r="113" spans="1:41">
      <c r="A113" s="888"/>
      <c r="B113" s="890" t="s">
        <v>419</v>
      </c>
      <c r="C113" s="891"/>
      <c r="D113" s="892"/>
      <c r="E113" s="885"/>
      <c r="F113" s="886"/>
      <c r="G113" s="886"/>
      <c r="H113" s="8"/>
      <c r="J113" s="6">
        <f>COUNTIF(K$21:K113,"=yes")</f>
        <v>1</v>
      </c>
      <c r="K113" s="533" t="str">
        <f>IF(LOOKUP(VALUE(M113),INPUTS!$G$6:$G$35)=M113,"yes","no")</f>
        <v>no</v>
      </c>
      <c r="L113" s="533">
        <f>IF(K113="yes",(LOOKUP(J113,INPUTS!$E$6:$E$35,INPUTS!$F$6:$F$35)),0)</f>
        <v>0</v>
      </c>
      <c r="M113" s="135">
        <f t="shared" si="28"/>
        <v>92</v>
      </c>
      <c r="N113" s="135">
        <f t="shared" si="29"/>
        <v>1</v>
      </c>
      <c r="O113" s="135">
        <f t="shared" si="30"/>
        <v>0</v>
      </c>
      <c r="P113" s="536" t="e">
        <f t="shared" si="31"/>
        <v>#DIV/0!</v>
      </c>
      <c r="Q113" s="537" t="e">
        <f t="shared" si="18"/>
        <v>#DIV/0!</v>
      </c>
      <c r="R113" s="538" t="e">
        <f>IF(INPUTS!$B$15="yes",Q113,P113)</f>
        <v>#DIV/0!</v>
      </c>
      <c r="S113" s="536" t="e">
        <f t="shared" si="19"/>
        <v>#DIV/0!</v>
      </c>
      <c r="T113" s="537" t="e">
        <f t="shared" si="20"/>
        <v>#DIV/0!</v>
      </c>
      <c r="U113" s="538" t="e">
        <f>IF(INPUTS!$B$15="yes",T113,S113)</f>
        <v>#DIV/0!</v>
      </c>
      <c r="V113" s="536" t="e">
        <f t="shared" si="21"/>
        <v>#DIV/0!</v>
      </c>
      <c r="W113" s="537" t="e">
        <f t="shared" si="22"/>
        <v>#DIV/0!</v>
      </c>
      <c r="X113" s="538" t="e">
        <f>IF(INPUTS!$B$15="yes",W113,V113)</f>
        <v>#DIV/0!</v>
      </c>
      <c r="Y113" s="536" t="e">
        <f t="shared" si="23"/>
        <v>#DIV/0!</v>
      </c>
      <c r="Z113" s="537" t="e">
        <f t="shared" si="24"/>
        <v>#DIV/0!</v>
      </c>
      <c r="AA113" s="538" t="e">
        <f>IF(INPUTS!$B$15="yes",Z113,Y113)</f>
        <v>#DIV/0!</v>
      </c>
      <c r="AB113" s="536" t="e">
        <f t="shared" si="25"/>
        <v>#DIV/0!</v>
      </c>
      <c r="AC113" s="537" t="e">
        <f t="shared" si="26"/>
        <v>#DIV/0!</v>
      </c>
      <c r="AD113" s="538" t="e">
        <f>IF(INPUTS!$B$15="yes",AC113,AB113)</f>
        <v>#DIV/0!</v>
      </c>
      <c r="AE113" s="36" t="str">
        <f t="shared" si="27"/>
        <v>no</v>
      </c>
      <c r="AF113" s="36"/>
      <c r="AG113" s="389" t="e">
        <f>P113*('upper bound Kenaga'!$F$36/100)</f>
        <v>#DIV/0!</v>
      </c>
      <c r="AH113" s="36"/>
      <c r="AI113" s="389" t="e">
        <f>P113*('upper bound Kenaga'!$F$96/100)</f>
        <v>#DIV/0!</v>
      </c>
      <c r="AJ113" s="36"/>
      <c r="AK113" s="36"/>
      <c r="AL113" s="36"/>
      <c r="AM113" s="36"/>
      <c r="AN113" s="36"/>
      <c r="AO113" s="36"/>
    </row>
    <row r="114" spans="1:41" ht="22.5" customHeight="1" thickBot="1">
      <c r="A114" s="889"/>
      <c r="B114" s="457">
        <f>C96</f>
        <v>15</v>
      </c>
      <c r="C114" s="458">
        <f>C97</f>
        <v>35</v>
      </c>
      <c r="D114" s="459">
        <f>C98</f>
        <v>1000</v>
      </c>
      <c r="E114" s="601"/>
      <c r="F114" s="601"/>
      <c r="G114" s="601"/>
      <c r="H114" s="8"/>
      <c r="J114" s="6">
        <f>COUNTIF(K$21:K114,"=yes")</f>
        <v>1</v>
      </c>
      <c r="K114" s="533" t="str">
        <f>IF(LOOKUP(VALUE(M114),INPUTS!$G$6:$G$35)=M114,"yes","no")</f>
        <v>no</v>
      </c>
      <c r="L114" s="533">
        <f>IF(K114="yes",(LOOKUP(J114,INPUTS!$E$6:$E$35,INPUTS!$F$6:$F$35)),0)</f>
        <v>0</v>
      </c>
      <c r="M114" s="135">
        <f t="shared" si="28"/>
        <v>93</v>
      </c>
      <c r="N114" s="135">
        <f t="shared" si="29"/>
        <v>1</v>
      </c>
      <c r="O114" s="135">
        <f t="shared" si="30"/>
        <v>0</v>
      </c>
      <c r="P114" s="536" t="e">
        <f t="shared" si="31"/>
        <v>#DIV/0!</v>
      </c>
      <c r="Q114" s="537" t="e">
        <f t="shared" si="18"/>
        <v>#DIV/0!</v>
      </c>
      <c r="R114" s="538" t="e">
        <f>IF(INPUTS!$B$15="yes",Q114,P114)</f>
        <v>#DIV/0!</v>
      </c>
      <c r="S114" s="536" t="e">
        <f t="shared" si="19"/>
        <v>#DIV/0!</v>
      </c>
      <c r="T114" s="537" t="e">
        <f t="shared" si="20"/>
        <v>#DIV/0!</v>
      </c>
      <c r="U114" s="538" t="e">
        <f>IF(INPUTS!$B$15="yes",T114,S114)</f>
        <v>#DIV/0!</v>
      </c>
      <c r="V114" s="536" t="e">
        <f t="shared" si="21"/>
        <v>#DIV/0!</v>
      </c>
      <c r="W114" s="537" t="e">
        <f t="shared" si="22"/>
        <v>#DIV/0!</v>
      </c>
      <c r="X114" s="538" t="e">
        <f>IF(INPUTS!$B$15="yes",W114,V114)</f>
        <v>#DIV/0!</v>
      </c>
      <c r="Y114" s="536" t="e">
        <f t="shared" si="23"/>
        <v>#DIV/0!</v>
      </c>
      <c r="Z114" s="537" t="e">
        <f t="shared" si="24"/>
        <v>#DIV/0!</v>
      </c>
      <c r="AA114" s="538" t="e">
        <f>IF(INPUTS!$B$15="yes",Z114,Y114)</f>
        <v>#DIV/0!</v>
      </c>
      <c r="AB114" s="536" t="e">
        <f t="shared" si="25"/>
        <v>#DIV/0!</v>
      </c>
      <c r="AC114" s="537" t="e">
        <f t="shared" si="26"/>
        <v>#DIV/0!</v>
      </c>
      <c r="AD114" s="538" t="e">
        <f>IF(INPUTS!$B$15="yes",AC114,AB114)</f>
        <v>#DIV/0!</v>
      </c>
      <c r="AE114" s="36" t="str">
        <f t="shared" si="27"/>
        <v>no</v>
      </c>
      <c r="AF114" s="36"/>
      <c r="AG114" s="389" t="e">
        <f>P114*('upper bound Kenaga'!$F$36/100)</f>
        <v>#DIV/0!</v>
      </c>
      <c r="AH114" s="36"/>
      <c r="AI114" s="389" t="e">
        <f>P114*('upper bound Kenaga'!$F$96/100)</f>
        <v>#DIV/0!</v>
      </c>
      <c r="AJ114" s="36"/>
      <c r="AK114" s="36"/>
      <c r="AL114" s="36"/>
      <c r="AM114" s="36"/>
      <c r="AN114" s="36"/>
      <c r="AO114" s="36"/>
    </row>
    <row r="115" spans="1:41" ht="13.5" thickTop="1">
      <c r="A115" s="605" t="s">
        <v>13</v>
      </c>
      <c r="B115" s="468" t="e">
        <f>B27*(G$96/(C$96/1000))</f>
        <v>#DIV/0!</v>
      </c>
      <c r="C115" s="468" t="e">
        <f>B27*($G$97/(C$97/1000))</f>
        <v>#DIV/0!</v>
      </c>
      <c r="D115" s="469" t="e">
        <f>B27*(G$98/(C$98/1000))</f>
        <v>#DIV/0!</v>
      </c>
      <c r="E115" s="602"/>
      <c r="F115" s="602"/>
      <c r="G115" s="602"/>
      <c r="H115" s="9"/>
      <c r="J115" s="6">
        <f>COUNTIF(K$21:K115,"=yes")</f>
        <v>1</v>
      </c>
      <c r="K115" s="533" t="str">
        <f>IF(LOOKUP(VALUE(M115),INPUTS!$G$6:$G$35)=M115,"yes","no")</f>
        <v>no</v>
      </c>
      <c r="L115" s="533">
        <f>IF(K115="yes",(LOOKUP(J115,INPUTS!$E$6:$E$35,INPUTS!$F$6:$F$35)),0)</f>
        <v>0</v>
      </c>
      <c r="M115" s="135">
        <f t="shared" si="28"/>
        <v>94</v>
      </c>
      <c r="N115" s="135">
        <f t="shared" si="29"/>
        <v>1</v>
      </c>
      <c r="O115" s="135">
        <f t="shared" si="30"/>
        <v>0</v>
      </c>
      <c r="P115" s="536" t="e">
        <f t="shared" si="31"/>
        <v>#DIV/0!</v>
      </c>
      <c r="Q115" s="537" t="e">
        <f t="shared" si="18"/>
        <v>#DIV/0!</v>
      </c>
      <c r="R115" s="538" t="e">
        <f>IF(INPUTS!$B$15="yes",Q115,P115)</f>
        <v>#DIV/0!</v>
      </c>
      <c r="S115" s="536" t="e">
        <f t="shared" si="19"/>
        <v>#DIV/0!</v>
      </c>
      <c r="T115" s="537" t="e">
        <f t="shared" si="20"/>
        <v>#DIV/0!</v>
      </c>
      <c r="U115" s="538" t="e">
        <f>IF(INPUTS!$B$15="yes",T115,S115)</f>
        <v>#DIV/0!</v>
      </c>
      <c r="V115" s="536" t="e">
        <f t="shared" si="21"/>
        <v>#DIV/0!</v>
      </c>
      <c r="W115" s="537" t="e">
        <f t="shared" si="22"/>
        <v>#DIV/0!</v>
      </c>
      <c r="X115" s="538" t="e">
        <f>IF(INPUTS!$B$15="yes",W115,V115)</f>
        <v>#DIV/0!</v>
      </c>
      <c r="Y115" s="536" t="e">
        <f t="shared" si="23"/>
        <v>#DIV/0!</v>
      </c>
      <c r="Z115" s="537" t="e">
        <f t="shared" si="24"/>
        <v>#DIV/0!</v>
      </c>
      <c r="AA115" s="538" t="e">
        <f>IF(INPUTS!$B$15="yes",Z115,Y115)</f>
        <v>#DIV/0!</v>
      </c>
      <c r="AB115" s="536" t="e">
        <f t="shared" si="25"/>
        <v>#DIV/0!</v>
      </c>
      <c r="AC115" s="537" t="e">
        <f t="shared" si="26"/>
        <v>#DIV/0!</v>
      </c>
      <c r="AD115" s="538" t="e">
        <f>IF(INPUTS!$B$15="yes",AC115,AB115)</f>
        <v>#DIV/0!</v>
      </c>
      <c r="AE115" s="36" t="str">
        <f t="shared" si="27"/>
        <v>no</v>
      </c>
      <c r="AF115" s="36"/>
      <c r="AG115" s="389" t="e">
        <f>P115*('upper bound Kenaga'!$F$36/100)</f>
        <v>#DIV/0!</v>
      </c>
      <c r="AH115" s="36"/>
      <c r="AI115" s="389" t="e">
        <f>P115*('upper bound Kenaga'!$F$96/100)</f>
        <v>#DIV/0!</v>
      </c>
      <c r="AJ115" s="36"/>
      <c r="AK115" s="36"/>
      <c r="AL115" s="36"/>
      <c r="AM115" s="36"/>
      <c r="AN115" s="36"/>
      <c r="AO115" s="36"/>
    </row>
    <row r="116" spans="1:41">
      <c r="A116" s="297" t="s">
        <v>16</v>
      </c>
      <c r="B116" s="324" t="e">
        <f>B28*(G$96/(C$96/1000))</f>
        <v>#DIV/0!</v>
      </c>
      <c r="C116" s="324" t="e">
        <f>B28*($G$97/(C$97/1000))</f>
        <v>#DIV/0!</v>
      </c>
      <c r="D116" s="295" t="e">
        <f>B28*(G$98/(C$98/1000))</f>
        <v>#DIV/0!</v>
      </c>
      <c r="E116" s="602"/>
      <c r="F116" s="602"/>
      <c r="G116" s="602"/>
      <c r="J116" s="6">
        <f>COUNTIF(K$21:K116,"=yes")</f>
        <v>1</v>
      </c>
      <c r="K116" s="533" t="str">
        <f>IF(LOOKUP(VALUE(M116),INPUTS!$G$6:$G$35)=M116,"yes","no")</f>
        <v>no</v>
      </c>
      <c r="L116" s="533">
        <f>IF(K116="yes",(LOOKUP(J116,INPUTS!$E$6:$E$35,INPUTS!$F$6:$F$35)),0)</f>
        <v>0</v>
      </c>
      <c r="M116" s="135">
        <f t="shared" si="28"/>
        <v>95</v>
      </c>
      <c r="N116" s="135">
        <f t="shared" si="29"/>
        <v>1</v>
      </c>
      <c r="O116" s="135">
        <f t="shared" si="30"/>
        <v>0</v>
      </c>
      <c r="P116" s="536" t="e">
        <f t="shared" si="31"/>
        <v>#DIV/0!</v>
      </c>
      <c r="Q116" s="537" t="e">
        <f t="shared" si="18"/>
        <v>#DIV/0!</v>
      </c>
      <c r="R116" s="538" t="e">
        <f>IF(INPUTS!$B$15="yes",Q116,P116)</f>
        <v>#DIV/0!</v>
      </c>
      <c r="S116" s="536" t="e">
        <f t="shared" si="19"/>
        <v>#DIV/0!</v>
      </c>
      <c r="T116" s="537" t="e">
        <f t="shared" si="20"/>
        <v>#DIV/0!</v>
      </c>
      <c r="U116" s="538" t="e">
        <f>IF(INPUTS!$B$15="yes",T116,S116)</f>
        <v>#DIV/0!</v>
      </c>
      <c r="V116" s="536" t="e">
        <f t="shared" si="21"/>
        <v>#DIV/0!</v>
      </c>
      <c r="W116" s="537" t="e">
        <f t="shared" si="22"/>
        <v>#DIV/0!</v>
      </c>
      <c r="X116" s="538" t="e">
        <f>IF(INPUTS!$B$15="yes",W116,V116)</f>
        <v>#DIV/0!</v>
      </c>
      <c r="Y116" s="536" t="e">
        <f t="shared" si="23"/>
        <v>#DIV/0!</v>
      </c>
      <c r="Z116" s="537" t="e">
        <f t="shared" si="24"/>
        <v>#DIV/0!</v>
      </c>
      <c r="AA116" s="538" t="e">
        <f>IF(INPUTS!$B$15="yes",Z116,Y116)</f>
        <v>#DIV/0!</v>
      </c>
      <c r="AB116" s="536" t="e">
        <f t="shared" si="25"/>
        <v>#DIV/0!</v>
      </c>
      <c r="AC116" s="537" t="e">
        <f t="shared" si="26"/>
        <v>#DIV/0!</v>
      </c>
      <c r="AD116" s="538" t="e">
        <f>IF(INPUTS!$B$15="yes",AC116,AB116)</f>
        <v>#DIV/0!</v>
      </c>
      <c r="AE116" s="36" t="str">
        <f t="shared" si="27"/>
        <v>no</v>
      </c>
      <c r="AF116" s="36"/>
      <c r="AG116" s="389" t="e">
        <f>P116*('upper bound Kenaga'!$F$36/100)</f>
        <v>#DIV/0!</v>
      </c>
      <c r="AH116" s="36"/>
      <c r="AI116" s="389" t="e">
        <f>P116*('upper bound Kenaga'!$F$96/100)</f>
        <v>#DIV/0!</v>
      </c>
      <c r="AJ116" s="36"/>
      <c r="AK116" s="36"/>
      <c r="AL116" s="36"/>
      <c r="AM116" s="36"/>
      <c r="AN116" s="36"/>
      <c r="AO116" s="36"/>
    </row>
    <row r="117" spans="1:41">
      <c r="A117" s="561" t="s">
        <v>415</v>
      </c>
      <c r="B117" s="324" t="e">
        <f>B29*(G$96/(C$96/1000))</f>
        <v>#DIV/0!</v>
      </c>
      <c r="C117" s="324" t="e">
        <f>B29*($G$97/(C$97/1000))</f>
        <v>#DIV/0!</v>
      </c>
      <c r="D117" s="295" t="e">
        <f>B29*(G$98/(C$98/1000))</f>
        <v>#DIV/0!</v>
      </c>
      <c r="E117" s="602"/>
      <c r="F117" s="602"/>
      <c r="G117" s="602"/>
      <c r="J117" s="6">
        <f>COUNTIF(K$21:K117,"=yes")</f>
        <v>1</v>
      </c>
      <c r="K117" s="533" t="str">
        <f>IF(LOOKUP(VALUE(M117),INPUTS!$G$6:$G$35)=M117,"yes","no")</f>
        <v>no</v>
      </c>
      <c r="L117" s="533">
        <f>IF(K117="yes",(LOOKUP(J117,INPUTS!$E$6:$E$35,INPUTS!$F$6:$F$35)),0)</f>
        <v>0</v>
      </c>
      <c r="M117" s="135">
        <f t="shared" si="28"/>
        <v>96</v>
      </c>
      <c r="N117" s="135">
        <f t="shared" si="29"/>
        <v>1</v>
      </c>
      <c r="O117" s="135">
        <f t="shared" si="30"/>
        <v>0</v>
      </c>
      <c r="P117" s="536" t="e">
        <f t="shared" si="31"/>
        <v>#DIV/0!</v>
      </c>
      <c r="Q117" s="537" t="e">
        <f t="shared" si="18"/>
        <v>#DIV/0!</v>
      </c>
      <c r="R117" s="538" t="e">
        <f>IF(INPUTS!$B$15="yes",Q117,P117)</f>
        <v>#DIV/0!</v>
      </c>
      <c r="S117" s="536" t="e">
        <f t="shared" si="19"/>
        <v>#DIV/0!</v>
      </c>
      <c r="T117" s="537" t="e">
        <f t="shared" si="20"/>
        <v>#DIV/0!</v>
      </c>
      <c r="U117" s="538" t="e">
        <f>IF(INPUTS!$B$15="yes",T117,S117)</f>
        <v>#DIV/0!</v>
      </c>
      <c r="V117" s="536" t="e">
        <f t="shared" si="21"/>
        <v>#DIV/0!</v>
      </c>
      <c r="W117" s="537" t="e">
        <f t="shared" si="22"/>
        <v>#DIV/0!</v>
      </c>
      <c r="X117" s="538" t="e">
        <f>IF(INPUTS!$B$15="yes",W117,V117)</f>
        <v>#DIV/0!</v>
      </c>
      <c r="Y117" s="536" t="e">
        <f t="shared" si="23"/>
        <v>#DIV/0!</v>
      </c>
      <c r="Z117" s="537" t="e">
        <f t="shared" si="24"/>
        <v>#DIV/0!</v>
      </c>
      <c r="AA117" s="538" t="e">
        <f>IF(INPUTS!$B$15="yes",Z117,Y117)</f>
        <v>#DIV/0!</v>
      </c>
      <c r="AB117" s="536" t="e">
        <f t="shared" si="25"/>
        <v>#DIV/0!</v>
      </c>
      <c r="AC117" s="537" t="e">
        <f t="shared" si="26"/>
        <v>#DIV/0!</v>
      </c>
      <c r="AD117" s="538" t="e">
        <f>IF(INPUTS!$B$15="yes",AC117,AB117)</f>
        <v>#DIV/0!</v>
      </c>
      <c r="AE117" s="36" t="str">
        <f t="shared" si="27"/>
        <v>no</v>
      </c>
      <c r="AF117" s="36"/>
      <c r="AG117" s="389" t="e">
        <f>P117*('upper bound Kenaga'!$F$36/100)</f>
        <v>#DIV/0!</v>
      </c>
      <c r="AH117" s="36"/>
      <c r="AI117" s="389" t="e">
        <f>P117*('upper bound Kenaga'!$F$96/100)</f>
        <v>#DIV/0!</v>
      </c>
      <c r="AJ117" s="36"/>
      <c r="AK117" s="36"/>
      <c r="AL117" s="36"/>
      <c r="AM117" s="36"/>
      <c r="AN117" s="36"/>
      <c r="AO117" s="36"/>
    </row>
    <row r="118" spans="1:41">
      <c r="A118" s="561" t="s">
        <v>417</v>
      </c>
      <c r="B118" s="324" t="e">
        <f>B30*(G$96/(C$96/1000))</f>
        <v>#DIV/0!</v>
      </c>
      <c r="C118" s="324" t="e">
        <f>B30*($G$97/(C$97/1000))</f>
        <v>#DIV/0!</v>
      </c>
      <c r="D118" s="295" t="e">
        <f>B30*(G$98/(C$98/1000))</f>
        <v>#DIV/0!</v>
      </c>
      <c r="E118" s="603"/>
      <c r="F118" s="603"/>
      <c r="G118" s="603"/>
      <c r="J118" s="6">
        <f>COUNTIF(K$21:K118,"=yes")</f>
        <v>1</v>
      </c>
      <c r="K118" s="533" t="str">
        <f>IF(LOOKUP(VALUE(M118),INPUTS!$G$6:$G$35)=M118,"yes","no")</f>
        <v>no</v>
      </c>
      <c r="L118" s="533">
        <f>IF(K118="yes",(LOOKUP(J118,INPUTS!$E$6:$E$35,INPUTS!$F$6:$F$35)),0)</f>
        <v>0</v>
      </c>
      <c r="M118" s="135">
        <f t="shared" si="28"/>
        <v>97</v>
      </c>
      <c r="N118" s="135">
        <f t="shared" si="29"/>
        <v>1</v>
      </c>
      <c r="O118" s="135">
        <f t="shared" si="30"/>
        <v>0</v>
      </c>
      <c r="P118" s="536" t="e">
        <f t="shared" si="31"/>
        <v>#DIV/0!</v>
      </c>
      <c r="Q118" s="537" t="e">
        <f t="shared" si="18"/>
        <v>#DIV/0!</v>
      </c>
      <c r="R118" s="538" t="e">
        <f>IF(INPUTS!$B$15="yes",Q118,P118)</f>
        <v>#DIV/0!</v>
      </c>
      <c r="S118" s="536" t="e">
        <f t="shared" si="19"/>
        <v>#DIV/0!</v>
      </c>
      <c r="T118" s="537" t="e">
        <f t="shared" si="20"/>
        <v>#DIV/0!</v>
      </c>
      <c r="U118" s="538" t="e">
        <f>IF(INPUTS!$B$15="yes",T118,S118)</f>
        <v>#DIV/0!</v>
      </c>
      <c r="V118" s="536" t="e">
        <f t="shared" si="21"/>
        <v>#DIV/0!</v>
      </c>
      <c r="W118" s="537" t="e">
        <f t="shared" si="22"/>
        <v>#DIV/0!</v>
      </c>
      <c r="X118" s="538" t="e">
        <f>IF(INPUTS!$B$15="yes",W118,V118)</f>
        <v>#DIV/0!</v>
      </c>
      <c r="Y118" s="536" t="e">
        <f t="shared" si="23"/>
        <v>#DIV/0!</v>
      </c>
      <c r="Z118" s="537" t="e">
        <f t="shared" si="24"/>
        <v>#DIV/0!</v>
      </c>
      <c r="AA118" s="538" t="e">
        <f>IF(INPUTS!$B$15="yes",Z118,Y118)</f>
        <v>#DIV/0!</v>
      </c>
      <c r="AB118" s="536" t="e">
        <f t="shared" si="25"/>
        <v>#DIV/0!</v>
      </c>
      <c r="AC118" s="537" t="e">
        <f t="shared" si="26"/>
        <v>#DIV/0!</v>
      </c>
      <c r="AD118" s="538" t="e">
        <f>IF(INPUTS!$B$15="yes",AC118,AB118)</f>
        <v>#DIV/0!</v>
      </c>
      <c r="AE118" s="36" t="str">
        <f t="shared" si="27"/>
        <v>no</v>
      </c>
      <c r="AF118" s="36"/>
      <c r="AG118" s="389" t="e">
        <f>P118*('upper bound Kenaga'!$F$36/100)</f>
        <v>#DIV/0!</v>
      </c>
      <c r="AH118" s="36"/>
      <c r="AI118" s="389" t="e">
        <f>P118*('upper bound Kenaga'!$F$96/100)</f>
        <v>#DIV/0!</v>
      </c>
      <c r="AJ118" s="36"/>
      <c r="AK118" s="36"/>
      <c r="AL118" s="36"/>
      <c r="AM118" s="36"/>
      <c r="AN118" s="36"/>
      <c r="AO118" s="36"/>
    </row>
    <row r="119" spans="1:41">
      <c r="A119" s="561" t="s">
        <v>414</v>
      </c>
      <c r="B119" s="324" t="e">
        <f>B31*(G$96/(C$96/1000))</f>
        <v>#DIV/0!</v>
      </c>
      <c r="C119" s="324" t="e">
        <f>B31*($G$97/(C$97/1000))</f>
        <v>#DIV/0!</v>
      </c>
      <c r="D119" s="295" t="e">
        <f>B31*(G$98/(C$98/1000))</f>
        <v>#DIV/0!</v>
      </c>
      <c r="E119" s="604"/>
      <c r="F119" s="604"/>
      <c r="G119" s="604"/>
      <c r="H119"/>
      <c r="J119" s="6">
        <f>COUNTIF(K$21:K119,"=yes")</f>
        <v>1</v>
      </c>
      <c r="K119" s="533" t="str">
        <f>IF(LOOKUP(VALUE(M119),INPUTS!$G$6:$G$35)=M119,"yes","no")</f>
        <v>no</v>
      </c>
      <c r="L119" s="533">
        <f>IF(K119="yes",(LOOKUP(J119,INPUTS!$E$6:$E$35,INPUTS!$F$6:$F$35)),0)</f>
        <v>0</v>
      </c>
      <c r="M119" s="135">
        <f t="shared" si="28"/>
        <v>98</v>
      </c>
      <c r="N119" s="135">
        <f t="shared" si="29"/>
        <v>1</v>
      </c>
      <c r="O119" s="135">
        <f t="shared" si="30"/>
        <v>0</v>
      </c>
      <c r="P119" s="536" t="e">
        <f t="shared" si="31"/>
        <v>#DIV/0!</v>
      </c>
      <c r="Q119" s="537" t="e">
        <f t="shared" si="18"/>
        <v>#DIV/0!</v>
      </c>
      <c r="R119" s="538" t="e">
        <f>IF(INPUTS!$B$15="yes",Q119,P119)</f>
        <v>#DIV/0!</v>
      </c>
      <c r="S119" s="536" t="e">
        <f t="shared" si="19"/>
        <v>#DIV/0!</v>
      </c>
      <c r="T119" s="537" t="e">
        <f t="shared" si="20"/>
        <v>#DIV/0!</v>
      </c>
      <c r="U119" s="538" t="e">
        <f>IF(INPUTS!$B$15="yes",T119,S119)</f>
        <v>#DIV/0!</v>
      </c>
      <c r="V119" s="536" t="e">
        <f t="shared" si="21"/>
        <v>#DIV/0!</v>
      </c>
      <c r="W119" s="537" t="e">
        <f t="shared" si="22"/>
        <v>#DIV/0!</v>
      </c>
      <c r="X119" s="538" t="e">
        <f>IF(INPUTS!$B$15="yes",W119,V119)</f>
        <v>#DIV/0!</v>
      </c>
      <c r="Y119" s="536" t="e">
        <f t="shared" si="23"/>
        <v>#DIV/0!</v>
      </c>
      <c r="Z119" s="537" t="e">
        <f t="shared" si="24"/>
        <v>#DIV/0!</v>
      </c>
      <c r="AA119" s="538" t="e">
        <f>IF(INPUTS!$B$15="yes",Z119,Y119)</f>
        <v>#DIV/0!</v>
      </c>
      <c r="AB119" s="536" t="e">
        <f t="shared" si="25"/>
        <v>#DIV/0!</v>
      </c>
      <c r="AC119" s="537" t="e">
        <f t="shared" si="26"/>
        <v>#DIV/0!</v>
      </c>
      <c r="AD119" s="538" t="e">
        <f>IF(INPUTS!$B$15="yes",AC119,AB119)</f>
        <v>#DIV/0!</v>
      </c>
      <c r="AE119" s="36" t="str">
        <f t="shared" si="27"/>
        <v>no</v>
      </c>
      <c r="AF119" s="36"/>
      <c r="AG119" s="389" t="e">
        <f>P119*('upper bound Kenaga'!$F$36/100)</f>
        <v>#DIV/0!</v>
      </c>
      <c r="AH119" s="36"/>
      <c r="AI119" s="389" t="e">
        <f>P119*('upper bound Kenaga'!$F$96/100)</f>
        <v>#DIV/0!</v>
      </c>
      <c r="AJ119" s="36"/>
      <c r="AK119" s="36"/>
      <c r="AL119" s="36"/>
      <c r="AM119" s="36"/>
      <c r="AN119" s="36"/>
      <c r="AO119" s="36"/>
    </row>
    <row r="120" spans="1:41" ht="12.75" customHeight="1" thickBot="1">
      <c r="A120" s="562" t="s">
        <v>418</v>
      </c>
      <c r="B120" s="325" t="e">
        <f>B30*(G99/(C99/1000))</f>
        <v>#DIV/0!</v>
      </c>
      <c r="C120" s="325" t="e">
        <f>B30*(G100/(C100/1000))</f>
        <v>#DIV/0!</v>
      </c>
      <c r="D120" s="397" t="e">
        <f>B30*(G101/(C101/1000))</f>
        <v>#DIV/0!</v>
      </c>
      <c r="E120" s="600"/>
      <c r="F120" s="600"/>
      <c r="G120" s="600"/>
      <c r="H120"/>
      <c r="J120" s="6">
        <f>COUNTIF(K$21:K120,"=yes")</f>
        <v>1</v>
      </c>
      <c r="K120" s="533" t="str">
        <f>IF(LOOKUP(VALUE(M120),INPUTS!$G$6:$G$35)=M120,"yes","no")</f>
        <v>no</v>
      </c>
      <c r="L120" s="533">
        <f>IF(K120="yes",(LOOKUP(J120,INPUTS!$E$6:$E$35,INPUTS!$F$6:$F$35)),0)</f>
        <v>0</v>
      </c>
      <c r="M120" s="135">
        <f t="shared" si="28"/>
        <v>99</v>
      </c>
      <c r="N120" s="135">
        <f t="shared" si="29"/>
        <v>1</v>
      </c>
      <c r="O120" s="135">
        <f t="shared" si="30"/>
        <v>0</v>
      </c>
      <c r="P120" s="536" t="e">
        <f t="shared" si="31"/>
        <v>#DIV/0!</v>
      </c>
      <c r="Q120" s="537" t="e">
        <f t="shared" si="18"/>
        <v>#DIV/0!</v>
      </c>
      <c r="R120" s="538" t="e">
        <f>IF(INPUTS!$B$15="yes",Q120,P120)</f>
        <v>#DIV/0!</v>
      </c>
      <c r="S120" s="536" t="e">
        <f t="shared" si="19"/>
        <v>#DIV/0!</v>
      </c>
      <c r="T120" s="537" t="e">
        <f t="shared" si="20"/>
        <v>#DIV/0!</v>
      </c>
      <c r="U120" s="538" t="e">
        <f>IF(INPUTS!$B$15="yes",T120,S120)</f>
        <v>#DIV/0!</v>
      </c>
      <c r="V120" s="536" t="e">
        <f t="shared" si="21"/>
        <v>#DIV/0!</v>
      </c>
      <c r="W120" s="537" t="e">
        <f t="shared" si="22"/>
        <v>#DIV/0!</v>
      </c>
      <c r="X120" s="538" t="e">
        <f>IF(INPUTS!$B$15="yes",W120,V120)</f>
        <v>#DIV/0!</v>
      </c>
      <c r="Y120" s="536" t="e">
        <f t="shared" si="23"/>
        <v>#DIV/0!</v>
      </c>
      <c r="Z120" s="537" t="e">
        <f t="shared" si="24"/>
        <v>#DIV/0!</v>
      </c>
      <c r="AA120" s="538" t="e">
        <f>IF(INPUTS!$B$15="yes",Z120,Y120)</f>
        <v>#DIV/0!</v>
      </c>
      <c r="AB120" s="536" t="e">
        <f t="shared" si="25"/>
        <v>#DIV/0!</v>
      </c>
      <c r="AC120" s="537" t="e">
        <f t="shared" si="26"/>
        <v>#DIV/0!</v>
      </c>
      <c r="AD120" s="538" t="e">
        <f>IF(INPUTS!$B$15="yes",AC120,AB120)</f>
        <v>#DIV/0!</v>
      </c>
      <c r="AE120" s="36" t="str">
        <f t="shared" si="27"/>
        <v>no</v>
      </c>
      <c r="AF120" s="36"/>
      <c r="AG120" s="389" t="e">
        <f>P120*('upper bound Kenaga'!$F$36/100)</f>
        <v>#DIV/0!</v>
      </c>
      <c r="AH120" s="36"/>
      <c r="AI120" s="389" t="e">
        <f>P120*('upper bound Kenaga'!$F$96/100)</f>
        <v>#DIV/0!</v>
      </c>
      <c r="AJ120" s="36"/>
      <c r="AK120" s="36"/>
      <c r="AL120" s="36"/>
      <c r="AM120" s="36"/>
      <c r="AN120" s="36"/>
      <c r="AO120" s="36"/>
    </row>
    <row r="121" spans="1:41">
      <c r="A121" s="545"/>
      <c r="B121" s="921"/>
      <c r="C121" s="922"/>
      <c r="D121" s="922"/>
      <c r="E121" s="921"/>
      <c r="F121" s="922"/>
      <c r="G121" s="922"/>
      <c r="J121" s="6">
        <f>COUNTIF(K$21:K121,"=yes")</f>
        <v>1</v>
      </c>
      <c r="K121" s="533" t="str">
        <f>IF(LOOKUP(VALUE(M121),INPUTS!$G$6:$G$35)=M121,"yes","no")</f>
        <v>no</v>
      </c>
      <c r="L121" s="533">
        <f>IF(K121="yes",(LOOKUP(J121,INPUTS!$E$6:$E$35,INPUTS!$F$6:$F$35)),0)</f>
        <v>0</v>
      </c>
      <c r="M121" s="135">
        <f t="shared" si="28"/>
        <v>100</v>
      </c>
      <c r="N121" s="135">
        <f t="shared" si="29"/>
        <v>1</v>
      </c>
      <c r="O121" s="135">
        <f t="shared" si="30"/>
        <v>0</v>
      </c>
      <c r="P121" s="536" t="e">
        <f t="shared" si="31"/>
        <v>#DIV/0!</v>
      </c>
      <c r="Q121" s="537" t="e">
        <f t="shared" si="18"/>
        <v>#DIV/0!</v>
      </c>
      <c r="R121" s="538" t="e">
        <f>IF(INPUTS!$B$15="yes",Q121,P121)</f>
        <v>#DIV/0!</v>
      </c>
      <c r="S121" s="536" t="e">
        <f t="shared" si="19"/>
        <v>#DIV/0!</v>
      </c>
      <c r="T121" s="537" t="e">
        <f t="shared" si="20"/>
        <v>#DIV/0!</v>
      </c>
      <c r="U121" s="538" t="e">
        <f>IF(INPUTS!$B$15="yes",T121,S121)</f>
        <v>#DIV/0!</v>
      </c>
      <c r="V121" s="536" t="e">
        <f t="shared" si="21"/>
        <v>#DIV/0!</v>
      </c>
      <c r="W121" s="537" t="e">
        <f t="shared" si="22"/>
        <v>#DIV/0!</v>
      </c>
      <c r="X121" s="538" t="e">
        <f>IF(INPUTS!$B$15="yes",W121,V121)</f>
        <v>#DIV/0!</v>
      </c>
      <c r="Y121" s="536" t="e">
        <f t="shared" si="23"/>
        <v>#DIV/0!</v>
      </c>
      <c r="Z121" s="537" t="e">
        <f t="shared" si="24"/>
        <v>#DIV/0!</v>
      </c>
      <c r="AA121" s="538" t="e">
        <f>IF(INPUTS!$B$15="yes",Z121,Y121)</f>
        <v>#DIV/0!</v>
      </c>
      <c r="AB121" s="536" t="e">
        <f t="shared" si="25"/>
        <v>#DIV/0!</v>
      </c>
      <c r="AC121" s="537" t="e">
        <f t="shared" si="26"/>
        <v>#DIV/0!</v>
      </c>
      <c r="AD121" s="538" t="e">
        <f>IF(INPUTS!$B$15="yes",AC121,AB121)</f>
        <v>#DIV/0!</v>
      </c>
      <c r="AE121" s="36" t="str">
        <f t="shared" si="27"/>
        <v>no</v>
      </c>
      <c r="AF121" s="36"/>
      <c r="AG121" s="389" t="e">
        <f>P121*('upper bound Kenaga'!$F$36/100)</f>
        <v>#DIV/0!</v>
      </c>
      <c r="AH121" s="36"/>
      <c r="AI121" s="389" t="e">
        <f>P121*('upper bound Kenaga'!$F$96/100)</f>
        <v>#DIV/0!</v>
      </c>
      <c r="AJ121" s="36"/>
      <c r="AK121" s="36"/>
      <c r="AL121" s="36"/>
      <c r="AM121" s="36"/>
      <c r="AN121" s="36"/>
      <c r="AO121" s="36"/>
    </row>
    <row r="122" spans="1:41">
      <c r="A122" s="545"/>
      <c r="B122" s="343"/>
      <c r="C122" s="343"/>
      <c r="D122" s="343"/>
      <c r="E122" s="343"/>
      <c r="F122" s="343"/>
      <c r="G122" s="343"/>
      <c r="J122" s="6">
        <f>COUNTIF(K$21:K122,"=yes")</f>
        <v>1</v>
      </c>
      <c r="K122" s="533" t="str">
        <f>IF(LOOKUP(VALUE(M122),INPUTS!$G$6:$G$35)=M122,"yes","no")</f>
        <v>no</v>
      </c>
      <c r="L122" s="533">
        <f>IF(K122="yes",(LOOKUP(J122,INPUTS!$E$6:$E$35,INPUTS!$F$6:$F$35)),0)</f>
        <v>0</v>
      </c>
      <c r="M122" s="135">
        <f t="shared" si="28"/>
        <v>101</v>
      </c>
      <c r="N122" s="135">
        <f t="shared" si="29"/>
        <v>1</v>
      </c>
      <c r="O122" s="135">
        <f t="shared" si="30"/>
        <v>0</v>
      </c>
      <c r="P122" s="536" t="e">
        <f t="shared" si="31"/>
        <v>#DIV/0!</v>
      </c>
      <c r="Q122" s="537" t="e">
        <f t="shared" si="18"/>
        <v>#DIV/0!</v>
      </c>
      <c r="R122" s="538" t="e">
        <f>IF(INPUTS!$B$15="yes",Q122,P122)</f>
        <v>#DIV/0!</v>
      </c>
      <c r="S122" s="536" t="e">
        <f t="shared" si="19"/>
        <v>#DIV/0!</v>
      </c>
      <c r="T122" s="537" t="e">
        <f t="shared" si="20"/>
        <v>#DIV/0!</v>
      </c>
      <c r="U122" s="538" t="e">
        <f>IF(INPUTS!$B$15="yes",T122,S122)</f>
        <v>#DIV/0!</v>
      </c>
      <c r="V122" s="536" t="e">
        <f t="shared" si="21"/>
        <v>#DIV/0!</v>
      </c>
      <c r="W122" s="537" t="e">
        <f t="shared" si="22"/>
        <v>#DIV/0!</v>
      </c>
      <c r="X122" s="538" t="e">
        <f>IF(INPUTS!$B$15="yes",W122,V122)</f>
        <v>#DIV/0!</v>
      </c>
      <c r="Y122" s="536" t="e">
        <f t="shared" si="23"/>
        <v>#DIV/0!</v>
      </c>
      <c r="Z122" s="537" t="e">
        <f t="shared" si="24"/>
        <v>#DIV/0!</v>
      </c>
      <c r="AA122" s="538" t="e">
        <f>IF(INPUTS!$B$15="yes",Z122,Y122)</f>
        <v>#DIV/0!</v>
      </c>
      <c r="AB122" s="536" t="e">
        <f t="shared" si="25"/>
        <v>#DIV/0!</v>
      </c>
      <c r="AC122" s="537" t="e">
        <f t="shared" si="26"/>
        <v>#DIV/0!</v>
      </c>
      <c r="AD122" s="538" t="e">
        <f>IF(INPUTS!$B$15="yes",AC122,AB122)</f>
        <v>#DIV/0!</v>
      </c>
      <c r="AE122" s="36" t="str">
        <f t="shared" si="27"/>
        <v>no</v>
      </c>
      <c r="AF122" s="36"/>
      <c r="AG122" s="389" t="e">
        <f>P122*('upper bound Kenaga'!$F$36/100)</f>
        <v>#DIV/0!</v>
      </c>
      <c r="AH122" s="36"/>
      <c r="AI122" s="389" t="e">
        <f>P122*('upper bound Kenaga'!$F$96/100)</f>
        <v>#DIV/0!</v>
      </c>
      <c r="AJ122" s="36"/>
      <c r="AK122" s="36"/>
      <c r="AL122" s="36"/>
      <c r="AM122" s="36"/>
      <c r="AN122" s="36"/>
      <c r="AO122" s="36"/>
    </row>
    <row r="123" spans="1:41">
      <c r="A123" s="352"/>
      <c r="B123" s="353"/>
      <c r="C123" s="353"/>
      <c r="D123" s="353"/>
      <c r="E123" s="354"/>
      <c r="F123" s="354"/>
      <c r="G123" s="354"/>
      <c r="J123" s="6">
        <f>COUNTIF(K$21:K123,"=yes")</f>
        <v>1</v>
      </c>
      <c r="K123" s="533" t="str">
        <f>IF(LOOKUP(VALUE(M123),INPUTS!$G$6:$G$35)=M123,"yes","no")</f>
        <v>no</v>
      </c>
      <c r="L123" s="533">
        <f>IF(K123="yes",(LOOKUP(J123,INPUTS!$E$6:$E$35,INPUTS!$F$6:$F$35)),0)</f>
        <v>0</v>
      </c>
      <c r="M123" s="135">
        <f t="shared" si="28"/>
        <v>102</v>
      </c>
      <c r="N123" s="135">
        <f t="shared" si="29"/>
        <v>1</v>
      </c>
      <c r="O123" s="135">
        <f t="shared" si="30"/>
        <v>0</v>
      </c>
      <c r="P123" s="536" t="e">
        <f t="shared" si="31"/>
        <v>#DIV/0!</v>
      </c>
      <c r="Q123" s="537" t="e">
        <f t="shared" si="18"/>
        <v>#DIV/0!</v>
      </c>
      <c r="R123" s="538" t="e">
        <f>IF(INPUTS!$B$15="yes",Q123,P123)</f>
        <v>#DIV/0!</v>
      </c>
      <c r="S123" s="536" t="e">
        <f t="shared" si="19"/>
        <v>#DIV/0!</v>
      </c>
      <c r="T123" s="537" t="e">
        <f t="shared" si="20"/>
        <v>#DIV/0!</v>
      </c>
      <c r="U123" s="538" t="e">
        <f>IF(INPUTS!$B$15="yes",T123,S123)</f>
        <v>#DIV/0!</v>
      </c>
      <c r="V123" s="536" t="e">
        <f t="shared" si="21"/>
        <v>#DIV/0!</v>
      </c>
      <c r="W123" s="537" t="e">
        <f t="shared" si="22"/>
        <v>#DIV/0!</v>
      </c>
      <c r="X123" s="538" t="e">
        <f>IF(INPUTS!$B$15="yes",W123,V123)</f>
        <v>#DIV/0!</v>
      </c>
      <c r="Y123" s="536" t="e">
        <f t="shared" si="23"/>
        <v>#DIV/0!</v>
      </c>
      <c r="Z123" s="537" t="e">
        <f t="shared" si="24"/>
        <v>#DIV/0!</v>
      </c>
      <c r="AA123" s="538" t="e">
        <f>IF(INPUTS!$B$15="yes",Z123,Y123)</f>
        <v>#DIV/0!</v>
      </c>
      <c r="AB123" s="536" t="e">
        <f t="shared" si="25"/>
        <v>#DIV/0!</v>
      </c>
      <c r="AC123" s="537" t="e">
        <f t="shared" si="26"/>
        <v>#DIV/0!</v>
      </c>
      <c r="AD123" s="538" t="e">
        <f>IF(INPUTS!$B$15="yes",AC123,AB123)</f>
        <v>#DIV/0!</v>
      </c>
      <c r="AE123" s="36" t="str">
        <f t="shared" si="27"/>
        <v>no</v>
      </c>
      <c r="AF123" s="36"/>
      <c r="AG123" s="389" t="e">
        <f>P123*('upper bound Kenaga'!$F$36/100)</f>
        <v>#DIV/0!</v>
      </c>
      <c r="AH123" s="36"/>
      <c r="AI123" s="389" t="e">
        <f>P123*('upper bound Kenaga'!$F$96/100)</f>
        <v>#DIV/0!</v>
      </c>
      <c r="AJ123" s="36"/>
      <c r="AK123" s="36"/>
      <c r="AL123" s="36"/>
      <c r="AM123" s="36"/>
      <c r="AN123" s="36"/>
      <c r="AO123" s="36"/>
    </row>
    <row r="124" spans="1:41" ht="13.5" thickBot="1">
      <c r="A124" s="352"/>
      <c r="B124" s="353"/>
      <c r="C124" s="353"/>
      <c r="D124" s="353"/>
      <c r="E124" s="354"/>
      <c r="F124" s="354"/>
      <c r="G124" s="354"/>
      <c r="J124" s="6">
        <f>COUNTIF(K$21:K124,"=yes")</f>
        <v>1</v>
      </c>
      <c r="K124" s="533" t="str">
        <f>IF(LOOKUP(VALUE(M124),INPUTS!$G$6:$G$35)=M124,"yes","no")</f>
        <v>no</v>
      </c>
      <c r="L124" s="533">
        <f>IF(K124="yes",(LOOKUP(J124,INPUTS!$E$6:$E$35,INPUTS!$F$6:$F$35)),0)</f>
        <v>0</v>
      </c>
      <c r="M124" s="135">
        <f t="shared" si="28"/>
        <v>103</v>
      </c>
      <c r="N124" s="135">
        <f t="shared" si="29"/>
        <v>1</v>
      </c>
      <c r="O124" s="135">
        <f t="shared" si="30"/>
        <v>0</v>
      </c>
      <c r="P124" s="536" t="e">
        <f t="shared" si="31"/>
        <v>#DIV/0!</v>
      </c>
      <c r="Q124" s="537" t="e">
        <f t="shared" si="18"/>
        <v>#DIV/0!</v>
      </c>
      <c r="R124" s="538" t="e">
        <f>IF(INPUTS!$B$15="yes",Q124,P124)</f>
        <v>#DIV/0!</v>
      </c>
      <c r="S124" s="536" t="e">
        <f t="shared" si="19"/>
        <v>#DIV/0!</v>
      </c>
      <c r="T124" s="537" t="e">
        <f t="shared" si="20"/>
        <v>#DIV/0!</v>
      </c>
      <c r="U124" s="538" t="e">
        <f>IF(INPUTS!$B$15="yes",T124,S124)</f>
        <v>#DIV/0!</v>
      </c>
      <c r="V124" s="536" t="e">
        <f t="shared" si="21"/>
        <v>#DIV/0!</v>
      </c>
      <c r="W124" s="537" t="e">
        <f t="shared" si="22"/>
        <v>#DIV/0!</v>
      </c>
      <c r="X124" s="538" t="e">
        <f>IF(INPUTS!$B$15="yes",W124,V124)</f>
        <v>#DIV/0!</v>
      </c>
      <c r="Y124" s="536" t="e">
        <f t="shared" si="23"/>
        <v>#DIV/0!</v>
      </c>
      <c r="Z124" s="537" t="e">
        <f t="shared" si="24"/>
        <v>#DIV/0!</v>
      </c>
      <c r="AA124" s="538" t="e">
        <f>IF(INPUTS!$B$15="yes",Z124,Y124)</f>
        <v>#DIV/0!</v>
      </c>
      <c r="AB124" s="536" t="e">
        <f t="shared" si="25"/>
        <v>#DIV/0!</v>
      </c>
      <c r="AC124" s="537" t="e">
        <f t="shared" si="26"/>
        <v>#DIV/0!</v>
      </c>
      <c r="AD124" s="538" t="e">
        <f>IF(INPUTS!$B$15="yes",AC124,AB124)</f>
        <v>#DIV/0!</v>
      </c>
      <c r="AE124" s="36" t="str">
        <f t="shared" si="27"/>
        <v>no</v>
      </c>
      <c r="AF124" s="36"/>
      <c r="AG124" s="389" t="e">
        <f>P124*('upper bound Kenaga'!$F$36/100)</f>
        <v>#DIV/0!</v>
      </c>
      <c r="AH124" s="36"/>
      <c r="AI124" s="389" t="e">
        <f>P124*('upper bound Kenaga'!$F$96/100)</f>
        <v>#DIV/0!</v>
      </c>
      <c r="AJ124" s="36"/>
      <c r="AK124" s="36"/>
      <c r="AL124" s="36"/>
      <c r="AM124" s="36"/>
      <c r="AN124" s="36"/>
      <c r="AO124" s="36"/>
    </row>
    <row r="125" spans="1:41">
      <c r="A125" s="916" t="s">
        <v>278</v>
      </c>
      <c r="B125" s="919" t="s">
        <v>371</v>
      </c>
      <c r="C125" s="923"/>
      <c r="D125" s="919" t="s">
        <v>373</v>
      </c>
      <c r="E125" s="923"/>
      <c r="F125" s="919" t="s">
        <v>374</v>
      </c>
      <c r="G125" s="903"/>
      <c r="J125" s="6">
        <f>COUNTIF(K$21:K125,"=yes")</f>
        <v>1</v>
      </c>
      <c r="K125" s="533" t="str">
        <f>IF(LOOKUP(VALUE(M125),INPUTS!$G$6:$G$35)=M125,"yes","no")</f>
        <v>no</v>
      </c>
      <c r="L125" s="533">
        <f>IF(K125="yes",(LOOKUP(J125,INPUTS!$E$6:$E$35,INPUTS!$F$6:$F$35)),0)</f>
        <v>0</v>
      </c>
      <c r="M125" s="135">
        <f t="shared" si="28"/>
        <v>104</v>
      </c>
      <c r="N125" s="135">
        <f t="shared" si="29"/>
        <v>1</v>
      </c>
      <c r="O125" s="135">
        <f t="shared" si="30"/>
        <v>0</v>
      </c>
      <c r="P125" s="536" t="e">
        <f t="shared" si="31"/>
        <v>#DIV/0!</v>
      </c>
      <c r="Q125" s="537" t="e">
        <f t="shared" si="18"/>
        <v>#DIV/0!</v>
      </c>
      <c r="R125" s="538" t="e">
        <f>IF(INPUTS!$B$15="yes",Q125,P125)</f>
        <v>#DIV/0!</v>
      </c>
      <c r="S125" s="536" t="e">
        <f t="shared" si="19"/>
        <v>#DIV/0!</v>
      </c>
      <c r="T125" s="537" t="e">
        <f t="shared" si="20"/>
        <v>#DIV/0!</v>
      </c>
      <c r="U125" s="538" t="e">
        <f>IF(INPUTS!$B$15="yes",T125,S125)</f>
        <v>#DIV/0!</v>
      </c>
      <c r="V125" s="536" t="e">
        <f t="shared" si="21"/>
        <v>#DIV/0!</v>
      </c>
      <c r="W125" s="537" t="e">
        <f t="shared" si="22"/>
        <v>#DIV/0!</v>
      </c>
      <c r="X125" s="538" t="e">
        <f>IF(INPUTS!$B$15="yes",W125,V125)</f>
        <v>#DIV/0!</v>
      </c>
      <c r="Y125" s="536" t="e">
        <f t="shared" si="23"/>
        <v>#DIV/0!</v>
      </c>
      <c r="Z125" s="537" t="e">
        <f t="shared" si="24"/>
        <v>#DIV/0!</v>
      </c>
      <c r="AA125" s="538" t="e">
        <f>IF(INPUTS!$B$15="yes",Z125,Y125)</f>
        <v>#DIV/0!</v>
      </c>
      <c r="AB125" s="536" t="e">
        <f t="shared" si="25"/>
        <v>#DIV/0!</v>
      </c>
      <c r="AC125" s="537" t="e">
        <f t="shared" si="26"/>
        <v>#DIV/0!</v>
      </c>
      <c r="AD125" s="538" t="e">
        <f>IF(INPUTS!$B$15="yes",AC125,AB125)</f>
        <v>#DIV/0!</v>
      </c>
      <c r="AE125" s="36" t="str">
        <f t="shared" si="27"/>
        <v>no</v>
      </c>
      <c r="AF125" s="36"/>
      <c r="AG125" s="389" t="e">
        <f>P125*('upper bound Kenaga'!$F$36/100)</f>
        <v>#DIV/0!</v>
      </c>
      <c r="AH125" s="36"/>
      <c r="AI125" s="389" t="e">
        <f>P125*('upper bound Kenaga'!$F$96/100)</f>
        <v>#DIV/0!</v>
      </c>
      <c r="AJ125" s="36"/>
      <c r="AK125" s="36"/>
      <c r="AL125" s="36"/>
      <c r="AM125" s="36"/>
      <c r="AN125" s="36"/>
      <c r="AO125" s="36"/>
    </row>
    <row r="126" spans="1:41">
      <c r="A126" s="924"/>
      <c r="B126" s="460">
        <f>C96</f>
        <v>15</v>
      </c>
      <c r="C126" s="461" t="s">
        <v>372</v>
      </c>
      <c r="D126" s="460">
        <f>C97</f>
        <v>35</v>
      </c>
      <c r="E126" s="461" t="s">
        <v>372</v>
      </c>
      <c r="F126" s="462">
        <f>C98</f>
        <v>1000</v>
      </c>
      <c r="G126" s="463" t="s">
        <v>372</v>
      </c>
      <c r="J126" s="6">
        <f>COUNTIF(K$21:K126,"=yes")</f>
        <v>1</v>
      </c>
      <c r="K126" s="533" t="str">
        <f>IF(LOOKUP(VALUE(M126),INPUTS!$G$6:$G$35)=M126,"yes","no")</f>
        <v>no</v>
      </c>
      <c r="L126" s="533">
        <f>IF(K126="yes",(LOOKUP(J126,INPUTS!$E$6:$E$35,INPUTS!$F$6:$F$35)),0)</f>
        <v>0</v>
      </c>
      <c r="M126" s="135">
        <f t="shared" si="28"/>
        <v>105</v>
      </c>
      <c r="N126" s="135">
        <f t="shared" si="29"/>
        <v>1</v>
      </c>
      <c r="O126" s="135">
        <f t="shared" si="30"/>
        <v>0</v>
      </c>
      <c r="P126" s="536" t="e">
        <f t="shared" si="31"/>
        <v>#DIV/0!</v>
      </c>
      <c r="Q126" s="537" t="e">
        <f t="shared" si="18"/>
        <v>#DIV/0!</v>
      </c>
      <c r="R126" s="538" t="e">
        <f>IF(INPUTS!$B$15="yes",Q126,P126)</f>
        <v>#DIV/0!</v>
      </c>
      <c r="S126" s="536" t="e">
        <f t="shared" si="19"/>
        <v>#DIV/0!</v>
      </c>
      <c r="T126" s="537" t="e">
        <f t="shared" si="20"/>
        <v>#DIV/0!</v>
      </c>
      <c r="U126" s="538" t="e">
        <f>IF(INPUTS!$B$15="yes",T126,S126)</f>
        <v>#DIV/0!</v>
      </c>
      <c r="V126" s="536" t="e">
        <f t="shared" si="21"/>
        <v>#DIV/0!</v>
      </c>
      <c r="W126" s="537" t="e">
        <f t="shared" si="22"/>
        <v>#DIV/0!</v>
      </c>
      <c r="X126" s="538" t="e">
        <f>IF(INPUTS!$B$15="yes",W126,V126)</f>
        <v>#DIV/0!</v>
      </c>
      <c r="Y126" s="536" t="e">
        <f t="shared" si="23"/>
        <v>#DIV/0!</v>
      </c>
      <c r="Z126" s="537" t="e">
        <f t="shared" si="24"/>
        <v>#DIV/0!</v>
      </c>
      <c r="AA126" s="538" t="e">
        <f>IF(INPUTS!$B$15="yes",Z126,Y126)</f>
        <v>#DIV/0!</v>
      </c>
      <c r="AB126" s="536" t="e">
        <f t="shared" si="25"/>
        <v>#DIV/0!</v>
      </c>
      <c r="AC126" s="537" t="e">
        <f t="shared" si="26"/>
        <v>#DIV/0!</v>
      </c>
      <c r="AD126" s="538" t="e">
        <f>IF(INPUTS!$B$15="yes",AC126,AB126)</f>
        <v>#DIV/0!</v>
      </c>
      <c r="AE126" s="36" t="str">
        <f t="shared" si="27"/>
        <v>no</v>
      </c>
      <c r="AF126" s="36"/>
      <c r="AG126" s="389" t="e">
        <f>P126*('upper bound Kenaga'!$F$36/100)</f>
        <v>#DIV/0!</v>
      </c>
      <c r="AH126" s="36"/>
      <c r="AI126" s="389" t="e">
        <f>P126*('upper bound Kenaga'!$F$96/100)</f>
        <v>#DIV/0!</v>
      </c>
      <c r="AJ126" s="36"/>
      <c r="AK126" s="36"/>
      <c r="AL126" s="36"/>
      <c r="AM126" s="36"/>
      <c r="AN126" s="36"/>
      <c r="AO126" s="36"/>
    </row>
    <row r="127" spans="1:41" ht="13.5" thickBot="1">
      <c r="A127" s="925"/>
      <c r="B127" s="464" t="s">
        <v>31</v>
      </c>
      <c r="C127" s="465" t="s">
        <v>32</v>
      </c>
      <c r="D127" s="464" t="s">
        <v>33</v>
      </c>
      <c r="E127" s="465" t="s">
        <v>32</v>
      </c>
      <c r="F127" s="464" t="s">
        <v>33</v>
      </c>
      <c r="G127" s="466" t="s">
        <v>32</v>
      </c>
      <c r="J127" s="6">
        <f>COUNTIF(K$21:K127,"=yes")</f>
        <v>1</v>
      </c>
      <c r="K127" s="533" t="str">
        <f>IF(LOOKUP(VALUE(M127),INPUTS!$G$6:$G$35)=M127,"yes","no")</f>
        <v>no</v>
      </c>
      <c r="L127" s="533">
        <f>IF(K127="yes",(LOOKUP(J127,INPUTS!$E$6:$E$35,INPUTS!$F$6:$F$35)),0)</f>
        <v>0</v>
      </c>
      <c r="M127" s="135">
        <f t="shared" si="28"/>
        <v>106</v>
      </c>
      <c r="N127" s="135">
        <f t="shared" si="29"/>
        <v>1</v>
      </c>
      <c r="O127" s="135">
        <f t="shared" si="30"/>
        <v>0</v>
      </c>
      <c r="P127" s="536" t="e">
        <f t="shared" si="31"/>
        <v>#DIV/0!</v>
      </c>
      <c r="Q127" s="537" t="e">
        <f t="shared" si="18"/>
        <v>#DIV/0!</v>
      </c>
      <c r="R127" s="538" t="e">
        <f>IF(INPUTS!$B$15="yes",Q127,P127)</f>
        <v>#DIV/0!</v>
      </c>
      <c r="S127" s="536" t="e">
        <f t="shared" si="19"/>
        <v>#DIV/0!</v>
      </c>
      <c r="T127" s="537" t="e">
        <f t="shared" si="20"/>
        <v>#DIV/0!</v>
      </c>
      <c r="U127" s="538" t="e">
        <f>IF(INPUTS!$B$15="yes",T127,S127)</f>
        <v>#DIV/0!</v>
      </c>
      <c r="V127" s="536" t="e">
        <f t="shared" si="21"/>
        <v>#DIV/0!</v>
      </c>
      <c r="W127" s="537" t="e">
        <f t="shared" si="22"/>
        <v>#DIV/0!</v>
      </c>
      <c r="X127" s="538" t="e">
        <f>IF(INPUTS!$B$15="yes",W127,V127)</f>
        <v>#DIV/0!</v>
      </c>
      <c r="Y127" s="536" t="e">
        <f t="shared" si="23"/>
        <v>#DIV/0!</v>
      </c>
      <c r="Z127" s="537" t="e">
        <f t="shared" si="24"/>
        <v>#DIV/0!</v>
      </c>
      <c r="AA127" s="538" t="e">
        <f>IF(INPUTS!$B$15="yes",Z127,Y127)</f>
        <v>#DIV/0!</v>
      </c>
      <c r="AB127" s="536" t="e">
        <f t="shared" si="25"/>
        <v>#DIV/0!</v>
      </c>
      <c r="AC127" s="537" t="e">
        <f t="shared" si="26"/>
        <v>#DIV/0!</v>
      </c>
      <c r="AD127" s="538" t="e">
        <f>IF(INPUTS!$B$15="yes",AC127,AB127)</f>
        <v>#DIV/0!</v>
      </c>
      <c r="AE127" s="36" t="str">
        <f t="shared" si="27"/>
        <v>no</v>
      </c>
      <c r="AF127" s="36"/>
      <c r="AG127" s="389" t="e">
        <f>P127*('upper bound Kenaga'!$F$36/100)</f>
        <v>#DIV/0!</v>
      </c>
      <c r="AH127" s="36"/>
      <c r="AI127" s="389" t="e">
        <f>P127*('upper bound Kenaga'!$F$96/100)</f>
        <v>#DIV/0!</v>
      </c>
      <c r="AJ127" s="36"/>
      <c r="AK127" s="36"/>
      <c r="AL127" s="36"/>
      <c r="AM127" s="36"/>
      <c r="AN127" s="36"/>
      <c r="AO127" s="36"/>
    </row>
    <row r="128" spans="1:41" ht="12.75" customHeight="1" thickTop="1">
      <c r="A128" s="355" t="s">
        <v>13</v>
      </c>
      <c r="B128" s="467" t="e">
        <f>$B$115/$D$105</f>
        <v>#DIV/0!</v>
      </c>
      <c r="C128" s="468" t="e">
        <f>B115/$E$105</f>
        <v>#DIV/0!</v>
      </c>
      <c r="D128" s="467" t="e">
        <f>C115/$D$106</f>
        <v>#DIV/0!</v>
      </c>
      <c r="E128" s="468" t="e">
        <f>C115/E106</f>
        <v>#DIV/0!</v>
      </c>
      <c r="F128" s="467" t="e">
        <f>D115/$D$107</f>
        <v>#DIV/0!</v>
      </c>
      <c r="G128" s="469" t="e">
        <f>D115/E107</f>
        <v>#DIV/0!</v>
      </c>
      <c r="J128" s="6">
        <f>COUNTIF(K$21:K128,"=yes")</f>
        <v>1</v>
      </c>
      <c r="K128" s="533" t="str">
        <f>IF(LOOKUP(VALUE(M128),INPUTS!$G$6:$G$35)=M128,"yes","no")</f>
        <v>no</v>
      </c>
      <c r="L128" s="533">
        <f>IF(K128="yes",(LOOKUP(J128,INPUTS!$E$6:$E$35,INPUTS!$F$6:$F$35)),0)</f>
        <v>0</v>
      </c>
      <c r="M128" s="135">
        <f t="shared" si="28"/>
        <v>107</v>
      </c>
      <c r="N128" s="135">
        <f t="shared" si="29"/>
        <v>1</v>
      </c>
      <c r="O128" s="135">
        <f t="shared" si="30"/>
        <v>0</v>
      </c>
      <c r="P128" s="536" t="e">
        <f t="shared" si="31"/>
        <v>#DIV/0!</v>
      </c>
      <c r="Q128" s="537" t="e">
        <f t="shared" si="18"/>
        <v>#DIV/0!</v>
      </c>
      <c r="R128" s="538" t="e">
        <f>IF(INPUTS!$B$15="yes",Q128,P128)</f>
        <v>#DIV/0!</v>
      </c>
      <c r="S128" s="536" t="e">
        <f t="shared" si="19"/>
        <v>#DIV/0!</v>
      </c>
      <c r="T128" s="537" t="e">
        <f t="shared" si="20"/>
        <v>#DIV/0!</v>
      </c>
      <c r="U128" s="538" t="e">
        <f>IF(INPUTS!$B$15="yes",T128,S128)</f>
        <v>#DIV/0!</v>
      </c>
      <c r="V128" s="536" t="e">
        <f t="shared" si="21"/>
        <v>#DIV/0!</v>
      </c>
      <c r="W128" s="537" t="e">
        <f t="shared" si="22"/>
        <v>#DIV/0!</v>
      </c>
      <c r="X128" s="538" t="e">
        <f>IF(INPUTS!$B$15="yes",W128,V128)</f>
        <v>#DIV/0!</v>
      </c>
      <c r="Y128" s="536" t="e">
        <f t="shared" si="23"/>
        <v>#DIV/0!</v>
      </c>
      <c r="Z128" s="537" t="e">
        <f t="shared" si="24"/>
        <v>#DIV/0!</v>
      </c>
      <c r="AA128" s="538" t="e">
        <f>IF(INPUTS!$B$15="yes",Z128,Y128)</f>
        <v>#DIV/0!</v>
      </c>
      <c r="AB128" s="536" t="e">
        <f t="shared" si="25"/>
        <v>#DIV/0!</v>
      </c>
      <c r="AC128" s="537" t="e">
        <f t="shared" si="26"/>
        <v>#DIV/0!</v>
      </c>
      <c r="AD128" s="538" t="e">
        <f>IF(INPUTS!$B$15="yes",AC128,AB128)</f>
        <v>#DIV/0!</v>
      </c>
      <c r="AE128" s="36" t="str">
        <f t="shared" si="27"/>
        <v>no</v>
      </c>
      <c r="AF128" s="36"/>
      <c r="AG128" s="389" t="e">
        <f>P128*('upper bound Kenaga'!$F$36/100)</f>
        <v>#DIV/0!</v>
      </c>
      <c r="AH128" s="36"/>
      <c r="AI128" s="389" t="e">
        <f>P128*('upper bound Kenaga'!$F$96/100)</f>
        <v>#DIV/0!</v>
      </c>
      <c r="AJ128" s="36"/>
      <c r="AK128" s="36"/>
      <c r="AL128" s="36"/>
      <c r="AM128" s="36"/>
      <c r="AN128" s="36"/>
      <c r="AO128" s="36"/>
    </row>
    <row r="129" spans="1:41">
      <c r="A129" s="356" t="s">
        <v>23</v>
      </c>
      <c r="B129" s="467" t="e">
        <f>$B$116/$D$105</f>
        <v>#DIV/0!</v>
      </c>
      <c r="C129" s="324" t="e">
        <f>B116/E105</f>
        <v>#DIV/0!</v>
      </c>
      <c r="D129" s="467" t="e">
        <f>C116/$D$106</f>
        <v>#DIV/0!</v>
      </c>
      <c r="E129" s="324" t="e">
        <f>C116/E106</f>
        <v>#DIV/0!</v>
      </c>
      <c r="F129" s="467" t="e">
        <f>D116/$D$107</f>
        <v>#DIV/0!</v>
      </c>
      <c r="G129" s="295" t="e">
        <f>D116/E107</f>
        <v>#DIV/0!</v>
      </c>
      <c r="J129" s="6">
        <f>COUNTIF(K$21:K129,"=yes")</f>
        <v>1</v>
      </c>
      <c r="K129" s="533" t="str">
        <f>IF(LOOKUP(VALUE(M129),INPUTS!$G$6:$G$35)=M129,"yes","no")</f>
        <v>no</v>
      </c>
      <c r="L129" s="533">
        <f>IF(K129="yes",(LOOKUP(J129,INPUTS!$E$6:$E$35,INPUTS!$F$6:$F$35)),0)</f>
        <v>0</v>
      </c>
      <c r="M129" s="135">
        <f t="shared" si="28"/>
        <v>108</v>
      </c>
      <c r="N129" s="135">
        <f t="shared" si="29"/>
        <v>1</v>
      </c>
      <c r="O129" s="135">
        <f t="shared" si="30"/>
        <v>0</v>
      </c>
      <c r="P129" s="536" t="e">
        <f t="shared" si="31"/>
        <v>#DIV/0!</v>
      </c>
      <c r="Q129" s="537" t="e">
        <f t="shared" si="18"/>
        <v>#DIV/0!</v>
      </c>
      <c r="R129" s="538" t="e">
        <f>IF(INPUTS!$B$15="yes",Q129,P129)</f>
        <v>#DIV/0!</v>
      </c>
      <c r="S129" s="536" t="e">
        <f t="shared" si="19"/>
        <v>#DIV/0!</v>
      </c>
      <c r="T129" s="537" t="e">
        <f t="shared" si="20"/>
        <v>#DIV/0!</v>
      </c>
      <c r="U129" s="538" t="e">
        <f>IF(INPUTS!$B$15="yes",T129,S129)</f>
        <v>#DIV/0!</v>
      </c>
      <c r="V129" s="536" t="e">
        <f t="shared" si="21"/>
        <v>#DIV/0!</v>
      </c>
      <c r="W129" s="537" t="e">
        <f t="shared" si="22"/>
        <v>#DIV/0!</v>
      </c>
      <c r="X129" s="538" t="e">
        <f>IF(INPUTS!$B$15="yes",W129,V129)</f>
        <v>#DIV/0!</v>
      </c>
      <c r="Y129" s="536" t="e">
        <f t="shared" si="23"/>
        <v>#DIV/0!</v>
      </c>
      <c r="Z129" s="537" t="e">
        <f t="shared" si="24"/>
        <v>#DIV/0!</v>
      </c>
      <c r="AA129" s="538" t="e">
        <f>IF(INPUTS!$B$15="yes",Z129,Y129)</f>
        <v>#DIV/0!</v>
      </c>
      <c r="AB129" s="536" t="e">
        <f t="shared" si="25"/>
        <v>#DIV/0!</v>
      </c>
      <c r="AC129" s="537" t="e">
        <f t="shared" si="26"/>
        <v>#DIV/0!</v>
      </c>
      <c r="AD129" s="538" t="e">
        <f>IF(INPUTS!$B$15="yes",AC129,AB129)</f>
        <v>#DIV/0!</v>
      </c>
      <c r="AE129" s="36" t="str">
        <f t="shared" si="27"/>
        <v>no</v>
      </c>
      <c r="AF129" s="36"/>
      <c r="AG129" s="389" t="e">
        <f>P129*('upper bound Kenaga'!$F$36/100)</f>
        <v>#DIV/0!</v>
      </c>
      <c r="AH129" s="36"/>
      <c r="AI129" s="389" t="e">
        <f>P129*('upper bound Kenaga'!$F$96/100)</f>
        <v>#DIV/0!</v>
      </c>
      <c r="AJ129" s="36"/>
      <c r="AK129" s="36"/>
      <c r="AL129" s="36"/>
      <c r="AM129" s="36"/>
      <c r="AN129" s="36"/>
      <c r="AO129" s="36"/>
    </row>
    <row r="130" spans="1:41">
      <c r="A130" s="563" t="s">
        <v>415</v>
      </c>
      <c r="B130" s="467" t="e">
        <f>$B$117/$D$105</f>
        <v>#DIV/0!</v>
      </c>
      <c r="C130" s="324" t="e">
        <f>B117/E105</f>
        <v>#DIV/0!</v>
      </c>
      <c r="D130" s="467" t="e">
        <f>C117/$D$106</f>
        <v>#DIV/0!</v>
      </c>
      <c r="E130" s="324" t="e">
        <f>C117/E106</f>
        <v>#DIV/0!</v>
      </c>
      <c r="F130" s="467" t="e">
        <f>D117/$D$107</f>
        <v>#DIV/0!</v>
      </c>
      <c r="G130" s="295" t="e">
        <f>D117/E107</f>
        <v>#DIV/0!</v>
      </c>
      <c r="J130" s="6">
        <f>COUNTIF(K$21:K130,"=yes")</f>
        <v>1</v>
      </c>
      <c r="K130" s="533" t="str">
        <f>IF(LOOKUP(VALUE(M130),INPUTS!$G$6:$G$35)=M130,"yes","no")</f>
        <v>no</v>
      </c>
      <c r="L130" s="533">
        <f>IF(K130="yes",(LOOKUP(J130,INPUTS!$E$6:$E$35,INPUTS!$F$6:$F$35)),0)</f>
        <v>0</v>
      </c>
      <c r="M130" s="135">
        <f t="shared" si="28"/>
        <v>109</v>
      </c>
      <c r="N130" s="135">
        <f t="shared" si="29"/>
        <v>1</v>
      </c>
      <c r="O130" s="135">
        <f t="shared" si="30"/>
        <v>0</v>
      </c>
      <c r="P130" s="536" t="e">
        <f t="shared" si="31"/>
        <v>#DIV/0!</v>
      </c>
      <c r="Q130" s="537" t="e">
        <f t="shared" si="18"/>
        <v>#DIV/0!</v>
      </c>
      <c r="R130" s="538" t="e">
        <f>IF(INPUTS!$B$15="yes",Q130,P130)</f>
        <v>#DIV/0!</v>
      </c>
      <c r="S130" s="536" t="e">
        <f t="shared" si="19"/>
        <v>#DIV/0!</v>
      </c>
      <c r="T130" s="537" t="e">
        <f t="shared" si="20"/>
        <v>#DIV/0!</v>
      </c>
      <c r="U130" s="538" t="e">
        <f>IF(INPUTS!$B$15="yes",T130,S130)</f>
        <v>#DIV/0!</v>
      </c>
      <c r="V130" s="536" t="e">
        <f t="shared" si="21"/>
        <v>#DIV/0!</v>
      </c>
      <c r="W130" s="537" t="e">
        <f t="shared" si="22"/>
        <v>#DIV/0!</v>
      </c>
      <c r="X130" s="538" t="e">
        <f>IF(INPUTS!$B$15="yes",W130,V130)</f>
        <v>#DIV/0!</v>
      </c>
      <c r="Y130" s="536" t="e">
        <f t="shared" si="23"/>
        <v>#DIV/0!</v>
      </c>
      <c r="Z130" s="537" t="e">
        <f t="shared" si="24"/>
        <v>#DIV/0!</v>
      </c>
      <c r="AA130" s="538" t="e">
        <f>IF(INPUTS!$B$15="yes",Z130,Y130)</f>
        <v>#DIV/0!</v>
      </c>
      <c r="AB130" s="536" t="e">
        <f t="shared" si="25"/>
        <v>#DIV/0!</v>
      </c>
      <c r="AC130" s="537" t="e">
        <f t="shared" si="26"/>
        <v>#DIV/0!</v>
      </c>
      <c r="AD130" s="538" t="e">
        <f>IF(INPUTS!$B$15="yes",AC130,AB130)</f>
        <v>#DIV/0!</v>
      </c>
      <c r="AE130" s="36" t="str">
        <f t="shared" si="27"/>
        <v>no</v>
      </c>
      <c r="AF130" s="36"/>
      <c r="AG130" s="389" t="e">
        <f>P130*('upper bound Kenaga'!$F$36/100)</f>
        <v>#DIV/0!</v>
      </c>
      <c r="AH130" s="36"/>
      <c r="AI130" s="389" t="e">
        <f>P130*('upper bound Kenaga'!$F$96/100)</f>
        <v>#DIV/0!</v>
      </c>
      <c r="AJ130" s="36"/>
      <c r="AK130" s="36"/>
      <c r="AL130" s="36"/>
      <c r="AM130" s="36"/>
      <c r="AN130" s="36"/>
      <c r="AO130" s="36"/>
    </row>
    <row r="131" spans="1:41">
      <c r="A131" s="357" t="s">
        <v>417</v>
      </c>
      <c r="B131" s="467" t="e">
        <f>$B$118/$D$105</f>
        <v>#DIV/0!</v>
      </c>
      <c r="C131" s="324" t="e">
        <f>B118/E105</f>
        <v>#DIV/0!</v>
      </c>
      <c r="D131" s="467" t="e">
        <f>C118/$D$106</f>
        <v>#DIV/0!</v>
      </c>
      <c r="E131" s="324" t="e">
        <f>C118/E106</f>
        <v>#DIV/0!</v>
      </c>
      <c r="F131" s="467" t="e">
        <f>D118/$D$107</f>
        <v>#DIV/0!</v>
      </c>
      <c r="G131" s="295" t="e">
        <f>D118/E107</f>
        <v>#DIV/0!</v>
      </c>
      <c r="J131" s="6">
        <f>COUNTIF(K$21:K131,"=yes")</f>
        <v>1</v>
      </c>
      <c r="K131" s="533" t="str">
        <f>IF(LOOKUP(VALUE(M131),INPUTS!$G$6:$G$35)=M131,"yes","no")</f>
        <v>no</v>
      </c>
      <c r="L131" s="533">
        <f>IF(K131="yes",(LOOKUP(J131,INPUTS!$E$6:$E$35,INPUTS!$F$6:$F$35)),0)</f>
        <v>0</v>
      </c>
      <c r="M131" s="135">
        <f t="shared" si="28"/>
        <v>110</v>
      </c>
      <c r="N131" s="135">
        <f t="shared" si="29"/>
        <v>1</v>
      </c>
      <c r="O131" s="135">
        <f t="shared" si="30"/>
        <v>0</v>
      </c>
      <c r="P131" s="536" t="e">
        <f t="shared" si="31"/>
        <v>#DIV/0!</v>
      </c>
      <c r="Q131" s="537" t="e">
        <f t="shared" si="18"/>
        <v>#DIV/0!</v>
      </c>
      <c r="R131" s="538" t="e">
        <f>IF(INPUTS!$B$15="yes",Q131,P131)</f>
        <v>#DIV/0!</v>
      </c>
      <c r="S131" s="536" t="e">
        <f t="shared" si="19"/>
        <v>#DIV/0!</v>
      </c>
      <c r="T131" s="537" t="e">
        <f t="shared" si="20"/>
        <v>#DIV/0!</v>
      </c>
      <c r="U131" s="538" t="e">
        <f>IF(INPUTS!$B$15="yes",T131,S131)</f>
        <v>#DIV/0!</v>
      </c>
      <c r="V131" s="536" t="e">
        <f t="shared" si="21"/>
        <v>#DIV/0!</v>
      </c>
      <c r="W131" s="537" t="e">
        <f t="shared" si="22"/>
        <v>#DIV/0!</v>
      </c>
      <c r="X131" s="538" t="e">
        <f>IF(INPUTS!$B$15="yes",W131,V131)</f>
        <v>#DIV/0!</v>
      </c>
      <c r="Y131" s="536" t="e">
        <f t="shared" si="23"/>
        <v>#DIV/0!</v>
      </c>
      <c r="Z131" s="537" t="e">
        <f t="shared" si="24"/>
        <v>#DIV/0!</v>
      </c>
      <c r="AA131" s="538" t="e">
        <f>IF(INPUTS!$B$15="yes",Z131,Y131)</f>
        <v>#DIV/0!</v>
      </c>
      <c r="AB131" s="536" t="e">
        <f t="shared" si="25"/>
        <v>#DIV/0!</v>
      </c>
      <c r="AC131" s="537" t="e">
        <f t="shared" si="26"/>
        <v>#DIV/0!</v>
      </c>
      <c r="AD131" s="538" t="e">
        <f>IF(INPUTS!$B$15="yes",AC131,AB131)</f>
        <v>#DIV/0!</v>
      </c>
      <c r="AE131" s="36" t="str">
        <f t="shared" si="27"/>
        <v>no</v>
      </c>
      <c r="AF131" s="36"/>
      <c r="AG131" s="389" t="e">
        <f>P131*('upper bound Kenaga'!$F$36/100)</f>
        <v>#DIV/0!</v>
      </c>
      <c r="AH131" s="36"/>
      <c r="AI131" s="389" t="e">
        <f>P131*('upper bound Kenaga'!$F$96/100)</f>
        <v>#DIV/0!</v>
      </c>
      <c r="AJ131" s="36"/>
      <c r="AK131" s="36"/>
      <c r="AL131" s="36"/>
      <c r="AM131" s="36"/>
      <c r="AN131" s="36"/>
      <c r="AO131" s="36"/>
    </row>
    <row r="132" spans="1:41">
      <c r="A132" s="26" t="s">
        <v>414</v>
      </c>
      <c r="B132" s="591" t="e">
        <f>$B$119/$D$105</f>
        <v>#DIV/0!</v>
      </c>
      <c r="C132" s="591" t="e">
        <f>B119/E105</f>
        <v>#DIV/0!</v>
      </c>
      <c r="D132" s="591" t="e">
        <f>C119/$D$106</f>
        <v>#DIV/0!</v>
      </c>
      <c r="E132" s="591" t="e">
        <f>C119/E106</f>
        <v>#DIV/0!</v>
      </c>
      <c r="F132" s="591" t="e">
        <f>D119/$D$107</f>
        <v>#DIV/0!</v>
      </c>
      <c r="G132" s="595" t="e">
        <f>D119/E107</f>
        <v>#DIV/0!</v>
      </c>
      <c r="J132" s="6">
        <f>COUNTIF(K$21:K132,"=yes")</f>
        <v>1</v>
      </c>
      <c r="K132" s="533" t="str">
        <f>IF(LOOKUP(VALUE(M132),INPUTS!$G$6:$G$35)=M132,"yes","no")</f>
        <v>no</v>
      </c>
      <c r="L132" s="533">
        <f>IF(K132="yes",(LOOKUP(J132,INPUTS!$E$6:$E$35,INPUTS!$F$6:$F$35)),0)</f>
        <v>0</v>
      </c>
      <c r="M132" s="135">
        <f t="shared" si="28"/>
        <v>111</v>
      </c>
      <c r="N132" s="135">
        <f t="shared" si="29"/>
        <v>1</v>
      </c>
      <c r="O132" s="135">
        <f t="shared" si="30"/>
        <v>0</v>
      </c>
      <c r="P132" s="536" t="e">
        <f t="shared" si="31"/>
        <v>#DIV/0!</v>
      </c>
      <c r="Q132" s="537" t="e">
        <f t="shared" si="18"/>
        <v>#DIV/0!</v>
      </c>
      <c r="R132" s="538" t="e">
        <f>IF(INPUTS!$B$15="yes",Q132,P132)</f>
        <v>#DIV/0!</v>
      </c>
      <c r="S132" s="536" t="e">
        <f t="shared" si="19"/>
        <v>#DIV/0!</v>
      </c>
      <c r="T132" s="537" t="e">
        <f t="shared" si="20"/>
        <v>#DIV/0!</v>
      </c>
      <c r="U132" s="538" t="e">
        <f>IF(INPUTS!$B$15="yes",T132,S132)</f>
        <v>#DIV/0!</v>
      </c>
      <c r="V132" s="536" t="e">
        <f t="shared" si="21"/>
        <v>#DIV/0!</v>
      </c>
      <c r="W132" s="537" t="e">
        <f t="shared" si="22"/>
        <v>#DIV/0!</v>
      </c>
      <c r="X132" s="538" t="e">
        <f>IF(INPUTS!$B$15="yes",W132,V132)</f>
        <v>#DIV/0!</v>
      </c>
      <c r="Y132" s="536" t="e">
        <f t="shared" si="23"/>
        <v>#DIV/0!</v>
      </c>
      <c r="Z132" s="537" t="e">
        <f t="shared" si="24"/>
        <v>#DIV/0!</v>
      </c>
      <c r="AA132" s="538" t="e">
        <f>IF(INPUTS!$B$15="yes",Z132,Y132)</f>
        <v>#DIV/0!</v>
      </c>
      <c r="AB132" s="536" t="e">
        <f t="shared" si="25"/>
        <v>#DIV/0!</v>
      </c>
      <c r="AC132" s="537" t="e">
        <f t="shared" si="26"/>
        <v>#DIV/0!</v>
      </c>
      <c r="AD132" s="538" t="e">
        <f>IF(INPUTS!$B$15="yes",AC132,AB132)</f>
        <v>#DIV/0!</v>
      </c>
      <c r="AE132" s="36" t="str">
        <f t="shared" si="27"/>
        <v>no</v>
      </c>
      <c r="AF132" s="36"/>
      <c r="AG132" s="389" t="e">
        <f>P132*('upper bound Kenaga'!$F$36/100)</f>
        <v>#DIV/0!</v>
      </c>
      <c r="AH132" s="36"/>
      <c r="AI132" s="389" t="e">
        <f>P132*('upper bound Kenaga'!$F$96/100)</f>
        <v>#DIV/0!</v>
      </c>
      <c r="AJ132" s="36"/>
      <c r="AK132" s="36"/>
      <c r="AL132" s="36"/>
      <c r="AM132" s="36"/>
      <c r="AN132" s="36"/>
      <c r="AO132" s="36"/>
    </row>
    <row r="133" spans="1:41" ht="13.5" thickBot="1">
      <c r="A133" s="358" t="s">
        <v>418</v>
      </c>
      <c r="B133" s="456" t="e">
        <f>$B$120/$D$108</f>
        <v>#DIV/0!</v>
      </c>
      <c r="C133" s="325" t="e">
        <f>B120/E108</f>
        <v>#DIV/0!</v>
      </c>
      <c r="D133" s="456" t="e">
        <f>C120/$D$109</f>
        <v>#DIV/0!</v>
      </c>
      <c r="E133" s="325" t="e">
        <f>C120/E109</f>
        <v>#DIV/0!</v>
      </c>
      <c r="F133" s="470" t="e">
        <f>D120/$D$110</f>
        <v>#DIV/0!</v>
      </c>
      <c r="G133" s="397" t="e">
        <f>D120/E110</f>
        <v>#DIV/0!</v>
      </c>
      <c r="J133" s="6">
        <f>COUNTIF(K$21:K133,"=yes")</f>
        <v>1</v>
      </c>
      <c r="K133" s="533" t="str">
        <f>IF(LOOKUP(VALUE(M133),INPUTS!$G$6:$G$35)=M133,"yes","no")</f>
        <v>no</v>
      </c>
      <c r="L133" s="533">
        <f>IF(K133="yes",(LOOKUP(J133,INPUTS!$E$6:$E$35,INPUTS!$F$6:$F$35)),0)</f>
        <v>0</v>
      </c>
      <c r="M133" s="135">
        <f t="shared" si="28"/>
        <v>112</v>
      </c>
      <c r="N133" s="135">
        <f t="shared" si="29"/>
        <v>1</v>
      </c>
      <c r="O133" s="135">
        <f t="shared" si="30"/>
        <v>0</v>
      </c>
      <c r="P133" s="536" t="e">
        <f t="shared" si="31"/>
        <v>#DIV/0!</v>
      </c>
      <c r="Q133" s="537" t="e">
        <f t="shared" si="18"/>
        <v>#DIV/0!</v>
      </c>
      <c r="R133" s="538" t="e">
        <f>IF(INPUTS!$B$15="yes",Q133,P133)</f>
        <v>#DIV/0!</v>
      </c>
      <c r="S133" s="536" t="e">
        <f t="shared" si="19"/>
        <v>#DIV/0!</v>
      </c>
      <c r="T133" s="537" t="e">
        <f t="shared" si="20"/>
        <v>#DIV/0!</v>
      </c>
      <c r="U133" s="538" t="e">
        <f>IF(INPUTS!$B$15="yes",T133,S133)</f>
        <v>#DIV/0!</v>
      </c>
      <c r="V133" s="536" t="e">
        <f t="shared" si="21"/>
        <v>#DIV/0!</v>
      </c>
      <c r="W133" s="537" t="e">
        <f t="shared" si="22"/>
        <v>#DIV/0!</v>
      </c>
      <c r="X133" s="538" t="e">
        <f>IF(INPUTS!$B$15="yes",W133,V133)</f>
        <v>#DIV/0!</v>
      </c>
      <c r="Y133" s="536" t="e">
        <f t="shared" si="23"/>
        <v>#DIV/0!</v>
      </c>
      <c r="Z133" s="537" t="e">
        <f t="shared" si="24"/>
        <v>#DIV/0!</v>
      </c>
      <c r="AA133" s="538" t="e">
        <f>IF(INPUTS!$B$15="yes",Z133,Y133)</f>
        <v>#DIV/0!</v>
      </c>
      <c r="AB133" s="536" t="e">
        <f t="shared" si="25"/>
        <v>#DIV/0!</v>
      </c>
      <c r="AC133" s="537" t="e">
        <f t="shared" si="26"/>
        <v>#DIV/0!</v>
      </c>
      <c r="AD133" s="538" t="e">
        <f>IF(INPUTS!$B$15="yes",AC133,AB133)</f>
        <v>#DIV/0!</v>
      </c>
      <c r="AE133" s="36" t="str">
        <f t="shared" si="27"/>
        <v>no</v>
      </c>
      <c r="AF133" s="36"/>
      <c r="AG133" s="389" t="e">
        <f>P133*('upper bound Kenaga'!$F$36/100)</f>
        <v>#DIV/0!</v>
      </c>
      <c r="AH133" s="36"/>
      <c r="AI133" s="389" t="e">
        <f>P133*('upper bound Kenaga'!$F$96/100)</f>
        <v>#DIV/0!</v>
      </c>
      <c r="AJ133" s="36"/>
      <c r="AK133" s="36"/>
      <c r="AL133" s="36"/>
      <c r="AM133" s="36"/>
      <c r="AN133" s="36"/>
      <c r="AO133" s="36"/>
    </row>
    <row r="134" spans="1:41">
      <c r="J134" s="6">
        <f>COUNTIF(K$21:K134,"=yes")</f>
        <v>1</v>
      </c>
      <c r="K134" s="533" t="str">
        <f>IF(LOOKUP(VALUE(M134),INPUTS!$G$6:$G$35)=M134,"yes","no")</f>
        <v>no</v>
      </c>
      <c r="L134" s="533">
        <f>IF(K134="yes",(LOOKUP(J134,INPUTS!$E$6:$E$35,INPUTS!$F$6:$F$35)),0)</f>
        <v>0</v>
      </c>
      <c r="M134" s="135">
        <f t="shared" si="28"/>
        <v>113</v>
      </c>
      <c r="N134" s="135">
        <f t="shared" si="29"/>
        <v>1</v>
      </c>
      <c r="O134" s="135">
        <f t="shared" si="30"/>
        <v>0</v>
      </c>
      <c r="P134" s="536" t="e">
        <f t="shared" si="31"/>
        <v>#DIV/0!</v>
      </c>
      <c r="Q134" s="537" t="e">
        <f t="shared" si="18"/>
        <v>#DIV/0!</v>
      </c>
      <c r="R134" s="538" t="e">
        <f>IF(INPUTS!$B$15="yes",Q134,P134)</f>
        <v>#DIV/0!</v>
      </c>
      <c r="S134" s="536" t="e">
        <f t="shared" si="19"/>
        <v>#DIV/0!</v>
      </c>
      <c r="T134" s="537" t="e">
        <f t="shared" si="20"/>
        <v>#DIV/0!</v>
      </c>
      <c r="U134" s="538" t="e">
        <f>IF(INPUTS!$B$15="yes",T134,S134)</f>
        <v>#DIV/0!</v>
      </c>
      <c r="V134" s="536" t="e">
        <f t="shared" si="21"/>
        <v>#DIV/0!</v>
      </c>
      <c r="W134" s="537" t="e">
        <f t="shared" si="22"/>
        <v>#DIV/0!</v>
      </c>
      <c r="X134" s="538" t="e">
        <f>IF(INPUTS!$B$15="yes",W134,V134)</f>
        <v>#DIV/0!</v>
      </c>
      <c r="Y134" s="536" t="e">
        <f t="shared" si="23"/>
        <v>#DIV/0!</v>
      </c>
      <c r="Z134" s="537" t="e">
        <f t="shared" si="24"/>
        <v>#DIV/0!</v>
      </c>
      <c r="AA134" s="538" t="e">
        <f>IF(INPUTS!$B$15="yes",Z134,Y134)</f>
        <v>#DIV/0!</v>
      </c>
      <c r="AB134" s="536" t="e">
        <f t="shared" si="25"/>
        <v>#DIV/0!</v>
      </c>
      <c r="AC134" s="537" t="e">
        <f t="shared" si="26"/>
        <v>#DIV/0!</v>
      </c>
      <c r="AD134" s="538" t="e">
        <f>IF(INPUTS!$B$15="yes",AC134,AB134)</f>
        <v>#DIV/0!</v>
      </c>
      <c r="AE134" s="36" t="str">
        <f t="shared" si="27"/>
        <v>no</v>
      </c>
      <c r="AF134" s="36"/>
      <c r="AG134" s="389" t="e">
        <f>P134*('upper bound Kenaga'!$F$36/100)</f>
        <v>#DIV/0!</v>
      </c>
      <c r="AH134" s="36"/>
      <c r="AI134" s="389" t="e">
        <f>P134*('upper bound Kenaga'!$F$96/100)</f>
        <v>#DIV/0!</v>
      </c>
      <c r="AJ134" s="36"/>
      <c r="AK134" s="36"/>
      <c r="AL134" s="36"/>
      <c r="AM134" s="36"/>
      <c r="AN134" s="36"/>
      <c r="AO134" s="36"/>
    </row>
    <row r="135" spans="1:41">
      <c r="J135" s="6">
        <f>COUNTIF(K$21:K135,"=yes")</f>
        <v>1</v>
      </c>
      <c r="K135" s="533" t="str">
        <f>IF(LOOKUP(VALUE(M135),INPUTS!$G$6:$G$35)=M135,"yes","no")</f>
        <v>no</v>
      </c>
      <c r="L135" s="533">
        <f>IF(K135="yes",(LOOKUP(J135,INPUTS!$E$6:$E$35,INPUTS!$F$6:$F$35)),0)</f>
        <v>0</v>
      </c>
      <c r="M135" s="135">
        <f t="shared" si="28"/>
        <v>114</v>
      </c>
      <c r="N135" s="135">
        <f t="shared" si="29"/>
        <v>1</v>
      </c>
      <c r="O135" s="135">
        <f t="shared" si="30"/>
        <v>0</v>
      </c>
      <c r="P135" s="536" t="e">
        <f t="shared" si="31"/>
        <v>#DIV/0!</v>
      </c>
      <c r="Q135" s="537" t="e">
        <f t="shared" si="18"/>
        <v>#DIV/0!</v>
      </c>
      <c r="R135" s="538" t="e">
        <f>IF(INPUTS!$B$15="yes",Q135,P135)</f>
        <v>#DIV/0!</v>
      </c>
      <c r="S135" s="536" t="e">
        <f t="shared" si="19"/>
        <v>#DIV/0!</v>
      </c>
      <c r="T135" s="537" t="e">
        <f t="shared" si="20"/>
        <v>#DIV/0!</v>
      </c>
      <c r="U135" s="538" t="e">
        <f>IF(INPUTS!$B$15="yes",T135,S135)</f>
        <v>#DIV/0!</v>
      </c>
      <c r="V135" s="536" t="e">
        <f t="shared" si="21"/>
        <v>#DIV/0!</v>
      </c>
      <c r="W135" s="537" t="e">
        <f t="shared" si="22"/>
        <v>#DIV/0!</v>
      </c>
      <c r="X135" s="538" t="e">
        <f>IF(INPUTS!$B$15="yes",W135,V135)</f>
        <v>#DIV/0!</v>
      </c>
      <c r="Y135" s="536" t="e">
        <f t="shared" si="23"/>
        <v>#DIV/0!</v>
      </c>
      <c r="Z135" s="537" t="e">
        <f t="shared" si="24"/>
        <v>#DIV/0!</v>
      </c>
      <c r="AA135" s="538" t="e">
        <f>IF(INPUTS!$B$15="yes",Z135,Y135)</f>
        <v>#DIV/0!</v>
      </c>
      <c r="AB135" s="536" t="e">
        <f t="shared" si="25"/>
        <v>#DIV/0!</v>
      </c>
      <c r="AC135" s="537" t="e">
        <f t="shared" si="26"/>
        <v>#DIV/0!</v>
      </c>
      <c r="AD135" s="538" t="e">
        <f>IF(INPUTS!$B$15="yes",AC135,AB135)</f>
        <v>#DIV/0!</v>
      </c>
      <c r="AE135" s="36" t="str">
        <f t="shared" si="27"/>
        <v>no</v>
      </c>
      <c r="AF135" s="36"/>
      <c r="AG135" s="389" t="e">
        <f>P135*('upper bound Kenaga'!$F$36/100)</f>
        <v>#DIV/0!</v>
      </c>
      <c r="AH135" s="36"/>
      <c r="AI135" s="389" t="e">
        <f>P135*('upper bound Kenaga'!$F$96/100)</f>
        <v>#DIV/0!</v>
      </c>
      <c r="AJ135" s="36"/>
      <c r="AK135" s="36"/>
      <c r="AL135" s="36"/>
      <c r="AM135" s="36"/>
      <c r="AN135" s="36"/>
      <c r="AO135" s="36"/>
    </row>
    <row r="136" spans="1:41" ht="13.5" thickBot="1">
      <c r="A136" s="147"/>
      <c r="B136" s="147"/>
      <c r="C136" s="147"/>
      <c r="D136" s="340"/>
      <c r="E136" s="147"/>
      <c r="F136" s="147"/>
      <c r="G136" s="147"/>
      <c r="J136" s="6">
        <f>COUNTIF(K$21:K136,"=yes")</f>
        <v>1</v>
      </c>
      <c r="K136" s="533" t="str">
        <f>IF(LOOKUP(VALUE(M136),INPUTS!$G$6:$G$35)=M136,"yes","no")</f>
        <v>no</v>
      </c>
      <c r="L136" s="533">
        <f>IF(K136="yes",(LOOKUP(J136,INPUTS!$E$6:$E$35,INPUTS!$F$6:$F$35)),0)</f>
        <v>0</v>
      </c>
      <c r="M136" s="135">
        <f t="shared" si="28"/>
        <v>115</v>
      </c>
      <c r="N136" s="135">
        <f t="shared" si="29"/>
        <v>1</v>
      </c>
      <c r="O136" s="135">
        <f t="shared" si="30"/>
        <v>0</v>
      </c>
      <c r="P136" s="536" t="e">
        <f t="shared" si="31"/>
        <v>#DIV/0!</v>
      </c>
      <c r="Q136" s="537" t="e">
        <f t="shared" si="18"/>
        <v>#DIV/0!</v>
      </c>
      <c r="R136" s="538" t="e">
        <f>IF(INPUTS!$B$15="yes",Q136,P136)</f>
        <v>#DIV/0!</v>
      </c>
      <c r="S136" s="536" t="e">
        <f t="shared" si="19"/>
        <v>#DIV/0!</v>
      </c>
      <c r="T136" s="537" t="e">
        <f t="shared" si="20"/>
        <v>#DIV/0!</v>
      </c>
      <c r="U136" s="538" t="e">
        <f>IF(INPUTS!$B$15="yes",T136,S136)</f>
        <v>#DIV/0!</v>
      </c>
      <c r="V136" s="536" t="e">
        <f t="shared" si="21"/>
        <v>#DIV/0!</v>
      </c>
      <c r="W136" s="537" t="e">
        <f t="shared" si="22"/>
        <v>#DIV/0!</v>
      </c>
      <c r="X136" s="538" t="e">
        <f>IF(INPUTS!$B$15="yes",W136,V136)</f>
        <v>#DIV/0!</v>
      </c>
      <c r="Y136" s="536" t="e">
        <f t="shared" si="23"/>
        <v>#DIV/0!</v>
      </c>
      <c r="Z136" s="537" t="e">
        <f t="shared" si="24"/>
        <v>#DIV/0!</v>
      </c>
      <c r="AA136" s="538" t="e">
        <f>IF(INPUTS!$B$15="yes",Z136,Y136)</f>
        <v>#DIV/0!</v>
      </c>
      <c r="AB136" s="536" t="e">
        <f t="shared" si="25"/>
        <v>#DIV/0!</v>
      </c>
      <c r="AC136" s="537" t="e">
        <f t="shared" si="26"/>
        <v>#DIV/0!</v>
      </c>
      <c r="AD136" s="538" t="e">
        <f>IF(INPUTS!$B$15="yes",AC136,AB136)</f>
        <v>#DIV/0!</v>
      </c>
      <c r="AE136" s="36" t="str">
        <f t="shared" si="27"/>
        <v>no</v>
      </c>
      <c r="AF136" s="36"/>
      <c r="AG136" s="389" t="e">
        <f>P136*('upper bound Kenaga'!$F$36/100)</f>
        <v>#DIV/0!</v>
      </c>
      <c r="AH136" s="36"/>
      <c r="AI136" s="389" t="e">
        <f>P136*('upper bound Kenaga'!$F$96/100)</f>
        <v>#DIV/0!</v>
      </c>
      <c r="AJ136" s="36"/>
      <c r="AK136" s="36"/>
      <c r="AL136" s="36"/>
      <c r="AM136" s="36"/>
      <c r="AN136" s="36"/>
      <c r="AO136" s="36"/>
    </row>
    <row r="137" spans="1:41">
      <c r="A137" s="916" t="s">
        <v>277</v>
      </c>
      <c r="B137" s="919" t="s">
        <v>145</v>
      </c>
      <c r="C137" s="920"/>
      <c r="D137" s="921"/>
      <c r="E137" s="922"/>
      <c r="F137" s="921"/>
      <c r="G137" s="922"/>
      <c r="J137" s="6">
        <f>COUNTIF(K$21:K137,"=yes")</f>
        <v>1</v>
      </c>
      <c r="K137" s="533" t="str">
        <f>IF(LOOKUP(VALUE(M137),INPUTS!$G$6:$G$35)=M137,"yes","no")</f>
        <v>no</v>
      </c>
      <c r="L137" s="533">
        <f>IF(K137="yes",(LOOKUP(J137,INPUTS!$E$6:$E$35,INPUTS!$F$6:$F$35)),0)</f>
        <v>0</v>
      </c>
      <c r="M137" s="135">
        <f t="shared" si="28"/>
        <v>116</v>
      </c>
      <c r="N137" s="135">
        <f t="shared" si="29"/>
        <v>1</v>
      </c>
      <c r="O137" s="135">
        <f t="shared" si="30"/>
        <v>0</v>
      </c>
      <c r="P137" s="536" t="e">
        <f t="shared" si="31"/>
        <v>#DIV/0!</v>
      </c>
      <c r="Q137" s="537" t="e">
        <f t="shared" si="18"/>
        <v>#DIV/0!</v>
      </c>
      <c r="R137" s="538" t="e">
        <f>IF(INPUTS!$B$15="yes",Q137,P137)</f>
        <v>#DIV/0!</v>
      </c>
      <c r="S137" s="536" t="e">
        <f t="shared" si="19"/>
        <v>#DIV/0!</v>
      </c>
      <c r="T137" s="537" t="e">
        <f t="shared" si="20"/>
        <v>#DIV/0!</v>
      </c>
      <c r="U137" s="538" t="e">
        <f>IF(INPUTS!$B$15="yes",T137,S137)</f>
        <v>#DIV/0!</v>
      </c>
      <c r="V137" s="536" t="e">
        <f t="shared" si="21"/>
        <v>#DIV/0!</v>
      </c>
      <c r="W137" s="537" t="e">
        <f t="shared" si="22"/>
        <v>#DIV/0!</v>
      </c>
      <c r="X137" s="538" t="e">
        <f>IF(INPUTS!$B$15="yes",W137,V137)</f>
        <v>#DIV/0!</v>
      </c>
      <c r="Y137" s="536" t="e">
        <f t="shared" si="23"/>
        <v>#DIV/0!</v>
      </c>
      <c r="Z137" s="537" t="e">
        <f t="shared" si="24"/>
        <v>#DIV/0!</v>
      </c>
      <c r="AA137" s="538" t="e">
        <f>IF(INPUTS!$B$15="yes",Z137,Y137)</f>
        <v>#DIV/0!</v>
      </c>
      <c r="AB137" s="536" t="e">
        <f t="shared" si="25"/>
        <v>#DIV/0!</v>
      </c>
      <c r="AC137" s="537" t="e">
        <f t="shared" si="26"/>
        <v>#DIV/0!</v>
      </c>
      <c r="AD137" s="538" t="e">
        <f>IF(INPUTS!$B$15="yes",AC137,AB137)</f>
        <v>#DIV/0!</v>
      </c>
      <c r="AE137" s="36" t="str">
        <f t="shared" si="27"/>
        <v>no</v>
      </c>
      <c r="AF137" s="36"/>
      <c r="AG137" s="389" t="e">
        <f>P137*('upper bound Kenaga'!$F$36/100)</f>
        <v>#DIV/0!</v>
      </c>
      <c r="AH137" s="36"/>
      <c r="AI137" s="389" t="e">
        <f>P137*('upper bound Kenaga'!$F$96/100)</f>
        <v>#DIV/0!</v>
      </c>
      <c r="AJ137" s="36"/>
      <c r="AK137" s="36"/>
      <c r="AL137" s="36"/>
      <c r="AM137" s="36"/>
      <c r="AN137" s="36"/>
      <c r="AO137" s="36"/>
    </row>
    <row r="138" spans="1:41">
      <c r="A138" s="917"/>
      <c r="B138" s="471"/>
      <c r="C138" s="377"/>
      <c r="D138" s="343"/>
      <c r="E138" s="343"/>
      <c r="F138" s="451"/>
      <c r="G138" s="451"/>
      <c r="J138" s="6">
        <f>COUNTIF(K$21:K138,"=yes")</f>
        <v>1</v>
      </c>
      <c r="K138" s="533" t="str">
        <f>IF(LOOKUP(VALUE(M138),INPUTS!$G$6:$G$35)=M138,"yes","no")</f>
        <v>no</v>
      </c>
      <c r="L138" s="533">
        <f>IF(K138="yes",(LOOKUP(J138,INPUTS!$E$6:$E$35,INPUTS!$F$6:$F$35)),0)</f>
        <v>0</v>
      </c>
      <c r="M138" s="135">
        <f t="shared" si="28"/>
        <v>117</v>
      </c>
      <c r="N138" s="135">
        <f t="shared" si="29"/>
        <v>1</v>
      </c>
      <c r="O138" s="135">
        <f t="shared" si="30"/>
        <v>0</v>
      </c>
      <c r="P138" s="536" t="e">
        <f t="shared" si="31"/>
        <v>#DIV/0!</v>
      </c>
      <c r="Q138" s="537" t="e">
        <f t="shared" si="18"/>
        <v>#DIV/0!</v>
      </c>
      <c r="R138" s="538" t="e">
        <f>IF(INPUTS!$B$15="yes",Q138,P138)</f>
        <v>#DIV/0!</v>
      </c>
      <c r="S138" s="536" t="e">
        <f t="shared" si="19"/>
        <v>#DIV/0!</v>
      </c>
      <c r="T138" s="537" t="e">
        <f t="shared" si="20"/>
        <v>#DIV/0!</v>
      </c>
      <c r="U138" s="538" t="e">
        <f>IF(INPUTS!$B$15="yes",T138,S138)</f>
        <v>#DIV/0!</v>
      </c>
      <c r="V138" s="536" t="e">
        <f t="shared" si="21"/>
        <v>#DIV/0!</v>
      </c>
      <c r="W138" s="537" t="e">
        <f t="shared" si="22"/>
        <v>#DIV/0!</v>
      </c>
      <c r="X138" s="538" t="e">
        <f>IF(INPUTS!$B$15="yes",W138,V138)</f>
        <v>#DIV/0!</v>
      </c>
      <c r="Y138" s="536" t="e">
        <f t="shared" si="23"/>
        <v>#DIV/0!</v>
      </c>
      <c r="Z138" s="537" t="e">
        <f t="shared" si="24"/>
        <v>#DIV/0!</v>
      </c>
      <c r="AA138" s="538" t="e">
        <f>IF(INPUTS!$B$15="yes",Z138,Y138)</f>
        <v>#DIV/0!</v>
      </c>
      <c r="AB138" s="536" t="e">
        <f t="shared" si="25"/>
        <v>#DIV/0!</v>
      </c>
      <c r="AC138" s="537" t="e">
        <f t="shared" si="26"/>
        <v>#DIV/0!</v>
      </c>
      <c r="AD138" s="538" t="e">
        <f>IF(INPUTS!$B$15="yes",AC138,AB138)</f>
        <v>#DIV/0!</v>
      </c>
      <c r="AE138" s="36" t="str">
        <f t="shared" si="27"/>
        <v>no</v>
      </c>
      <c r="AF138" s="36"/>
      <c r="AG138" s="389" t="e">
        <f>P138*('upper bound Kenaga'!$F$36/100)</f>
        <v>#DIV/0!</v>
      </c>
      <c r="AH138" s="36"/>
      <c r="AI138" s="389" t="e">
        <f>P138*('upper bound Kenaga'!$F$96/100)</f>
        <v>#DIV/0!</v>
      </c>
      <c r="AJ138" s="36"/>
      <c r="AK138" s="36"/>
      <c r="AL138" s="36"/>
      <c r="AM138" s="36"/>
      <c r="AN138" s="36"/>
      <c r="AO138" s="36"/>
    </row>
    <row r="139" spans="1:41" ht="27.75" customHeight="1" thickBot="1">
      <c r="A139" s="918"/>
      <c r="B139" s="464" t="s">
        <v>31</v>
      </c>
      <c r="C139" s="466" t="s">
        <v>32</v>
      </c>
      <c r="D139" s="343"/>
      <c r="E139" s="343"/>
      <c r="F139" s="343"/>
      <c r="G139" s="343"/>
      <c r="J139" s="6">
        <f>COUNTIF(K$21:K139,"=yes")</f>
        <v>1</v>
      </c>
      <c r="K139" s="533" t="str">
        <f>IF(LOOKUP(VALUE(M139),INPUTS!$G$6:$G$35)=M139,"yes","no")</f>
        <v>no</v>
      </c>
      <c r="L139" s="533">
        <f>IF(K139="yes",(LOOKUP(J139,INPUTS!$E$6:$E$35,INPUTS!$F$6:$F$35)),0)</f>
        <v>0</v>
      </c>
      <c r="M139" s="135">
        <f t="shared" si="28"/>
        <v>118</v>
      </c>
      <c r="N139" s="135">
        <f t="shared" si="29"/>
        <v>1</v>
      </c>
      <c r="O139" s="135">
        <f t="shared" si="30"/>
        <v>0</v>
      </c>
      <c r="P139" s="536" t="e">
        <f t="shared" si="31"/>
        <v>#DIV/0!</v>
      </c>
      <c r="Q139" s="537" t="e">
        <f t="shared" si="18"/>
        <v>#DIV/0!</v>
      </c>
      <c r="R139" s="538" t="e">
        <f>IF(INPUTS!$B$15="yes",Q139,P139)</f>
        <v>#DIV/0!</v>
      </c>
      <c r="S139" s="536" t="e">
        <f t="shared" si="19"/>
        <v>#DIV/0!</v>
      </c>
      <c r="T139" s="537" t="e">
        <f t="shared" si="20"/>
        <v>#DIV/0!</v>
      </c>
      <c r="U139" s="538" t="e">
        <f>IF(INPUTS!$B$15="yes",T139,S139)</f>
        <v>#DIV/0!</v>
      </c>
      <c r="V139" s="536" t="e">
        <f t="shared" si="21"/>
        <v>#DIV/0!</v>
      </c>
      <c r="W139" s="537" t="e">
        <f t="shared" si="22"/>
        <v>#DIV/0!</v>
      </c>
      <c r="X139" s="538" t="e">
        <f>IF(INPUTS!$B$15="yes",W139,V139)</f>
        <v>#DIV/0!</v>
      </c>
      <c r="Y139" s="536" t="e">
        <f t="shared" si="23"/>
        <v>#DIV/0!</v>
      </c>
      <c r="Z139" s="537" t="e">
        <f t="shared" si="24"/>
        <v>#DIV/0!</v>
      </c>
      <c r="AA139" s="538" t="e">
        <f>IF(INPUTS!$B$15="yes",Z139,Y139)</f>
        <v>#DIV/0!</v>
      </c>
      <c r="AB139" s="536" t="e">
        <f t="shared" si="25"/>
        <v>#DIV/0!</v>
      </c>
      <c r="AC139" s="537" t="e">
        <f t="shared" si="26"/>
        <v>#DIV/0!</v>
      </c>
      <c r="AD139" s="538" t="e">
        <f>IF(INPUTS!$B$15="yes",AC139,AB139)</f>
        <v>#DIV/0!</v>
      </c>
      <c r="AE139" s="36" t="str">
        <f t="shared" si="27"/>
        <v>no</v>
      </c>
      <c r="AF139" s="36"/>
      <c r="AG139" s="389" t="e">
        <f>P139*('upper bound Kenaga'!$F$36/100)</f>
        <v>#DIV/0!</v>
      </c>
      <c r="AH139" s="36"/>
      <c r="AI139" s="389" t="e">
        <f>P139*('upper bound Kenaga'!$F$96/100)</f>
        <v>#DIV/0!</v>
      </c>
      <c r="AJ139" s="36"/>
      <c r="AK139" s="36"/>
      <c r="AL139" s="36"/>
      <c r="AM139" s="36"/>
      <c r="AN139" s="36"/>
      <c r="AO139" s="36"/>
    </row>
    <row r="140" spans="1:41" ht="13.5" thickTop="1">
      <c r="A140" s="355" t="s">
        <v>13</v>
      </c>
      <c r="B140" s="606" t="e">
        <f>B27/$D$21</f>
        <v>#DIV/0!</v>
      </c>
      <c r="C140" s="607" t="e">
        <f>B27/$D$23</f>
        <v>#DIV/0!</v>
      </c>
      <c r="D140" s="472"/>
      <c r="E140" s="472"/>
      <c r="F140" s="472"/>
      <c r="G140" s="472"/>
      <c r="J140" s="6">
        <f>COUNTIF(K$21:K140,"=yes")</f>
        <v>1</v>
      </c>
      <c r="K140" s="533" t="str">
        <f>IF(LOOKUP(VALUE(M140),INPUTS!$G$6:$G$35)=M140,"yes","no")</f>
        <v>no</v>
      </c>
      <c r="L140" s="533">
        <f>IF(K140="yes",(LOOKUP(J140,INPUTS!$E$6:$E$35,INPUTS!$F$6:$F$35)),0)</f>
        <v>0</v>
      </c>
      <c r="M140" s="135">
        <f t="shared" si="28"/>
        <v>119</v>
      </c>
      <c r="N140" s="135">
        <f t="shared" si="29"/>
        <v>1</v>
      </c>
      <c r="O140" s="135">
        <f t="shared" si="30"/>
        <v>0</v>
      </c>
      <c r="P140" s="536" t="e">
        <f t="shared" si="31"/>
        <v>#DIV/0!</v>
      </c>
      <c r="Q140" s="537" t="e">
        <f t="shared" si="18"/>
        <v>#DIV/0!</v>
      </c>
      <c r="R140" s="538" t="e">
        <f>IF(INPUTS!$B$15="yes",Q140,P140)</f>
        <v>#DIV/0!</v>
      </c>
      <c r="S140" s="536" t="e">
        <f t="shared" si="19"/>
        <v>#DIV/0!</v>
      </c>
      <c r="T140" s="537" t="e">
        <f t="shared" si="20"/>
        <v>#DIV/0!</v>
      </c>
      <c r="U140" s="538" t="e">
        <f>IF(INPUTS!$B$15="yes",T140,S140)</f>
        <v>#DIV/0!</v>
      </c>
      <c r="V140" s="536" t="e">
        <f t="shared" si="21"/>
        <v>#DIV/0!</v>
      </c>
      <c r="W140" s="537" t="e">
        <f t="shared" si="22"/>
        <v>#DIV/0!</v>
      </c>
      <c r="X140" s="538" t="e">
        <f>IF(INPUTS!$B$15="yes",W140,V140)</f>
        <v>#DIV/0!</v>
      </c>
      <c r="Y140" s="536" t="e">
        <f t="shared" si="23"/>
        <v>#DIV/0!</v>
      </c>
      <c r="Z140" s="537" t="e">
        <f t="shared" si="24"/>
        <v>#DIV/0!</v>
      </c>
      <c r="AA140" s="538" t="e">
        <f>IF(INPUTS!$B$15="yes",Z140,Y140)</f>
        <v>#DIV/0!</v>
      </c>
      <c r="AB140" s="536" t="e">
        <f t="shared" si="25"/>
        <v>#DIV/0!</v>
      </c>
      <c r="AC140" s="537" t="e">
        <f t="shared" si="26"/>
        <v>#DIV/0!</v>
      </c>
      <c r="AD140" s="538" t="e">
        <f>IF(INPUTS!$B$15="yes",AC140,AB140)</f>
        <v>#DIV/0!</v>
      </c>
      <c r="AE140" s="36" t="str">
        <f t="shared" si="27"/>
        <v>no</v>
      </c>
      <c r="AF140" s="36"/>
      <c r="AG140" s="389" t="e">
        <f>P140*('upper bound Kenaga'!$F$36/100)</f>
        <v>#DIV/0!</v>
      </c>
      <c r="AH140" s="36"/>
      <c r="AI140" s="389" t="e">
        <f>P140*('upper bound Kenaga'!$F$96/100)</f>
        <v>#DIV/0!</v>
      </c>
      <c r="AJ140" s="36"/>
      <c r="AK140" s="36"/>
      <c r="AL140" s="36"/>
      <c r="AM140" s="36"/>
      <c r="AN140" s="36"/>
      <c r="AO140" s="36"/>
    </row>
    <row r="141" spans="1:41">
      <c r="A141" s="356" t="s">
        <v>23</v>
      </c>
      <c r="B141" s="596" t="e">
        <f>B28/$D$21</f>
        <v>#DIV/0!</v>
      </c>
      <c r="C141" s="455" t="e">
        <f>B28/$D$23</f>
        <v>#DIV/0!</v>
      </c>
      <c r="D141" s="472"/>
      <c r="E141" s="472"/>
      <c r="F141" s="472"/>
      <c r="G141" s="472"/>
      <c r="J141" s="6">
        <f>COUNTIF(K$21:K141,"=yes")</f>
        <v>1</v>
      </c>
      <c r="K141" s="533" t="str">
        <f>IF(LOOKUP(VALUE(M141),INPUTS!$G$6:$G$35)=M141,"yes","no")</f>
        <v>no</v>
      </c>
      <c r="L141" s="533">
        <f>IF(K141="yes",(LOOKUP(J141,INPUTS!$E$6:$E$35,INPUTS!$F$6:$F$35)),0)</f>
        <v>0</v>
      </c>
      <c r="M141" s="135">
        <f t="shared" si="28"/>
        <v>120</v>
      </c>
      <c r="N141" s="135">
        <f t="shared" si="29"/>
        <v>1</v>
      </c>
      <c r="O141" s="135">
        <f t="shared" si="30"/>
        <v>0</v>
      </c>
      <c r="P141" s="536" t="e">
        <f t="shared" si="31"/>
        <v>#DIV/0!</v>
      </c>
      <c r="Q141" s="537" t="e">
        <f t="shared" si="18"/>
        <v>#DIV/0!</v>
      </c>
      <c r="R141" s="538" t="e">
        <f>IF(INPUTS!$B$15="yes",Q141,P141)</f>
        <v>#DIV/0!</v>
      </c>
      <c r="S141" s="536" t="e">
        <f t="shared" si="19"/>
        <v>#DIV/0!</v>
      </c>
      <c r="T141" s="537" t="e">
        <f t="shared" si="20"/>
        <v>#DIV/0!</v>
      </c>
      <c r="U141" s="538" t="e">
        <f>IF(INPUTS!$B$15="yes",T141,S141)</f>
        <v>#DIV/0!</v>
      </c>
      <c r="V141" s="536" t="e">
        <f t="shared" si="21"/>
        <v>#DIV/0!</v>
      </c>
      <c r="W141" s="537" t="e">
        <f t="shared" si="22"/>
        <v>#DIV/0!</v>
      </c>
      <c r="X141" s="538" t="e">
        <f>IF(INPUTS!$B$15="yes",W141,V141)</f>
        <v>#DIV/0!</v>
      </c>
      <c r="Y141" s="536" t="e">
        <f t="shared" si="23"/>
        <v>#DIV/0!</v>
      </c>
      <c r="Z141" s="537" t="e">
        <f t="shared" si="24"/>
        <v>#DIV/0!</v>
      </c>
      <c r="AA141" s="538" t="e">
        <f>IF(INPUTS!$B$15="yes",Z141,Y141)</f>
        <v>#DIV/0!</v>
      </c>
      <c r="AB141" s="536" t="e">
        <f t="shared" si="25"/>
        <v>#DIV/0!</v>
      </c>
      <c r="AC141" s="537" t="e">
        <f t="shared" si="26"/>
        <v>#DIV/0!</v>
      </c>
      <c r="AD141" s="538" t="e">
        <f>IF(INPUTS!$B$15="yes",AC141,AB141)</f>
        <v>#DIV/0!</v>
      </c>
      <c r="AE141" s="36" t="str">
        <f t="shared" si="27"/>
        <v>no</v>
      </c>
      <c r="AF141" s="36"/>
      <c r="AG141" s="389" t="e">
        <f>P141*('upper bound Kenaga'!$F$36/100)</f>
        <v>#DIV/0!</v>
      </c>
      <c r="AH141" s="36"/>
      <c r="AI141" s="389" t="e">
        <f>P141*('upper bound Kenaga'!$F$96/100)</f>
        <v>#DIV/0!</v>
      </c>
      <c r="AJ141" s="36"/>
      <c r="AK141" s="36"/>
      <c r="AL141" s="36"/>
      <c r="AM141" s="36"/>
      <c r="AN141" s="36"/>
      <c r="AO141" s="36"/>
    </row>
    <row r="142" spans="1:41">
      <c r="A142" s="563" t="s">
        <v>415</v>
      </c>
      <c r="B142" s="596" t="e">
        <f>B29/$D$21</f>
        <v>#DIV/0!</v>
      </c>
      <c r="C142" s="455" t="e">
        <f>B29/$D$23</f>
        <v>#DIV/0!</v>
      </c>
      <c r="D142" s="472"/>
      <c r="E142" s="472"/>
      <c r="F142" s="472"/>
      <c r="G142" s="472"/>
      <c r="J142" s="6">
        <f>COUNTIF(K$21:K142,"=yes")</f>
        <v>1</v>
      </c>
      <c r="K142" s="533" t="str">
        <f>IF(LOOKUP(VALUE(M142),INPUTS!$G$6:$G$35)=M142,"yes","no")</f>
        <v>no</v>
      </c>
      <c r="L142" s="533">
        <f>IF(K142="yes",(LOOKUP(J142,INPUTS!$E$6:$E$35,INPUTS!$F$6:$F$35)),0)</f>
        <v>0</v>
      </c>
      <c r="M142" s="135">
        <f t="shared" si="28"/>
        <v>121</v>
      </c>
      <c r="N142" s="135">
        <f t="shared" si="29"/>
        <v>1</v>
      </c>
      <c r="O142" s="135">
        <f t="shared" si="30"/>
        <v>0</v>
      </c>
      <c r="P142" s="536" t="e">
        <f t="shared" si="31"/>
        <v>#DIV/0!</v>
      </c>
      <c r="Q142" s="537" t="e">
        <f t="shared" si="18"/>
        <v>#DIV/0!</v>
      </c>
      <c r="R142" s="538" t="e">
        <f>IF(INPUTS!$B$15="yes",Q142,P142)</f>
        <v>#DIV/0!</v>
      </c>
      <c r="S142" s="536" t="e">
        <f t="shared" si="19"/>
        <v>#DIV/0!</v>
      </c>
      <c r="T142" s="537" t="e">
        <f t="shared" si="20"/>
        <v>#DIV/0!</v>
      </c>
      <c r="U142" s="538" t="e">
        <f>IF(INPUTS!$B$15="yes",T142,S142)</f>
        <v>#DIV/0!</v>
      </c>
      <c r="V142" s="536" t="e">
        <f t="shared" si="21"/>
        <v>#DIV/0!</v>
      </c>
      <c r="W142" s="537" t="e">
        <f t="shared" si="22"/>
        <v>#DIV/0!</v>
      </c>
      <c r="X142" s="538" t="e">
        <f>IF(INPUTS!$B$15="yes",W142,V142)</f>
        <v>#DIV/0!</v>
      </c>
      <c r="Y142" s="536" t="e">
        <f t="shared" si="23"/>
        <v>#DIV/0!</v>
      </c>
      <c r="Z142" s="537" t="e">
        <f t="shared" si="24"/>
        <v>#DIV/0!</v>
      </c>
      <c r="AA142" s="538" t="e">
        <f>IF(INPUTS!$B$15="yes",Z142,Y142)</f>
        <v>#DIV/0!</v>
      </c>
      <c r="AB142" s="536" t="e">
        <f t="shared" si="25"/>
        <v>#DIV/0!</v>
      </c>
      <c r="AC142" s="537" t="e">
        <f t="shared" si="26"/>
        <v>#DIV/0!</v>
      </c>
      <c r="AD142" s="538" t="e">
        <f>IF(INPUTS!$B$15="yes",AC142,AB142)</f>
        <v>#DIV/0!</v>
      </c>
      <c r="AE142" s="36" t="str">
        <f t="shared" si="27"/>
        <v>no</v>
      </c>
      <c r="AF142" s="36"/>
      <c r="AG142" s="389" t="e">
        <f>P142*('upper bound Kenaga'!$F$36/100)</f>
        <v>#DIV/0!</v>
      </c>
      <c r="AH142" s="36"/>
      <c r="AI142" s="389" t="e">
        <f>P142*('upper bound Kenaga'!$F$96/100)</f>
        <v>#DIV/0!</v>
      </c>
      <c r="AJ142" s="36"/>
      <c r="AK142" s="36"/>
      <c r="AL142" s="36"/>
      <c r="AM142" s="36"/>
      <c r="AN142" s="36"/>
      <c r="AO142" s="36"/>
    </row>
    <row r="143" spans="1:41">
      <c r="A143" s="357" t="s">
        <v>416</v>
      </c>
      <c r="B143" s="596" t="e">
        <f>B30/$D$21</f>
        <v>#DIV/0!</v>
      </c>
      <c r="C143" s="455" t="e">
        <f>B30/$D$23</f>
        <v>#DIV/0!</v>
      </c>
      <c r="D143" s="472"/>
      <c r="E143" s="472"/>
      <c r="F143" s="472"/>
      <c r="G143" s="472"/>
      <c r="J143" s="6">
        <f>COUNTIF(K$21:K143,"=yes")</f>
        <v>1</v>
      </c>
      <c r="K143" s="533" t="str">
        <f>IF(LOOKUP(VALUE(M143),INPUTS!$G$6:$G$35)=M143,"yes","no")</f>
        <v>no</v>
      </c>
      <c r="L143" s="533">
        <f>IF(K143="yes",(LOOKUP(J143,INPUTS!$E$6:$E$35,INPUTS!$F$6:$F$35)),0)</f>
        <v>0</v>
      </c>
      <c r="M143" s="135">
        <f t="shared" si="28"/>
        <v>122</v>
      </c>
      <c r="N143" s="135">
        <f t="shared" si="29"/>
        <v>1</v>
      </c>
      <c r="O143" s="135">
        <f t="shared" si="30"/>
        <v>0</v>
      </c>
      <c r="P143" s="536" t="e">
        <f t="shared" si="31"/>
        <v>#DIV/0!</v>
      </c>
      <c r="Q143" s="537" t="e">
        <f t="shared" si="18"/>
        <v>#DIV/0!</v>
      </c>
      <c r="R143" s="538" t="e">
        <f>IF(INPUTS!$B$15="yes",Q143,P143)</f>
        <v>#DIV/0!</v>
      </c>
      <c r="S143" s="536" t="e">
        <f t="shared" si="19"/>
        <v>#DIV/0!</v>
      </c>
      <c r="T143" s="537" t="e">
        <f t="shared" si="20"/>
        <v>#DIV/0!</v>
      </c>
      <c r="U143" s="538" t="e">
        <f>IF(INPUTS!$B$15="yes",T143,S143)</f>
        <v>#DIV/0!</v>
      </c>
      <c r="V143" s="536" t="e">
        <f t="shared" si="21"/>
        <v>#DIV/0!</v>
      </c>
      <c r="W143" s="537" t="e">
        <f t="shared" si="22"/>
        <v>#DIV/0!</v>
      </c>
      <c r="X143" s="538" t="e">
        <f>IF(INPUTS!$B$15="yes",W143,V143)</f>
        <v>#DIV/0!</v>
      </c>
      <c r="Y143" s="536" t="e">
        <f t="shared" si="23"/>
        <v>#DIV/0!</v>
      </c>
      <c r="Z143" s="537" t="e">
        <f t="shared" si="24"/>
        <v>#DIV/0!</v>
      </c>
      <c r="AA143" s="538" t="e">
        <f>IF(INPUTS!$B$15="yes",Z143,Y143)</f>
        <v>#DIV/0!</v>
      </c>
      <c r="AB143" s="536" t="e">
        <f t="shared" si="25"/>
        <v>#DIV/0!</v>
      </c>
      <c r="AC143" s="537" t="e">
        <f t="shared" si="26"/>
        <v>#DIV/0!</v>
      </c>
      <c r="AD143" s="538" t="e">
        <f>IF(INPUTS!$B$15="yes",AC143,AB143)</f>
        <v>#DIV/0!</v>
      </c>
      <c r="AE143" s="36" t="str">
        <f t="shared" si="27"/>
        <v>no</v>
      </c>
      <c r="AF143" s="36"/>
      <c r="AG143" s="389" t="e">
        <f>P143*('upper bound Kenaga'!$F$36/100)</f>
        <v>#DIV/0!</v>
      </c>
      <c r="AH143" s="36"/>
      <c r="AI143" s="389" t="e">
        <f>P143*('upper bound Kenaga'!$F$96/100)</f>
        <v>#DIV/0!</v>
      </c>
      <c r="AJ143" s="36"/>
      <c r="AK143" s="36"/>
      <c r="AL143" s="36"/>
      <c r="AM143" s="36"/>
      <c r="AN143" s="36"/>
      <c r="AO143" s="36"/>
    </row>
    <row r="144" spans="1:41" ht="13.5" thickBot="1">
      <c r="A144" s="608" t="s">
        <v>414</v>
      </c>
      <c r="B144" s="609" t="e">
        <f>B31/$D$21</f>
        <v>#DIV/0!</v>
      </c>
      <c r="C144" s="326" t="e">
        <f>B31/$D$23</f>
        <v>#DIV/0!</v>
      </c>
      <c r="D144" s="75"/>
      <c r="E144" s="75"/>
      <c r="F144" s="75"/>
      <c r="G144" s="75"/>
      <c r="J144" s="6">
        <f>COUNTIF(K$21:K144,"=yes")</f>
        <v>1</v>
      </c>
      <c r="K144" s="533" t="str">
        <f>IF(LOOKUP(VALUE(M144),INPUTS!$G$6:$G$35)=M144,"yes","no")</f>
        <v>no</v>
      </c>
      <c r="L144" s="533">
        <f>IF(K144="yes",(LOOKUP(J144,INPUTS!$E$6:$E$35,INPUTS!$F$6:$F$35)),0)</f>
        <v>0</v>
      </c>
      <c r="M144" s="135">
        <f t="shared" si="28"/>
        <v>123</v>
      </c>
      <c r="N144" s="135">
        <f t="shared" si="29"/>
        <v>1</v>
      </c>
      <c r="O144" s="135">
        <f t="shared" si="30"/>
        <v>0</v>
      </c>
      <c r="P144" s="536" t="e">
        <f t="shared" si="31"/>
        <v>#DIV/0!</v>
      </c>
      <c r="Q144" s="537" t="e">
        <f t="shared" si="18"/>
        <v>#DIV/0!</v>
      </c>
      <c r="R144" s="538" t="e">
        <f>IF(INPUTS!$B$15="yes",Q144,P144)</f>
        <v>#DIV/0!</v>
      </c>
      <c r="S144" s="536" t="e">
        <f t="shared" si="19"/>
        <v>#DIV/0!</v>
      </c>
      <c r="T144" s="537" t="e">
        <f t="shared" si="20"/>
        <v>#DIV/0!</v>
      </c>
      <c r="U144" s="538" t="e">
        <f>IF(INPUTS!$B$15="yes",T144,S144)</f>
        <v>#DIV/0!</v>
      </c>
      <c r="V144" s="536" t="e">
        <f t="shared" si="21"/>
        <v>#DIV/0!</v>
      </c>
      <c r="W144" s="537" t="e">
        <f t="shared" si="22"/>
        <v>#DIV/0!</v>
      </c>
      <c r="X144" s="538" t="e">
        <f>IF(INPUTS!$B$15="yes",W144,V144)</f>
        <v>#DIV/0!</v>
      </c>
      <c r="Y144" s="536" t="e">
        <f t="shared" si="23"/>
        <v>#DIV/0!</v>
      </c>
      <c r="Z144" s="537" t="e">
        <f t="shared" si="24"/>
        <v>#DIV/0!</v>
      </c>
      <c r="AA144" s="538" t="e">
        <f>IF(INPUTS!$B$15="yes",Z144,Y144)</f>
        <v>#DIV/0!</v>
      </c>
      <c r="AB144" s="536" t="e">
        <f t="shared" si="25"/>
        <v>#DIV/0!</v>
      </c>
      <c r="AC144" s="537" t="e">
        <f t="shared" si="26"/>
        <v>#DIV/0!</v>
      </c>
      <c r="AD144" s="538" t="e">
        <f>IF(INPUTS!$B$15="yes",AC144,AB144)</f>
        <v>#DIV/0!</v>
      </c>
      <c r="AE144" s="36" t="str">
        <f t="shared" si="27"/>
        <v>no</v>
      </c>
      <c r="AF144" s="36"/>
      <c r="AG144" s="389" t="e">
        <f>P144*('upper bound Kenaga'!$F$36/100)</f>
        <v>#DIV/0!</v>
      </c>
      <c r="AH144" s="36"/>
      <c r="AI144" s="389" t="e">
        <f>P144*('upper bound Kenaga'!$F$96/100)</f>
        <v>#DIV/0!</v>
      </c>
      <c r="AJ144" s="36"/>
      <c r="AK144" s="36"/>
      <c r="AL144" s="36"/>
      <c r="AM144" s="36"/>
      <c r="AN144" s="36"/>
      <c r="AO144" s="36"/>
    </row>
    <row r="145" spans="1:41">
      <c r="J145" s="6">
        <f>COUNTIF(K$21:K145,"=yes")</f>
        <v>1</v>
      </c>
      <c r="K145" s="533" t="str">
        <f>IF(LOOKUP(VALUE(M145),INPUTS!$G$6:$G$35)=M145,"yes","no")</f>
        <v>no</v>
      </c>
      <c r="L145" s="533">
        <f>IF(K145="yes",(LOOKUP(J145,INPUTS!$E$6:$E$35,INPUTS!$F$6:$F$35)),0)</f>
        <v>0</v>
      </c>
      <c r="M145" s="135">
        <f t="shared" si="28"/>
        <v>124</v>
      </c>
      <c r="N145" s="135">
        <f t="shared" si="29"/>
        <v>1</v>
      </c>
      <c r="O145" s="135">
        <f t="shared" si="30"/>
        <v>0</v>
      </c>
      <c r="P145" s="536" t="e">
        <f t="shared" si="31"/>
        <v>#DIV/0!</v>
      </c>
      <c r="Q145" s="537" t="e">
        <f t="shared" si="18"/>
        <v>#DIV/0!</v>
      </c>
      <c r="R145" s="538" t="e">
        <f>IF(INPUTS!$B$15="yes",Q145,P145)</f>
        <v>#DIV/0!</v>
      </c>
      <c r="S145" s="536" t="e">
        <f t="shared" si="19"/>
        <v>#DIV/0!</v>
      </c>
      <c r="T145" s="537" t="e">
        <f t="shared" si="20"/>
        <v>#DIV/0!</v>
      </c>
      <c r="U145" s="538" t="e">
        <f>IF(INPUTS!$B$15="yes",T145,S145)</f>
        <v>#DIV/0!</v>
      </c>
      <c r="V145" s="536" t="e">
        <f t="shared" si="21"/>
        <v>#DIV/0!</v>
      </c>
      <c r="W145" s="537" t="e">
        <f t="shared" si="22"/>
        <v>#DIV/0!</v>
      </c>
      <c r="X145" s="538" t="e">
        <f>IF(INPUTS!$B$15="yes",W145,V145)</f>
        <v>#DIV/0!</v>
      </c>
      <c r="Y145" s="536" t="e">
        <f t="shared" si="23"/>
        <v>#DIV/0!</v>
      </c>
      <c r="Z145" s="537" t="e">
        <f t="shared" si="24"/>
        <v>#DIV/0!</v>
      </c>
      <c r="AA145" s="538" t="e">
        <f>IF(INPUTS!$B$15="yes",Z145,Y145)</f>
        <v>#DIV/0!</v>
      </c>
      <c r="AB145" s="536" t="e">
        <f t="shared" si="25"/>
        <v>#DIV/0!</v>
      </c>
      <c r="AC145" s="537" t="e">
        <f t="shared" si="26"/>
        <v>#DIV/0!</v>
      </c>
      <c r="AD145" s="538" t="e">
        <f>IF(INPUTS!$B$15="yes",AC145,AB145)</f>
        <v>#DIV/0!</v>
      </c>
      <c r="AE145" s="36" t="str">
        <f t="shared" si="27"/>
        <v>no</v>
      </c>
      <c r="AF145" s="36"/>
      <c r="AG145" s="389" t="e">
        <f>P145*('upper bound Kenaga'!$F$36/100)</f>
        <v>#DIV/0!</v>
      </c>
      <c r="AH145" s="36"/>
      <c r="AI145" s="389" t="e">
        <f>P145*('upper bound Kenaga'!$F$96/100)</f>
        <v>#DIV/0!</v>
      </c>
      <c r="AJ145" s="36"/>
      <c r="AK145" s="36"/>
      <c r="AL145" s="36"/>
      <c r="AM145" s="36"/>
      <c r="AN145" s="36"/>
      <c r="AO145" s="36"/>
    </row>
    <row r="146" spans="1:41">
      <c r="A146" s="36" t="s">
        <v>134</v>
      </c>
      <c r="J146" s="6">
        <f>COUNTIF(K$21:K146,"=yes")</f>
        <v>1</v>
      </c>
      <c r="K146" s="533" t="str">
        <f>IF(LOOKUP(VALUE(M146),INPUTS!$G$6:$G$35)=M146,"yes","no")</f>
        <v>no</v>
      </c>
      <c r="L146" s="533">
        <f>IF(K146="yes",(LOOKUP(J146,INPUTS!$E$6:$E$35,INPUTS!$F$6:$F$35)),0)</f>
        <v>0</v>
      </c>
      <c r="M146" s="135">
        <f t="shared" si="28"/>
        <v>125</v>
      </c>
      <c r="N146" s="135">
        <f t="shared" si="29"/>
        <v>1</v>
      </c>
      <c r="O146" s="135">
        <f t="shared" si="30"/>
        <v>0</v>
      </c>
      <c r="P146" s="536" t="e">
        <f t="shared" si="31"/>
        <v>#DIV/0!</v>
      </c>
      <c r="Q146" s="537" t="e">
        <f t="shared" si="18"/>
        <v>#DIV/0!</v>
      </c>
      <c r="R146" s="538" t="e">
        <f>IF(INPUTS!$B$15="yes",Q146,P146)</f>
        <v>#DIV/0!</v>
      </c>
      <c r="S146" s="536" t="e">
        <f t="shared" si="19"/>
        <v>#DIV/0!</v>
      </c>
      <c r="T146" s="537" t="e">
        <f t="shared" si="20"/>
        <v>#DIV/0!</v>
      </c>
      <c r="U146" s="538" t="e">
        <f>IF(INPUTS!$B$15="yes",T146,S146)</f>
        <v>#DIV/0!</v>
      </c>
      <c r="V146" s="536" t="e">
        <f t="shared" si="21"/>
        <v>#DIV/0!</v>
      </c>
      <c r="W146" s="537" t="e">
        <f t="shared" si="22"/>
        <v>#DIV/0!</v>
      </c>
      <c r="X146" s="538" t="e">
        <f>IF(INPUTS!$B$15="yes",W146,V146)</f>
        <v>#DIV/0!</v>
      </c>
      <c r="Y146" s="536" t="e">
        <f t="shared" si="23"/>
        <v>#DIV/0!</v>
      </c>
      <c r="Z146" s="537" t="e">
        <f t="shared" si="24"/>
        <v>#DIV/0!</v>
      </c>
      <c r="AA146" s="538" t="e">
        <f>IF(INPUTS!$B$15="yes",Z146,Y146)</f>
        <v>#DIV/0!</v>
      </c>
      <c r="AB146" s="536" t="e">
        <f t="shared" si="25"/>
        <v>#DIV/0!</v>
      </c>
      <c r="AC146" s="537" t="e">
        <f t="shared" si="26"/>
        <v>#DIV/0!</v>
      </c>
      <c r="AD146" s="538" t="e">
        <f>IF(INPUTS!$B$15="yes",AC146,AB146)</f>
        <v>#DIV/0!</v>
      </c>
      <c r="AE146" s="36" t="str">
        <f t="shared" si="27"/>
        <v>no</v>
      </c>
      <c r="AF146" s="36"/>
      <c r="AG146" s="389" t="e">
        <f>P146*('upper bound Kenaga'!$F$36/100)</f>
        <v>#DIV/0!</v>
      </c>
      <c r="AH146" s="36"/>
      <c r="AI146" s="389" t="e">
        <f>P146*('upper bound Kenaga'!$F$96/100)</f>
        <v>#DIV/0!</v>
      </c>
      <c r="AJ146" s="36"/>
      <c r="AK146" s="36"/>
      <c r="AL146" s="36"/>
      <c r="AM146" s="36"/>
      <c r="AN146" s="36"/>
      <c r="AO146" s="36"/>
    </row>
    <row r="147" spans="1:41">
      <c r="A147" s="36" t="s">
        <v>133</v>
      </c>
      <c r="J147" s="6">
        <f>COUNTIF(K$21:K147,"=yes")</f>
        <v>1</v>
      </c>
      <c r="K147" s="533" t="str">
        <f>IF(LOOKUP(VALUE(M147),INPUTS!$G$6:$G$35)=M147,"yes","no")</f>
        <v>no</v>
      </c>
      <c r="L147" s="533">
        <f>IF(K147="yes",(LOOKUP(J147,INPUTS!$E$6:$E$35,INPUTS!$F$6:$F$35)),0)</f>
        <v>0</v>
      </c>
      <c r="M147" s="135">
        <f t="shared" si="28"/>
        <v>126</v>
      </c>
      <c r="N147" s="135">
        <f t="shared" si="29"/>
        <v>1</v>
      </c>
      <c r="O147" s="135">
        <f t="shared" si="30"/>
        <v>0</v>
      </c>
      <c r="P147" s="536" t="e">
        <f t="shared" si="31"/>
        <v>#DIV/0!</v>
      </c>
      <c r="Q147" s="537" t="e">
        <f t="shared" si="18"/>
        <v>#DIV/0!</v>
      </c>
      <c r="R147" s="538" t="e">
        <f>IF(INPUTS!$B$15="yes",Q147,P147)</f>
        <v>#DIV/0!</v>
      </c>
      <c r="S147" s="536" t="e">
        <f t="shared" si="19"/>
        <v>#DIV/0!</v>
      </c>
      <c r="T147" s="537" t="e">
        <f t="shared" si="20"/>
        <v>#DIV/0!</v>
      </c>
      <c r="U147" s="538" t="e">
        <f>IF(INPUTS!$B$15="yes",T147,S147)</f>
        <v>#DIV/0!</v>
      </c>
      <c r="V147" s="536" t="e">
        <f t="shared" si="21"/>
        <v>#DIV/0!</v>
      </c>
      <c r="W147" s="537" t="e">
        <f t="shared" si="22"/>
        <v>#DIV/0!</v>
      </c>
      <c r="X147" s="538" t="e">
        <f>IF(INPUTS!$B$15="yes",W147,V147)</f>
        <v>#DIV/0!</v>
      </c>
      <c r="Y147" s="536" t="e">
        <f t="shared" si="23"/>
        <v>#DIV/0!</v>
      </c>
      <c r="Z147" s="537" t="e">
        <f t="shared" si="24"/>
        <v>#DIV/0!</v>
      </c>
      <c r="AA147" s="538" t="e">
        <f>IF(INPUTS!$B$15="yes",Z147,Y147)</f>
        <v>#DIV/0!</v>
      </c>
      <c r="AB147" s="536" t="e">
        <f t="shared" si="25"/>
        <v>#DIV/0!</v>
      </c>
      <c r="AC147" s="537" t="e">
        <f t="shared" si="26"/>
        <v>#DIV/0!</v>
      </c>
      <c r="AD147" s="538" t="e">
        <f>IF(INPUTS!$B$15="yes",AC147,AB147)</f>
        <v>#DIV/0!</v>
      </c>
      <c r="AE147" s="36" t="str">
        <f t="shared" si="27"/>
        <v>no</v>
      </c>
      <c r="AF147" s="36"/>
      <c r="AG147" s="389" t="e">
        <f>P147*('upper bound Kenaga'!$F$36/100)</f>
        <v>#DIV/0!</v>
      </c>
      <c r="AH147" s="36"/>
      <c r="AI147" s="389" t="e">
        <f>P147*('upper bound Kenaga'!$F$96/100)</f>
        <v>#DIV/0!</v>
      </c>
      <c r="AJ147" s="36"/>
      <c r="AK147" s="36"/>
      <c r="AL147" s="36"/>
      <c r="AM147" s="36"/>
      <c r="AN147" s="36"/>
      <c r="AO147" s="36"/>
    </row>
    <row r="148" spans="1:41">
      <c r="A148" s="36" t="s">
        <v>132</v>
      </c>
      <c r="J148" s="6">
        <f>COUNTIF(K$21:K148,"=yes")</f>
        <v>1</v>
      </c>
      <c r="K148" s="533" t="str">
        <f>IF(LOOKUP(VALUE(M148),INPUTS!$G$6:$G$35)=M148,"yes","no")</f>
        <v>no</v>
      </c>
      <c r="L148" s="533">
        <f>IF(K148="yes",(LOOKUP(J148,INPUTS!$E$6:$E$35,INPUTS!$F$6:$F$35)),0)</f>
        <v>0</v>
      </c>
      <c r="M148" s="135">
        <f t="shared" si="28"/>
        <v>127</v>
      </c>
      <c r="N148" s="135">
        <f t="shared" si="29"/>
        <v>1</v>
      </c>
      <c r="O148" s="135">
        <f t="shared" si="30"/>
        <v>0</v>
      </c>
      <c r="P148" s="536" t="e">
        <f t="shared" si="31"/>
        <v>#DIV/0!</v>
      </c>
      <c r="Q148" s="537" t="e">
        <f t="shared" si="18"/>
        <v>#DIV/0!</v>
      </c>
      <c r="R148" s="538" t="e">
        <f>IF(INPUTS!$B$15="yes",Q148,P148)</f>
        <v>#DIV/0!</v>
      </c>
      <c r="S148" s="536" t="e">
        <f t="shared" si="19"/>
        <v>#DIV/0!</v>
      </c>
      <c r="T148" s="537" t="e">
        <f t="shared" si="20"/>
        <v>#DIV/0!</v>
      </c>
      <c r="U148" s="538" t="e">
        <f>IF(INPUTS!$B$15="yes",T148,S148)</f>
        <v>#DIV/0!</v>
      </c>
      <c r="V148" s="536" t="e">
        <f t="shared" si="21"/>
        <v>#DIV/0!</v>
      </c>
      <c r="W148" s="537" t="e">
        <f t="shared" si="22"/>
        <v>#DIV/0!</v>
      </c>
      <c r="X148" s="538" t="e">
        <f>IF(INPUTS!$B$15="yes",W148,V148)</f>
        <v>#DIV/0!</v>
      </c>
      <c r="Y148" s="536" t="e">
        <f t="shared" si="23"/>
        <v>#DIV/0!</v>
      </c>
      <c r="Z148" s="537" t="e">
        <f t="shared" si="24"/>
        <v>#DIV/0!</v>
      </c>
      <c r="AA148" s="538" t="e">
        <f>IF(INPUTS!$B$15="yes",Z148,Y148)</f>
        <v>#DIV/0!</v>
      </c>
      <c r="AB148" s="536" t="e">
        <f t="shared" si="25"/>
        <v>#DIV/0!</v>
      </c>
      <c r="AC148" s="537" t="e">
        <f t="shared" si="26"/>
        <v>#DIV/0!</v>
      </c>
      <c r="AD148" s="538" t="e">
        <f>IF(INPUTS!$B$15="yes",AC148,AB148)</f>
        <v>#DIV/0!</v>
      </c>
      <c r="AE148" s="36" t="str">
        <f t="shared" si="27"/>
        <v>no</v>
      </c>
      <c r="AF148" s="36"/>
      <c r="AG148" s="389" t="e">
        <f>P148*('upper bound Kenaga'!$F$36/100)</f>
        <v>#DIV/0!</v>
      </c>
      <c r="AH148" s="36"/>
      <c r="AI148" s="389" t="e">
        <f>P148*('upper bound Kenaga'!$F$96/100)</f>
        <v>#DIV/0!</v>
      </c>
      <c r="AJ148" s="36"/>
      <c r="AK148" s="36"/>
      <c r="AL148" s="36"/>
      <c r="AM148" s="36"/>
      <c r="AN148" s="36"/>
      <c r="AO148" s="36"/>
    </row>
    <row r="149" spans="1:41">
      <c r="J149" s="6">
        <f>COUNTIF(K$21:K149,"=yes")</f>
        <v>1</v>
      </c>
      <c r="K149" s="533" t="str">
        <f>IF(LOOKUP(VALUE(M149),INPUTS!$G$6:$G$35)=M149,"yes","no")</f>
        <v>no</v>
      </c>
      <c r="L149" s="533">
        <f>IF(K149="yes",(LOOKUP(J149,INPUTS!$E$6:$E$35,INPUTS!$F$6:$F$35)),0)</f>
        <v>0</v>
      </c>
      <c r="M149" s="135">
        <f t="shared" si="28"/>
        <v>128</v>
      </c>
      <c r="N149" s="135">
        <f t="shared" si="29"/>
        <v>1</v>
      </c>
      <c r="O149" s="135">
        <f t="shared" si="30"/>
        <v>0</v>
      </c>
      <c r="P149" s="536" t="e">
        <f t="shared" si="31"/>
        <v>#DIV/0!</v>
      </c>
      <c r="Q149" s="537" t="e">
        <f t="shared" si="18"/>
        <v>#DIV/0!</v>
      </c>
      <c r="R149" s="538" t="e">
        <f>IF(INPUTS!$B$15="yes",Q149,P149)</f>
        <v>#DIV/0!</v>
      </c>
      <c r="S149" s="536" t="e">
        <f t="shared" si="19"/>
        <v>#DIV/0!</v>
      </c>
      <c r="T149" s="537" t="e">
        <f t="shared" si="20"/>
        <v>#DIV/0!</v>
      </c>
      <c r="U149" s="538" t="e">
        <f>IF(INPUTS!$B$15="yes",T149,S149)</f>
        <v>#DIV/0!</v>
      </c>
      <c r="V149" s="536" t="e">
        <f t="shared" si="21"/>
        <v>#DIV/0!</v>
      </c>
      <c r="W149" s="537" t="e">
        <f t="shared" si="22"/>
        <v>#DIV/0!</v>
      </c>
      <c r="X149" s="538" t="e">
        <f>IF(INPUTS!$B$15="yes",W149,V149)</f>
        <v>#DIV/0!</v>
      </c>
      <c r="Y149" s="536" t="e">
        <f t="shared" si="23"/>
        <v>#DIV/0!</v>
      </c>
      <c r="Z149" s="537" t="e">
        <f t="shared" si="24"/>
        <v>#DIV/0!</v>
      </c>
      <c r="AA149" s="538" t="e">
        <f>IF(INPUTS!$B$15="yes",Z149,Y149)</f>
        <v>#DIV/0!</v>
      </c>
      <c r="AB149" s="536" t="e">
        <f t="shared" si="25"/>
        <v>#DIV/0!</v>
      </c>
      <c r="AC149" s="537" t="e">
        <f t="shared" si="26"/>
        <v>#DIV/0!</v>
      </c>
      <c r="AD149" s="538" t="e">
        <f>IF(INPUTS!$B$15="yes",AC149,AB149)</f>
        <v>#DIV/0!</v>
      </c>
      <c r="AE149" s="36" t="str">
        <f t="shared" si="27"/>
        <v>no</v>
      </c>
      <c r="AF149" s="36"/>
      <c r="AG149" s="389" t="e">
        <f>P149*('upper bound Kenaga'!$F$36/100)</f>
        <v>#DIV/0!</v>
      </c>
      <c r="AH149" s="36"/>
      <c r="AI149" s="389" t="e">
        <f>P149*('upper bound Kenaga'!$F$96/100)</f>
        <v>#DIV/0!</v>
      </c>
      <c r="AJ149" s="36"/>
      <c r="AK149" s="36"/>
      <c r="AL149" s="36"/>
      <c r="AM149" s="36"/>
      <c r="AN149" s="36"/>
      <c r="AO149" s="36"/>
    </row>
    <row r="150" spans="1:41">
      <c r="J150" s="6">
        <f>COUNTIF(K$21:K150,"=yes")</f>
        <v>1</v>
      </c>
      <c r="K150" s="533" t="str">
        <f>IF(LOOKUP(VALUE(M150),INPUTS!$G$6:$G$35)=M150,"yes","no")</f>
        <v>no</v>
      </c>
      <c r="L150" s="533">
        <f>IF(K150="yes",(LOOKUP(J150,INPUTS!$E$6:$E$35,INPUTS!$F$6:$F$35)),0)</f>
        <v>0</v>
      </c>
      <c r="M150" s="135">
        <f t="shared" si="28"/>
        <v>129</v>
      </c>
      <c r="N150" s="135">
        <f t="shared" si="29"/>
        <v>1</v>
      </c>
      <c r="O150" s="135">
        <f t="shared" si="30"/>
        <v>0</v>
      </c>
      <c r="P150" s="536" t="e">
        <f t="shared" si="31"/>
        <v>#DIV/0!</v>
      </c>
      <c r="Q150" s="537" t="e">
        <f t="shared" ref="Q150:Q213" si="36">IF($K150="yes",(EXP(-$R$16)*(Q149)+(240*$L150)),((EXP(-$R$16)*(Q149))))</f>
        <v>#DIV/0!</v>
      </c>
      <c r="R150" s="538" t="e">
        <f>IF(INPUTS!$B$15="yes",Q150,P150)</f>
        <v>#DIV/0!</v>
      </c>
      <c r="S150" s="536" t="e">
        <f t="shared" ref="S150:S213" si="37">IF(($N150&gt;$N149),(EXP(-$R$16)*(S149)+$R$12),((EXP(-$R$16)*(S149))))</f>
        <v>#DIV/0!</v>
      </c>
      <c r="T150" s="537" t="e">
        <f t="shared" ref="T150:T213" si="38">IF($K150="yes",(EXP(-$R$16)*(T149)+(110*$L150)),((EXP(-$R$16)*(T149))))</f>
        <v>#DIV/0!</v>
      </c>
      <c r="U150" s="538" t="e">
        <f>IF(INPUTS!$B$15="yes",T150,S150)</f>
        <v>#DIV/0!</v>
      </c>
      <c r="V150" s="536" t="e">
        <f t="shared" ref="V150:V213" si="39">IF(($N150&gt;$N149),(EXP(-$R$16)*(V149)+$R$13),((EXP(-$R$16)*(V149))))</f>
        <v>#DIV/0!</v>
      </c>
      <c r="W150" s="537" t="e">
        <f t="shared" ref="W150:W213" si="40">IF($K150="yes",(EXP(-$R$16)*(W149)+(135*$L150)),((EXP(-$R$16)*(W149))))</f>
        <v>#DIV/0!</v>
      </c>
      <c r="X150" s="538" t="e">
        <f>IF(INPUTS!$B$15="yes",W150,V150)</f>
        <v>#DIV/0!</v>
      </c>
      <c r="Y150" s="536" t="e">
        <f t="shared" ref="Y150:Y213" si="41">IF(($N150&gt;$N149),(EXP(-$R$16)*(Y149)+$R$14),((EXP(-$R$16)*(Y149))))</f>
        <v>#DIV/0!</v>
      </c>
      <c r="Z150" s="537" t="e">
        <f t="shared" ref="Z150:Z213" si="42">IF($K150="yes",(EXP(-$R$16)*(Z149)+(15*$L150)),((EXP(-$R$16)*(Z149))))</f>
        <v>#DIV/0!</v>
      </c>
      <c r="AA150" s="538" t="e">
        <f>IF(INPUTS!$B$15="yes",Z150,Y150)</f>
        <v>#DIV/0!</v>
      </c>
      <c r="AB150" s="536" t="e">
        <f t="shared" ref="AB150:AB213" si="43">IF(($N150&gt;$N149),(EXP(-$R$16)*(AB149)+$R$15),((EXP(-$R$16)*(AB149))))</f>
        <v>#DIV/0!</v>
      </c>
      <c r="AC150" s="537" t="e">
        <f t="shared" ref="AC150:AC213" si="44">IF($K150="yes",(EXP(-$R$16)*(AC149)+(94*$L150)),((EXP(-$R$16)*(AC149))))</f>
        <v>#DIV/0!</v>
      </c>
      <c r="AD150" s="538" t="e">
        <f>IF(INPUTS!$B$15="yes",AC150,AB150)</f>
        <v>#DIV/0!</v>
      </c>
      <c r="AE150" s="36" t="str">
        <f t="shared" si="27"/>
        <v>no</v>
      </c>
      <c r="AF150" s="36"/>
      <c r="AG150" s="389" t="e">
        <f>P150*('upper bound Kenaga'!$F$36/100)</f>
        <v>#DIV/0!</v>
      </c>
      <c r="AH150" s="36"/>
      <c r="AI150" s="389" t="e">
        <f>P150*('upper bound Kenaga'!$F$96/100)</f>
        <v>#DIV/0!</v>
      </c>
      <c r="AJ150" s="36"/>
      <c r="AK150" s="36"/>
      <c r="AL150" s="36"/>
      <c r="AM150" s="36"/>
      <c r="AN150" s="36"/>
      <c r="AO150" s="36"/>
    </row>
    <row r="151" spans="1:41">
      <c r="J151" s="6">
        <f>COUNTIF(K$21:K151,"=yes")</f>
        <v>1</v>
      </c>
      <c r="K151" s="533" t="str">
        <f>IF(LOOKUP(VALUE(M151),INPUTS!$G$6:$G$35)=M151,"yes","no")</f>
        <v>no</v>
      </c>
      <c r="L151" s="533">
        <f>IF(K151="yes",(LOOKUP(J151,INPUTS!$E$6:$E$35,INPUTS!$F$6:$F$35)),0)</f>
        <v>0</v>
      </c>
      <c r="M151" s="135">
        <f t="shared" si="28"/>
        <v>130</v>
      </c>
      <c r="N151" s="135">
        <f t="shared" si="29"/>
        <v>1</v>
      </c>
      <c r="O151" s="135">
        <f t="shared" si="30"/>
        <v>0</v>
      </c>
      <c r="P151" s="536" t="e">
        <f t="shared" si="31"/>
        <v>#DIV/0!</v>
      </c>
      <c r="Q151" s="537" t="e">
        <f t="shared" si="36"/>
        <v>#DIV/0!</v>
      </c>
      <c r="R151" s="538" t="e">
        <f>IF(INPUTS!$B$15="yes",Q151,P151)</f>
        <v>#DIV/0!</v>
      </c>
      <c r="S151" s="536" t="e">
        <f t="shared" si="37"/>
        <v>#DIV/0!</v>
      </c>
      <c r="T151" s="537" t="e">
        <f t="shared" si="38"/>
        <v>#DIV/0!</v>
      </c>
      <c r="U151" s="538" t="e">
        <f>IF(INPUTS!$B$15="yes",T151,S151)</f>
        <v>#DIV/0!</v>
      </c>
      <c r="V151" s="536" t="e">
        <f t="shared" si="39"/>
        <v>#DIV/0!</v>
      </c>
      <c r="W151" s="537" t="e">
        <f t="shared" si="40"/>
        <v>#DIV/0!</v>
      </c>
      <c r="X151" s="538" t="e">
        <f>IF(INPUTS!$B$15="yes",W151,V151)</f>
        <v>#DIV/0!</v>
      </c>
      <c r="Y151" s="536" t="e">
        <f t="shared" si="41"/>
        <v>#DIV/0!</v>
      </c>
      <c r="Z151" s="537" t="e">
        <f t="shared" si="42"/>
        <v>#DIV/0!</v>
      </c>
      <c r="AA151" s="538" t="e">
        <f>IF(INPUTS!$B$15="yes",Z151,Y151)</f>
        <v>#DIV/0!</v>
      </c>
      <c r="AB151" s="536" t="e">
        <f t="shared" si="43"/>
        <v>#DIV/0!</v>
      </c>
      <c r="AC151" s="537" t="e">
        <f t="shared" si="44"/>
        <v>#DIV/0!</v>
      </c>
      <c r="AD151" s="538" t="e">
        <f>IF(INPUTS!$B$15="yes",AC151,AB151)</f>
        <v>#DIV/0!</v>
      </c>
      <c r="AE151" s="36" t="str">
        <f t="shared" si="27"/>
        <v>no</v>
      </c>
      <c r="AF151" s="36"/>
      <c r="AG151" s="389" t="e">
        <f>P151*('upper bound Kenaga'!$F$36/100)</f>
        <v>#DIV/0!</v>
      </c>
      <c r="AH151" s="36"/>
      <c r="AI151" s="389" t="e">
        <f>P151*('upper bound Kenaga'!$F$96/100)</f>
        <v>#DIV/0!</v>
      </c>
      <c r="AJ151" s="36"/>
      <c r="AK151" s="36"/>
      <c r="AL151" s="36"/>
      <c r="AM151" s="36"/>
      <c r="AN151" s="36"/>
      <c r="AO151" s="36"/>
    </row>
    <row r="152" spans="1:41">
      <c r="J152" s="6">
        <f>COUNTIF(K$21:K152,"=yes")</f>
        <v>1</v>
      </c>
      <c r="K152" s="533" t="str">
        <f>IF(LOOKUP(VALUE(M152),INPUTS!$G$6:$G$35)=M152,"yes","no")</f>
        <v>no</v>
      </c>
      <c r="L152" s="533">
        <f>IF(K152="yes",(LOOKUP(J152,INPUTS!$E$6:$E$35,INPUTS!$F$6:$F$35)),0)</f>
        <v>0</v>
      </c>
      <c r="M152" s="135">
        <f t="shared" si="28"/>
        <v>131</v>
      </c>
      <c r="N152" s="135">
        <f t="shared" si="29"/>
        <v>1</v>
      </c>
      <c r="O152" s="135">
        <f t="shared" si="30"/>
        <v>0</v>
      </c>
      <c r="P152" s="536" t="e">
        <f t="shared" si="31"/>
        <v>#DIV/0!</v>
      </c>
      <c r="Q152" s="537" t="e">
        <f t="shared" si="36"/>
        <v>#DIV/0!</v>
      </c>
      <c r="R152" s="538" t="e">
        <f>IF(INPUTS!$B$15="yes",Q152,P152)</f>
        <v>#DIV/0!</v>
      </c>
      <c r="S152" s="536" t="e">
        <f t="shared" si="37"/>
        <v>#DIV/0!</v>
      </c>
      <c r="T152" s="537" t="e">
        <f t="shared" si="38"/>
        <v>#DIV/0!</v>
      </c>
      <c r="U152" s="538" t="e">
        <f>IF(INPUTS!$B$15="yes",T152,S152)</f>
        <v>#DIV/0!</v>
      </c>
      <c r="V152" s="536" t="e">
        <f t="shared" si="39"/>
        <v>#DIV/0!</v>
      </c>
      <c r="W152" s="537" t="e">
        <f t="shared" si="40"/>
        <v>#DIV/0!</v>
      </c>
      <c r="X152" s="538" t="e">
        <f>IF(INPUTS!$B$15="yes",W152,V152)</f>
        <v>#DIV/0!</v>
      </c>
      <c r="Y152" s="536" t="e">
        <f t="shared" si="41"/>
        <v>#DIV/0!</v>
      </c>
      <c r="Z152" s="537" t="e">
        <f t="shared" si="42"/>
        <v>#DIV/0!</v>
      </c>
      <c r="AA152" s="538" t="e">
        <f>IF(INPUTS!$B$15="yes",Z152,Y152)</f>
        <v>#DIV/0!</v>
      </c>
      <c r="AB152" s="536" t="e">
        <f t="shared" si="43"/>
        <v>#DIV/0!</v>
      </c>
      <c r="AC152" s="537" t="e">
        <f t="shared" si="44"/>
        <v>#DIV/0!</v>
      </c>
      <c r="AD152" s="538" t="e">
        <f>IF(INPUTS!$B$15="yes",AC152,AB152)</f>
        <v>#DIV/0!</v>
      </c>
      <c r="AE152" s="36" t="str">
        <f t="shared" si="27"/>
        <v>no</v>
      </c>
      <c r="AF152" s="36"/>
      <c r="AG152" s="389" t="e">
        <f>P152*('upper bound Kenaga'!$F$36/100)</f>
        <v>#DIV/0!</v>
      </c>
      <c r="AH152" s="36"/>
      <c r="AI152" s="389" t="e">
        <f>P152*('upper bound Kenaga'!$F$96/100)</f>
        <v>#DIV/0!</v>
      </c>
      <c r="AJ152" s="36"/>
      <c r="AK152" s="36"/>
      <c r="AL152" s="36"/>
      <c r="AM152" s="36"/>
      <c r="AN152" s="36"/>
      <c r="AO152" s="36"/>
    </row>
    <row r="153" spans="1:41">
      <c r="J153" s="6">
        <f>COUNTIF(K$21:K153,"=yes")</f>
        <v>1</v>
      </c>
      <c r="K153" s="533" t="str">
        <f>IF(LOOKUP(VALUE(M153),INPUTS!$G$6:$G$35)=M153,"yes","no")</f>
        <v>no</v>
      </c>
      <c r="L153" s="533">
        <f>IF(K153="yes",(LOOKUP(J153,INPUTS!$E$6:$E$35,INPUTS!$F$6:$F$35)),0)</f>
        <v>0</v>
      </c>
      <c r="M153" s="135">
        <f t="shared" si="28"/>
        <v>132</v>
      </c>
      <c r="N153" s="135">
        <f t="shared" si="29"/>
        <v>1</v>
      </c>
      <c r="O153" s="135">
        <f t="shared" si="30"/>
        <v>0</v>
      </c>
      <c r="P153" s="536" t="e">
        <f t="shared" si="31"/>
        <v>#DIV/0!</v>
      </c>
      <c r="Q153" s="537" t="e">
        <f t="shared" si="36"/>
        <v>#DIV/0!</v>
      </c>
      <c r="R153" s="538" t="e">
        <f>IF(INPUTS!$B$15="yes",Q153,P153)</f>
        <v>#DIV/0!</v>
      </c>
      <c r="S153" s="536" t="e">
        <f t="shared" si="37"/>
        <v>#DIV/0!</v>
      </c>
      <c r="T153" s="537" t="e">
        <f t="shared" si="38"/>
        <v>#DIV/0!</v>
      </c>
      <c r="U153" s="538" t="e">
        <f>IF(INPUTS!$B$15="yes",T153,S153)</f>
        <v>#DIV/0!</v>
      </c>
      <c r="V153" s="536" t="e">
        <f t="shared" si="39"/>
        <v>#DIV/0!</v>
      </c>
      <c r="W153" s="537" t="e">
        <f t="shared" si="40"/>
        <v>#DIV/0!</v>
      </c>
      <c r="X153" s="538" t="e">
        <f>IF(INPUTS!$B$15="yes",W153,V153)</f>
        <v>#DIV/0!</v>
      </c>
      <c r="Y153" s="536" t="e">
        <f t="shared" si="41"/>
        <v>#DIV/0!</v>
      </c>
      <c r="Z153" s="537" t="e">
        <f t="shared" si="42"/>
        <v>#DIV/0!</v>
      </c>
      <c r="AA153" s="538" t="e">
        <f>IF(INPUTS!$B$15="yes",Z153,Y153)</f>
        <v>#DIV/0!</v>
      </c>
      <c r="AB153" s="536" t="e">
        <f t="shared" si="43"/>
        <v>#DIV/0!</v>
      </c>
      <c r="AC153" s="537" t="e">
        <f t="shared" si="44"/>
        <v>#DIV/0!</v>
      </c>
      <c r="AD153" s="538" t="e">
        <f>IF(INPUTS!$B$15="yes",AC153,AB153)</f>
        <v>#DIV/0!</v>
      </c>
      <c r="AE153" s="36" t="str">
        <f t="shared" si="27"/>
        <v>no</v>
      </c>
      <c r="AF153" s="36"/>
      <c r="AG153" s="389" t="e">
        <f>P153*('upper bound Kenaga'!$F$36/100)</f>
        <v>#DIV/0!</v>
      </c>
      <c r="AH153" s="36"/>
      <c r="AI153" s="389" t="e">
        <f>P153*('upper bound Kenaga'!$F$96/100)</f>
        <v>#DIV/0!</v>
      </c>
      <c r="AJ153" s="36"/>
      <c r="AK153" s="36"/>
      <c r="AL153" s="36"/>
      <c r="AM153" s="36"/>
      <c r="AN153" s="36"/>
      <c r="AO153" s="36"/>
    </row>
    <row r="154" spans="1:41">
      <c r="J154" s="6">
        <f>COUNTIF(K$21:K154,"=yes")</f>
        <v>1</v>
      </c>
      <c r="K154" s="533" t="str">
        <f>IF(LOOKUP(VALUE(M154),INPUTS!$G$6:$G$35)=M154,"yes","no")</f>
        <v>no</v>
      </c>
      <c r="L154" s="533">
        <f>IF(K154="yes",(LOOKUP(J154,INPUTS!$E$6:$E$35,INPUTS!$F$6:$F$35)),0)</f>
        <v>0</v>
      </c>
      <c r="M154" s="135">
        <f t="shared" si="28"/>
        <v>133</v>
      </c>
      <c r="N154" s="135">
        <f t="shared" si="29"/>
        <v>1</v>
      </c>
      <c r="O154" s="135">
        <f t="shared" si="30"/>
        <v>0</v>
      </c>
      <c r="P154" s="536" t="e">
        <f t="shared" si="31"/>
        <v>#DIV/0!</v>
      </c>
      <c r="Q154" s="537" t="e">
        <f t="shared" si="36"/>
        <v>#DIV/0!</v>
      </c>
      <c r="R154" s="538" t="e">
        <f>IF(INPUTS!$B$15="yes",Q154,P154)</f>
        <v>#DIV/0!</v>
      </c>
      <c r="S154" s="536" t="e">
        <f t="shared" si="37"/>
        <v>#DIV/0!</v>
      </c>
      <c r="T154" s="537" t="e">
        <f t="shared" si="38"/>
        <v>#DIV/0!</v>
      </c>
      <c r="U154" s="538" t="e">
        <f>IF(INPUTS!$B$15="yes",T154,S154)</f>
        <v>#DIV/0!</v>
      </c>
      <c r="V154" s="536" t="e">
        <f t="shared" si="39"/>
        <v>#DIV/0!</v>
      </c>
      <c r="W154" s="537" t="e">
        <f t="shared" si="40"/>
        <v>#DIV/0!</v>
      </c>
      <c r="X154" s="538" t="e">
        <f>IF(INPUTS!$B$15="yes",W154,V154)</f>
        <v>#DIV/0!</v>
      </c>
      <c r="Y154" s="536" t="e">
        <f t="shared" si="41"/>
        <v>#DIV/0!</v>
      </c>
      <c r="Z154" s="537" t="e">
        <f t="shared" si="42"/>
        <v>#DIV/0!</v>
      </c>
      <c r="AA154" s="538" t="e">
        <f>IF(INPUTS!$B$15="yes",Z154,Y154)</f>
        <v>#DIV/0!</v>
      </c>
      <c r="AB154" s="536" t="e">
        <f t="shared" si="43"/>
        <v>#DIV/0!</v>
      </c>
      <c r="AC154" s="537" t="e">
        <f t="shared" si="44"/>
        <v>#DIV/0!</v>
      </c>
      <c r="AD154" s="538" t="e">
        <f>IF(INPUTS!$B$15="yes",AC154,AB154)</f>
        <v>#DIV/0!</v>
      </c>
      <c r="AE154" s="36" t="str">
        <f t="shared" ref="AE154:AE217" si="45">$B$11</f>
        <v>no</v>
      </c>
      <c r="AF154" s="36"/>
      <c r="AG154" s="389" t="e">
        <f>P154*('upper bound Kenaga'!$F$36/100)</f>
        <v>#DIV/0!</v>
      </c>
      <c r="AH154" s="36"/>
      <c r="AI154" s="389" t="e">
        <f>P154*('upper bound Kenaga'!$F$96/100)</f>
        <v>#DIV/0!</v>
      </c>
      <c r="AJ154" s="36"/>
      <c r="AK154" s="36"/>
      <c r="AL154" s="36"/>
      <c r="AM154" s="36"/>
      <c r="AN154" s="36"/>
      <c r="AO154" s="36"/>
    </row>
    <row r="155" spans="1:41">
      <c r="J155" s="6">
        <f>COUNTIF(K$21:K155,"=yes")</f>
        <v>1</v>
      </c>
      <c r="K155" s="533" t="str">
        <f>IF(LOOKUP(VALUE(M155),INPUTS!$G$6:$G$35)=M155,"yes","no")</f>
        <v>no</v>
      </c>
      <c r="L155" s="533">
        <f>IF(K155="yes",(LOOKUP(J155,INPUTS!$E$6:$E$35,INPUTS!$F$6:$F$35)),0)</f>
        <v>0</v>
      </c>
      <c r="M155" s="135">
        <f t="shared" ref="M155:M218" si="46">(M154+1)</f>
        <v>134</v>
      </c>
      <c r="N155" s="135">
        <f t="shared" ref="N155:N218" si="47">IF($B$9&gt;N154,IF(O154=($B$8-1),(N154+1),(N154)),(N154))</f>
        <v>1</v>
      </c>
      <c r="O155" s="135">
        <f t="shared" ref="O155:O218" si="48">IF(O154&lt;($B$8-1),(1+O154),0)</f>
        <v>0</v>
      </c>
      <c r="P155" s="536" t="e">
        <f t="shared" si="31"/>
        <v>#DIV/0!</v>
      </c>
      <c r="Q155" s="537" t="e">
        <f t="shared" si="36"/>
        <v>#DIV/0!</v>
      </c>
      <c r="R155" s="538" t="e">
        <f>IF(INPUTS!$B$15="yes",Q155,P155)</f>
        <v>#DIV/0!</v>
      </c>
      <c r="S155" s="536" t="e">
        <f t="shared" si="37"/>
        <v>#DIV/0!</v>
      </c>
      <c r="T155" s="537" t="e">
        <f t="shared" si="38"/>
        <v>#DIV/0!</v>
      </c>
      <c r="U155" s="538" t="e">
        <f>IF(INPUTS!$B$15="yes",T155,S155)</f>
        <v>#DIV/0!</v>
      </c>
      <c r="V155" s="536" t="e">
        <f t="shared" si="39"/>
        <v>#DIV/0!</v>
      </c>
      <c r="W155" s="537" t="e">
        <f t="shared" si="40"/>
        <v>#DIV/0!</v>
      </c>
      <c r="X155" s="538" t="e">
        <f>IF(INPUTS!$B$15="yes",W155,V155)</f>
        <v>#DIV/0!</v>
      </c>
      <c r="Y155" s="536" t="e">
        <f t="shared" si="41"/>
        <v>#DIV/0!</v>
      </c>
      <c r="Z155" s="537" t="e">
        <f t="shared" si="42"/>
        <v>#DIV/0!</v>
      </c>
      <c r="AA155" s="538" t="e">
        <f>IF(INPUTS!$B$15="yes",Z155,Y155)</f>
        <v>#DIV/0!</v>
      </c>
      <c r="AB155" s="536" t="e">
        <f t="shared" si="43"/>
        <v>#DIV/0!</v>
      </c>
      <c r="AC155" s="537" t="e">
        <f t="shared" si="44"/>
        <v>#DIV/0!</v>
      </c>
      <c r="AD155" s="538" t="e">
        <f>IF(INPUTS!$B$15="yes",AC155,AB155)</f>
        <v>#DIV/0!</v>
      </c>
      <c r="AE155" s="36" t="str">
        <f t="shared" si="45"/>
        <v>no</v>
      </c>
      <c r="AF155" s="36"/>
      <c r="AG155" s="389" t="e">
        <f>P155*('upper bound Kenaga'!$F$36/100)</f>
        <v>#DIV/0!</v>
      </c>
      <c r="AH155" s="36"/>
      <c r="AI155" s="389" t="e">
        <f>P155*('upper bound Kenaga'!$F$96/100)</f>
        <v>#DIV/0!</v>
      </c>
      <c r="AJ155" s="36"/>
      <c r="AK155" s="36"/>
      <c r="AL155" s="36"/>
      <c r="AM155" s="36"/>
      <c r="AN155" s="36"/>
      <c r="AO155" s="36"/>
    </row>
    <row r="156" spans="1:41">
      <c r="J156" s="6">
        <f>COUNTIF(K$21:K156,"=yes")</f>
        <v>1</v>
      </c>
      <c r="K156" s="533" t="str">
        <f>IF(LOOKUP(VALUE(M156),INPUTS!$G$6:$G$35)=M156,"yes","no")</f>
        <v>no</v>
      </c>
      <c r="L156" s="533">
        <f>IF(K156="yes",(LOOKUP(J156,INPUTS!$E$6:$E$35,INPUTS!$F$6:$F$35)),0)</f>
        <v>0</v>
      </c>
      <c r="M156" s="135">
        <f t="shared" si="46"/>
        <v>135</v>
      </c>
      <c r="N156" s="135">
        <f t="shared" si="47"/>
        <v>1</v>
      </c>
      <c r="O156" s="135">
        <f t="shared" si="48"/>
        <v>0</v>
      </c>
      <c r="P156" s="536" t="e">
        <f t="shared" si="31"/>
        <v>#DIV/0!</v>
      </c>
      <c r="Q156" s="537" t="e">
        <f t="shared" si="36"/>
        <v>#DIV/0!</v>
      </c>
      <c r="R156" s="538" t="e">
        <f>IF(INPUTS!$B$15="yes",Q156,P156)</f>
        <v>#DIV/0!</v>
      </c>
      <c r="S156" s="536" t="e">
        <f t="shared" si="37"/>
        <v>#DIV/0!</v>
      </c>
      <c r="T156" s="537" t="e">
        <f t="shared" si="38"/>
        <v>#DIV/0!</v>
      </c>
      <c r="U156" s="538" t="e">
        <f>IF(INPUTS!$B$15="yes",T156,S156)</f>
        <v>#DIV/0!</v>
      </c>
      <c r="V156" s="536" t="e">
        <f t="shared" si="39"/>
        <v>#DIV/0!</v>
      </c>
      <c r="W156" s="537" t="e">
        <f t="shared" si="40"/>
        <v>#DIV/0!</v>
      </c>
      <c r="X156" s="538" t="e">
        <f>IF(INPUTS!$B$15="yes",W156,V156)</f>
        <v>#DIV/0!</v>
      </c>
      <c r="Y156" s="536" t="e">
        <f t="shared" si="41"/>
        <v>#DIV/0!</v>
      </c>
      <c r="Z156" s="537" t="e">
        <f t="shared" si="42"/>
        <v>#DIV/0!</v>
      </c>
      <c r="AA156" s="538" t="e">
        <f>IF(INPUTS!$B$15="yes",Z156,Y156)</f>
        <v>#DIV/0!</v>
      </c>
      <c r="AB156" s="536" t="e">
        <f t="shared" si="43"/>
        <v>#DIV/0!</v>
      </c>
      <c r="AC156" s="537" t="e">
        <f t="shared" si="44"/>
        <v>#DIV/0!</v>
      </c>
      <c r="AD156" s="538" t="e">
        <f>IF(INPUTS!$B$15="yes",AC156,AB156)</f>
        <v>#DIV/0!</v>
      </c>
      <c r="AE156" s="36" t="str">
        <f t="shared" si="45"/>
        <v>no</v>
      </c>
      <c r="AF156" s="36"/>
      <c r="AG156" s="389" t="e">
        <f>P156*('upper bound Kenaga'!$F$36/100)</f>
        <v>#DIV/0!</v>
      </c>
      <c r="AH156" s="36"/>
      <c r="AI156" s="389" t="e">
        <f>P156*('upper bound Kenaga'!$F$96/100)</f>
        <v>#DIV/0!</v>
      </c>
      <c r="AJ156" s="36"/>
      <c r="AK156" s="36"/>
      <c r="AL156" s="36"/>
      <c r="AM156" s="36"/>
      <c r="AN156" s="36"/>
      <c r="AO156" s="36"/>
    </row>
    <row r="157" spans="1:41">
      <c r="J157" s="6">
        <f>COUNTIF(K$21:K157,"=yes")</f>
        <v>1</v>
      </c>
      <c r="K157" s="533" t="str">
        <f>IF(LOOKUP(VALUE(M157),INPUTS!$G$6:$G$35)=M157,"yes","no")</f>
        <v>no</v>
      </c>
      <c r="L157" s="533">
        <f>IF(K157="yes",(LOOKUP(J157,INPUTS!$E$6:$E$35,INPUTS!$F$6:$F$35)),0)</f>
        <v>0</v>
      </c>
      <c r="M157" s="135">
        <f t="shared" si="46"/>
        <v>136</v>
      </c>
      <c r="N157" s="135">
        <f t="shared" si="47"/>
        <v>1</v>
      </c>
      <c r="O157" s="135">
        <f t="shared" si="48"/>
        <v>0</v>
      </c>
      <c r="P157" s="536" t="e">
        <f t="shared" si="31"/>
        <v>#DIV/0!</v>
      </c>
      <c r="Q157" s="537" t="e">
        <f t="shared" si="36"/>
        <v>#DIV/0!</v>
      </c>
      <c r="R157" s="538" t="e">
        <f>IF(INPUTS!$B$15="yes",Q157,P157)</f>
        <v>#DIV/0!</v>
      </c>
      <c r="S157" s="536" t="e">
        <f t="shared" si="37"/>
        <v>#DIV/0!</v>
      </c>
      <c r="T157" s="537" t="e">
        <f t="shared" si="38"/>
        <v>#DIV/0!</v>
      </c>
      <c r="U157" s="538" t="e">
        <f>IF(INPUTS!$B$15="yes",T157,S157)</f>
        <v>#DIV/0!</v>
      </c>
      <c r="V157" s="536" t="e">
        <f t="shared" si="39"/>
        <v>#DIV/0!</v>
      </c>
      <c r="W157" s="537" t="e">
        <f t="shared" si="40"/>
        <v>#DIV/0!</v>
      </c>
      <c r="X157" s="538" t="e">
        <f>IF(INPUTS!$B$15="yes",W157,V157)</f>
        <v>#DIV/0!</v>
      </c>
      <c r="Y157" s="536" t="e">
        <f t="shared" si="41"/>
        <v>#DIV/0!</v>
      </c>
      <c r="Z157" s="537" t="e">
        <f t="shared" si="42"/>
        <v>#DIV/0!</v>
      </c>
      <c r="AA157" s="538" t="e">
        <f>IF(INPUTS!$B$15="yes",Z157,Y157)</f>
        <v>#DIV/0!</v>
      </c>
      <c r="AB157" s="536" t="e">
        <f t="shared" si="43"/>
        <v>#DIV/0!</v>
      </c>
      <c r="AC157" s="537" t="e">
        <f t="shared" si="44"/>
        <v>#DIV/0!</v>
      </c>
      <c r="AD157" s="538" t="e">
        <f>IF(INPUTS!$B$15="yes",AC157,AB157)</f>
        <v>#DIV/0!</v>
      </c>
      <c r="AE157" s="36" t="str">
        <f t="shared" si="45"/>
        <v>no</v>
      </c>
      <c r="AF157" s="36"/>
      <c r="AG157" s="389" t="e">
        <f>P157*('upper bound Kenaga'!$F$36/100)</f>
        <v>#DIV/0!</v>
      </c>
      <c r="AH157" s="36"/>
      <c r="AI157" s="389" t="e">
        <f>P157*('upper bound Kenaga'!$F$96/100)</f>
        <v>#DIV/0!</v>
      </c>
      <c r="AJ157" s="36"/>
      <c r="AK157" s="36"/>
      <c r="AL157" s="36"/>
      <c r="AM157" s="36"/>
      <c r="AN157" s="36"/>
      <c r="AO157" s="36"/>
    </row>
    <row r="158" spans="1:41">
      <c r="J158" s="6">
        <f>COUNTIF(K$21:K158,"=yes")</f>
        <v>1</v>
      </c>
      <c r="K158" s="533" t="str">
        <f>IF(LOOKUP(VALUE(M158),INPUTS!$G$6:$G$35)=M158,"yes","no")</f>
        <v>no</v>
      </c>
      <c r="L158" s="533">
        <f>IF(K158="yes",(LOOKUP(J158,INPUTS!$E$6:$E$35,INPUTS!$F$6:$F$35)),0)</f>
        <v>0</v>
      </c>
      <c r="M158" s="135">
        <f t="shared" si="46"/>
        <v>137</v>
      </c>
      <c r="N158" s="135">
        <f t="shared" si="47"/>
        <v>1</v>
      </c>
      <c r="O158" s="135">
        <f t="shared" si="48"/>
        <v>0</v>
      </c>
      <c r="P158" s="536" t="e">
        <f t="shared" si="31"/>
        <v>#DIV/0!</v>
      </c>
      <c r="Q158" s="537" t="e">
        <f t="shared" si="36"/>
        <v>#DIV/0!</v>
      </c>
      <c r="R158" s="538" t="e">
        <f>IF(INPUTS!$B$15="yes",Q158,P158)</f>
        <v>#DIV/0!</v>
      </c>
      <c r="S158" s="536" t="e">
        <f t="shared" si="37"/>
        <v>#DIV/0!</v>
      </c>
      <c r="T158" s="537" t="e">
        <f t="shared" si="38"/>
        <v>#DIV/0!</v>
      </c>
      <c r="U158" s="538" t="e">
        <f>IF(INPUTS!$B$15="yes",T158,S158)</f>
        <v>#DIV/0!</v>
      </c>
      <c r="V158" s="536" t="e">
        <f t="shared" si="39"/>
        <v>#DIV/0!</v>
      </c>
      <c r="W158" s="537" t="e">
        <f t="shared" si="40"/>
        <v>#DIV/0!</v>
      </c>
      <c r="X158" s="538" t="e">
        <f>IF(INPUTS!$B$15="yes",W158,V158)</f>
        <v>#DIV/0!</v>
      </c>
      <c r="Y158" s="536" t="e">
        <f t="shared" si="41"/>
        <v>#DIV/0!</v>
      </c>
      <c r="Z158" s="537" t="e">
        <f t="shared" si="42"/>
        <v>#DIV/0!</v>
      </c>
      <c r="AA158" s="538" t="e">
        <f>IF(INPUTS!$B$15="yes",Z158,Y158)</f>
        <v>#DIV/0!</v>
      </c>
      <c r="AB158" s="536" t="e">
        <f t="shared" si="43"/>
        <v>#DIV/0!</v>
      </c>
      <c r="AC158" s="537" t="e">
        <f t="shared" si="44"/>
        <v>#DIV/0!</v>
      </c>
      <c r="AD158" s="538" t="e">
        <f>IF(INPUTS!$B$15="yes",AC158,AB158)</f>
        <v>#DIV/0!</v>
      </c>
      <c r="AE158" s="36" t="str">
        <f t="shared" si="45"/>
        <v>no</v>
      </c>
      <c r="AF158" s="36"/>
      <c r="AG158" s="389" t="e">
        <f>P158*('upper bound Kenaga'!$F$36/100)</f>
        <v>#DIV/0!</v>
      </c>
      <c r="AH158" s="36"/>
      <c r="AI158" s="389" t="e">
        <f>P158*('upper bound Kenaga'!$F$96/100)</f>
        <v>#DIV/0!</v>
      </c>
      <c r="AJ158" s="36"/>
      <c r="AK158" s="36"/>
      <c r="AL158" s="36"/>
      <c r="AM158" s="36"/>
      <c r="AN158" s="36"/>
      <c r="AO158" s="36"/>
    </row>
    <row r="159" spans="1:41">
      <c r="J159" s="6">
        <f>COUNTIF(K$21:K159,"=yes")</f>
        <v>1</v>
      </c>
      <c r="K159" s="533" t="str">
        <f>IF(LOOKUP(VALUE(M159),INPUTS!$G$6:$G$35)=M159,"yes","no")</f>
        <v>no</v>
      </c>
      <c r="L159" s="533">
        <f>IF(K159="yes",(LOOKUP(J159,INPUTS!$E$6:$E$35,INPUTS!$F$6:$F$35)),0)</f>
        <v>0</v>
      </c>
      <c r="M159" s="135">
        <f t="shared" si="46"/>
        <v>138</v>
      </c>
      <c r="N159" s="135">
        <f t="shared" si="47"/>
        <v>1</v>
      </c>
      <c r="O159" s="135">
        <f t="shared" si="48"/>
        <v>0</v>
      </c>
      <c r="P159" s="536" t="e">
        <f t="shared" ref="P159:P222" si="49">IF((N159&gt;N158),(EXP(-$R$16)*(P158)+$R$11),((EXP(-$R$16)*(P158))))</f>
        <v>#DIV/0!</v>
      </c>
      <c r="Q159" s="537" t="e">
        <f t="shared" si="36"/>
        <v>#DIV/0!</v>
      </c>
      <c r="R159" s="538" t="e">
        <f>IF(INPUTS!$B$15="yes",Q159,P159)</f>
        <v>#DIV/0!</v>
      </c>
      <c r="S159" s="536" t="e">
        <f t="shared" si="37"/>
        <v>#DIV/0!</v>
      </c>
      <c r="T159" s="537" t="e">
        <f t="shared" si="38"/>
        <v>#DIV/0!</v>
      </c>
      <c r="U159" s="538" t="e">
        <f>IF(INPUTS!$B$15="yes",T159,S159)</f>
        <v>#DIV/0!</v>
      </c>
      <c r="V159" s="536" t="e">
        <f t="shared" si="39"/>
        <v>#DIV/0!</v>
      </c>
      <c r="W159" s="537" t="e">
        <f t="shared" si="40"/>
        <v>#DIV/0!</v>
      </c>
      <c r="X159" s="538" t="e">
        <f>IF(INPUTS!$B$15="yes",W159,V159)</f>
        <v>#DIV/0!</v>
      </c>
      <c r="Y159" s="536" t="e">
        <f t="shared" si="41"/>
        <v>#DIV/0!</v>
      </c>
      <c r="Z159" s="537" t="e">
        <f t="shared" si="42"/>
        <v>#DIV/0!</v>
      </c>
      <c r="AA159" s="538" t="e">
        <f>IF(INPUTS!$B$15="yes",Z159,Y159)</f>
        <v>#DIV/0!</v>
      </c>
      <c r="AB159" s="536" t="e">
        <f t="shared" si="43"/>
        <v>#DIV/0!</v>
      </c>
      <c r="AC159" s="537" t="e">
        <f t="shared" si="44"/>
        <v>#DIV/0!</v>
      </c>
      <c r="AD159" s="538" t="e">
        <f>IF(INPUTS!$B$15="yes",AC159,AB159)</f>
        <v>#DIV/0!</v>
      </c>
      <c r="AE159" s="36" t="str">
        <f t="shared" si="45"/>
        <v>no</v>
      </c>
      <c r="AF159" s="36"/>
      <c r="AG159" s="389" t="e">
        <f>P159*('upper bound Kenaga'!$F$36/100)</f>
        <v>#DIV/0!</v>
      </c>
      <c r="AH159" s="36"/>
      <c r="AI159" s="389" t="e">
        <f>P159*('upper bound Kenaga'!$F$96/100)</f>
        <v>#DIV/0!</v>
      </c>
      <c r="AJ159" s="36"/>
      <c r="AK159" s="36"/>
      <c r="AL159" s="36"/>
      <c r="AM159" s="36"/>
      <c r="AN159" s="36"/>
      <c r="AO159" s="36"/>
    </row>
    <row r="160" spans="1:41">
      <c r="J160" s="6">
        <f>COUNTIF(K$21:K160,"=yes")</f>
        <v>1</v>
      </c>
      <c r="K160" s="533" t="str">
        <f>IF(LOOKUP(VALUE(M160),INPUTS!$G$6:$G$35)=M160,"yes","no")</f>
        <v>no</v>
      </c>
      <c r="L160" s="533">
        <f>IF(K160="yes",(LOOKUP(J160,INPUTS!$E$6:$E$35,INPUTS!$F$6:$F$35)),0)</f>
        <v>0</v>
      </c>
      <c r="M160" s="135">
        <f t="shared" si="46"/>
        <v>139</v>
      </c>
      <c r="N160" s="135">
        <f t="shared" si="47"/>
        <v>1</v>
      </c>
      <c r="O160" s="135">
        <f t="shared" si="48"/>
        <v>0</v>
      </c>
      <c r="P160" s="536" t="e">
        <f t="shared" si="49"/>
        <v>#DIV/0!</v>
      </c>
      <c r="Q160" s="537" t="e">
        <f t="shared" si="36"/>
        <v>#DIV/0!</v>
      </c>
      <c r="R160" s="538" t="e">
        <f>IF(INPUTS!$B$15="yes",Q160,P160)</f>
        <v>#DIV/0!</v>
      </c>
      <c r="S160" s="536" t="e">
        <f t="shared" si="37"/>
        <v>#DIV/0!</v>
      </c>
      <c r="T160" s="537" t="e">
        <f t="shared" si="38"/>
        <v>#DIV/0!</v>
      </c>
      <c r="U160" s="538" t="e">
        <f>IF(INPUTS!$B$15="yes",T160,S160)</f>
        <v>#DIV/0!</v>
      </c>
      <c r="V160" s="536" t="e">
        <f t="shared" si="39"/>
        <v>#DIV/0!</v>
      </c>
      <c r="W160" s="537" t="e">
        <f t="shared" si="40"/>
        <v>#DIV/0!</v>
      </c>
      <c r="X160" s="538" t="e">
        <f>IF(INPUTS!$B$15="yes",W160,V160)</f>
        <v>#DIV/0!</v>
      </c>
      <c r="Y160" s="536" t="e">
        <f t="shared" si="41"/>
        <v>#DIV/0!</v>
      </c>
      <c r="Z160" s="537" t="e">
        <f t="shared" si="42"/>
        <v>#DIV/0!</v>
      </c>
      <c r="AA160" s="538" t="e">
        <f>IF(INPUTS!$B$15="yes",Z160,Y160)</f>
        <v>#DIV/0!</v>
      </c>
      <c r="AB160" s="536" t="e">
        <f t="shared" si="43"/>
        <v>#DIV/0!</v>
      </c>
      <c r="AC160" s="537" t="e">
        <f t="shared" si="44"/>
        <v>#DIV/0!</v>
      </c>
      <c r="AD160" s="538" t="e">
        <f>IF(INPUTS!$B$15="yes",AC160,AB160)</f>
        <v>#DIV/0!</v>
      </c>
      <c r="AE160" s="36" t="str">
        <f t="shared" si="45"/>
        <v>no</v>
      </c>
      <c r="AF160" s="36"/>
      <c r="AG160" s="389" t="e">
        <f>P160*('upper bound Kenaga'!$F$36/100)</f>
        <v>#DIV/0!</v>
      </c>
      <c r="AH160" s="36"/>
      <c r="AI160" s="389" t="e">
        <f>P160*('upper bound Kenaga'!$F$96/100)</f>
        <v>#DIV/0!</v>
      </c>
      <c r="AJ160" s="36"/>
      <c r="AK160" s="36"/>
      <c r="AL160" s="36"/>
      <c r="AM160" s="36"/>
      <c r="AN160" s="36"/>
      <c r="AO160" s="36"/>
    </row>
    <row r="161" spans="10:41" s="1" customFormat="1">
      <c r="J161" s="6">
        <f>COUNTIF(K$21:K161,"=yes")</f>
        <v>1</v>
      </c>
      <c r="K161" s="533" t="str">
        <f>IF(LOOKUP(VALUE(M161),INPUTS!$G$6:$G$35)=M161,"yes","no")</f>
        <v>no</v>
      </c>
      <c r="L161" s="533">
        <f>IF(K161="yes",(LOOKUP(J161,INPUTS!$E$6:$E$35,INPUTS!$F$6:$F$35)),0)</f>
        <v>0</v>
      </c>
      <c r="M161" s="135">
        <f t="shared" si="46"/>
        <v>140</v>
      </c>
      <c r="N161" s="135">
        <f t="shared" si="47"/>
        <v>1</v>
      </c>
      <c r="O161" s="135">
        <f t="shared" si="48"/>
        <v>0</v>
      </c>
      <c r="P161" s="536" t="e">
        <f t="shared" si="49"/>
        <v>#DIV/0!</v>
      </c>
      <c r="Q161" s="537" t="e">
        <f t="shared" si="36"/>
        <v>#DIV/0!</v>
      </c>
      <c r="R161" s="538" t="e">
        <f>IF(INPUTS!$B$15="yes",Q161,P161)</f>
        <v>#DIV/0!</v>
      </c>
      <c r="S161" s="536" t="e">
        <f t="shared" si="37"/>
        <v>#DIV/0!</v>
      </c>
      <c r="T161" s="537" t="e">
        <f t="shared" si="38"/>
        <v>#DIV/0!</v>
      </c>
      <c r="U161" s="538" t="e">
        <f>IF(INPUTS!$B$15="yes",T161,S161)</f>
        <v>#DIV/0!</v>
      </c>
      <c r="V161" s="536" t="e">
        <f t="shared" si="39"/>
        <v>#DIV/0!</v>
      </c>
      <c r="W161" s="537" t="e">
        <f t="shared" si="40"/>
        <v>#DIV/0!</v>
      </c>
      <c r="X161" s="538" t="e">
        <f>IF(INPUTS!$B$15="yes",W161,V161)</f>
        <v>#DIV/0!</v>
      </c>
      <c r="Y161" s="536" t="e">
        <f t="shared" si="41"/>
        <v>#DIV/0!</v>
      </c>
      <c r="Z161" s="537" t="e">
        <f t="shared" si="42"/>
        <v>#DIV/0!</v>
      </c>
      <c r="AA161" s="538" t="e">
        <f>IF(INPUTS!$B$15="yes",Z161,Y161)</f>
        <v>#DIV/0!</v>
      </c>
      <c r="AB161" s="536" t="e">
        <f t="shared" si="43"/>
        <v>#DIV/0!</v>
      </c>
      <c r="AC161" s="537" t="e">
        <f t="shared" si="44"/>
        <v>#DIV/0!</v>
      </c>
      <c r="AD161" s="538" t="e">
        <f>IF(INPUTS!$B$15="yes",AC161,AB161)</f>
        <v>#DIV/0!</v>
      </c>
      <c r="AE161" s="36" t="str">
        <f t="shared" si="45"/>
        <v>no</v>
      </c>
      <c r="AF161" s="36"/>
      <c r="AG161" s="389" t="e">
        <f>P161*('upper bound Kenaga'!$F$36/100)</f>
        <v>#DIV/0!</v>
      </c>
      <c r="AH161" s="36"/>
      <c r="AI161" s="389" t="e">
        <f>P161*('upper bound Kenaga'!$F$96/100)</f>
        <v>#DIV/0!</v>
      </c>
      <c r="AJ161" s="36"/>
      <c r="AK161" s="36"/>
      <c r="AL161" s="36"/>
      <c r="AM161" s="36"/>
      <c r="AN161" s="36"/>
      <c r="AO161" s="36"/>
    </row>
    <row r="162" spans="10:41" s="1" customFormat="1">
      <c r="J162" s="6">
        <f>COUNTIF(K$21:K162,"=yes")</f>
        <v>1</v>
      </c>
      <c r="K162" s="533" t="str">
        <f>IF(LOOKUP(VALUE(M162),INPUTS!$G$6:$G$35)=M162,"yes","no")</f>
        <v>no</v>
      </c>
      <c r="L162" s="533">
        <f>IF(K162="yes",(LOOKUP(J162,INPUTS!$E$6:$E$35,INPUTS!$F$6:$F$35)),0)</f>
        <v>0</v>
      </c>
      <c r="M162" s="135">
        <f t="shared" si="46"/>
        <v>141</v>
      </c>
      <c r="N162" s="135">
        <f t="shared" si="47"/>
        <v>1</v>
      </c>
      <c r="O162" s="135">
        <f t="shared" si="48"/>
        <v>0</v>
      </c>
      <c r="P162" s="536" t="e">
        <f t="shared" si="49"/>
        <v>#DIV/0!</v>
      </c>
      <c r="Q162" s="537" t="e">
        <f t="shared" si="36"/>
        <v>#DIV/0!</v>
      </c>
      <c r="R162" s="538" t="e">
        <f>IF(INPUTS!$B$15="yes",Q162,P162)</f>
        <v>#DIV/0!</v>
      </c>
      <c r="S162" s="536" t="e">
        <f t="shared" si="37"/>
        <v>#DIV/0!</v>
      </c>
      <c r="T162" s="537" t="e">
        <f t="shared" si="38"/>
        <v>#DIV/0!</v>
      </c>
      <c r="U162" s="538" t="e">
        <f>IF(INPUTS!$B$15="yes",T162,S162)</f>
        <v>#DIV/0!</v>
      </c>
      <c r="V162" s="536" t="e">
        <f t="shared" si="39"/>
        <v>#DIV/0!</v>
      </c>
      <c r="W162" s="537" t="e">
        <f t="shared" si="40"/>
        <v>#DIV/0!</v>
      </c>
      <c r="X162" s="538" t="e">
        <f>IF(INPUTS!$B$15="yes",W162,V162)</f>
        <v>#DIV/0!</v>
      </c>
      <c r="Y162" s="536" t="e">
        <f t="shared" si="41"/>
        <v>#DIV/0!</v>
      </c>
      <c r="Z162" s="537" t="e">
        <f t="shared" si="42"/>
        <v>#DIV/0!</v>
      </c>
      <c r="AA162" s="538" t="e">
        <f>IF(INPUTS!$B$15="yes",Z162,Y162)</f>
        <v>#DIV/0!</v>
      </c>
      <c r="AB162" s="536" t="e">
        <f t="shared" si="43"/>
        <v>#DIV/0!</v>
      </c>
      <c r="AC162" s="537" t="e">
        <f t="shared" si="44"/>
        <v>#DIV/0!</v>
      </c>
      <c r="AD162" s="538" t="e">
        <f>IF(INPUTS!$B$15="yes",AC162,AB162)</f>
        <v>#DIV/0!</v>
      </c>
      <c r="AE162" s="36" t="str">
        <f t="shared" si="45"/>
        <v>no</v>
      </c>
      <c r="AF162" s="36"/>
      <c r="AG162" s="389" t="e">
        <f>P162*('upper bound Kenaga'!$F$36/100)</f>
        <v>#DIV/0!</v>
      </c>
      <c r="AH162" s="36"/>
      <c r="AI162" s="389" t="e">
        <f>P162*('upper bound Kenaga'!$F$96/100)</f>
        <v>#DIV/0!</v>
      </c>
      <c r="AJ162" s="36"/>
      <c r="AK162" s="36"/>
      <c r="AL162" s="36"/>
      <c r="AM162" s="36"/>
      <c r="AN162" s="36"/>
      <c r="AO162" s="36"/>
    </row>
    <row r="163" spans="10:41" s="1" customFormat="1">
      <c r="J163" s="6">
        <f>COUNTIF(K$21:K163,"=yes")</f>
        <v>1</v>
      </c>
      <c r="K163" s="533" t="str">
        <f>IF(LOOKUP(VALUE(M163),INPUTS!$G$6:$G$35)=M163,"yes","no")</f>
        <v>no</v>
      </c>
      <c r="L163" s="533">
        <f>IF(K163="yes",(LOOKUP(J163,INPUTS!$E$6:$E$35,INPUTS!$F$6:$F$35)),0)</f>
        <v>0</v>
      </c>
      <c r="M163" s="135">
        <f t="shared" si="46"/>
        <v>142</v>
      </c>
      <c r="N163" s="135">
        <f t="shared" si="47"/>
        <v>1</v>
      </c>
      <c r="O163" s="135">
        <f t="shared" si="48"/>
        <v>0</v>
      </c>
      <c r="P163" s="536" t="e">
        <f t="shared" si="49"/>
        <v>#DIV/0!</v>
      </c>
      <c r="Q163" s="537" t="e">
        <f t="shared" si="36"/>
        <v>#DIV/0!</v>
      </c>
      <c r="R163" s="538" t="e">
        <f>IF(INPUTS!$B$15="yes",Q163,P163)</f>
        <v>#DIV/0!</v>
      </c>
      <c r="S163" s="536" t="e">
        <f t="shared" si="37"/>
        <v>#DIV/0!</v>
      </c>
      <c r="T163" s="537" t="e">
        <f t="shared" si="38"/>
        <v>#DIV/0!</v>
      </c>
      <c r="U163" s="538" t="e">
        <f>IF(INPUTS!$B$15="yes",T163,S163)</f>
        <v>#DIV/0!</v>
      </c>
      <c r="V163" s="536" t="e">
        <f t="shared" si="39"/>
        <v>#DIV/0!</v>
      </c>
      <c r="W163" s="537" t="e">
        <f t="shared" si="40"/>
        <v>#DIV/0!</v>
      </c>
      <c r="X163" s="538" t="e">
        <f>IF(INPUTS!$B$15="yes",W163,V163)</f>
        <v>#DIV/0!</v>
      </c>
      <c r="Y163" s="536" t="e">
        <f t="shared" si="41"/>
        <v>#DIV/0!</v>
      </c>
      <c r="Z163" s="537" t="e">
        <f t="shared" si="42"/>
        <v>#DIV/0!</v>
      </c>
      <c r="AA163" s="538" t="e">
        <f>IF(INPUTS!$B$15="yes",Z163,Y163)</f>
        <v>#DIV/0!</v>
      </c>
      <c r="AB163" s="536" t="e">
        <f t="shared" si="43"/>
        <v>#DIV/0!</v>
      </c>
      <c r="AC163" s="537" t="e">
        <f t="shared" si="44"/>
        <v>#DIV/0!</v>
      </c>
      <c r="AD163" s="538" t="e">
        <f>IF(INPUTS!$B$15="yes",AC163,AB163)</f>
        <v>#DIV/0!</v>
      </c>
      <c r="AE163" s="36" t="str">
        <f t="shared" si="45"/>
        <v>no</v>
      </c>
      <c r="AF163" s="36"/>
      <c r="AG163" s="389" t="e">
        <f>P163*('upper bound Kenaga'!$F$36/100)</f>
        <v>#DIV/0!</v>
      </c>
      <c r="AH163" s="36"/>
      <c r="AI163" s="389" t="e">
        <f>P163*('upper bound Kenaga'!$F$96/100)</f>
        <v>#DIV/0!</v>
      </c>
      <c r="AJ163" s="36"/>
      <c r="AK163" s="36"/>
      <c r="AL163" s="36"/>
      <c r="AM163" s="36"/>
      <c r="AN163" s="36"/>
      <c r="AO163" s="36"/>
    </row>
    <row r="164" spans="10:41" s="1" customFormat="1">
      <c r="J164" s="6">
        <f>COUNTIF(K$21:K164,"=yes")</f>
        <v>1</v>
      </c>
      <c r="K164" s="533" t="str">
        <f>IF(LOOKUP(VALUE(M164),INPUTS!$G$6:$G$35)=M164,"yes","no")</f>
        <v>no</v>
      </c>
      <c r="L164" s="533">
        <f>IF(K164="yes",(LOOKUP(J164,INPUTS!$E$6:$E$35,INPUTS!$F$6:$F$35)),0)</f>
        <v>0</v>
      </c>
      <c r="M164" s="135">
        <f t="shared" si="46"/>
        <v>143</v>
      </c>
      <c r="N164" s="135">
        <f t="shared" si="47"/>
        <v>1</v>
      </c>
      <c r="O164" s="135">
        <f t="shared" si="48"/>
        <v>0</v>
      </c>
      <c r="P164" s="536" t="e">
        <f t="shared" si="49"/>
        <v>#DIV/0!</v>
      </c>
      <c r="Q164" s="537" t="e">
        <f t="shared" si="36"/>
        <v>#DIV/0!</v>
      </c>
      <c r="R164" s="538" t="e">
        <f>IF(INPUTS!$B$15="yes",Q164,P164)</f>
        <v>#DIV/0!</v>
      </c>
      <c r="S164" s="536" t="e">
        <f t="shared" si="37"/>
        <v>#DIV/0!</v>
      </c>
      <c r="T164" s="537" t="e">
        <f t="shared" si="38"/>
        <v>#DIV/0!</v>
      </c>
      <c r="U164" s="538" t="e">
        <f>IF(INPUTS!$B$15="yes",T164,S164)</f>
        <v>#DIV/0!</v>
      </c>
      <c r="V164" s="536" t="e">
        <f t="shared" si="39"/>
        <v>#DIV/0!</v>
      </c>
      <c r="W164" s="537" t="e">
        <f t="shared" si="40"/>
        <v>#DIV/0!</v>
      </c>
      <c r="X164" s="538" t="e">
        <f>IF(INPUTS!$B$15="yes",W164,V164)</f>
        <v>#DIV/0!</v>
      </c>
      <c r="Y164" s="536" t="e">
        <f t="shared" si="41"/>
        <v>#DIV/0!</v>
      </c>
      <c r="Z164" s="537" t="e">
        <f t="shared" si="42"/>
        <v>#DIV/0!</v>
      </c>
      <c r="AA164" s="538" t="e">
        <f>IF(INPUTS!$B$15="yes",Z164,Y164)</f>
        <v>#DIV/0!</v>
      </c>
      <c r="AB164" s="536" t="e">
        <f t="shared" si="43"/>
        <v>#DIV/0!</v>
      </c>
      <c r="AC164" s="537" t="e">
        <f t="shared" si="44"/>
        <v>#DIV/0!</v>
      </c>
      <c r="AD164" s="538" t="e">
        <f>IF(INPUTS!$B$15="yes",AC164,AB164)</f>
        <v>#DIV/0!</v>
      </c>
      <c r="AE164" s="36" t="str">
        <f t="shared" si="45"/>
        <v>no</v>
      </c>
      <c r="AF164" s="36"/>
      <c r="AG164" s="389" t="e">
        <f>P164*('upper bound Kenaga'!$F$36/100)</f>
        <v>#DIV/0!</v>
      </c>
      <c r="AH164" s="36"/>
      <c r="AI164" s="389" t="e">
        <f>P164*('upper bound Kenaga'!$F$96/100)</f>
        <v>#DIV/0!</v>
      </c>
      <c r="AJ164" s="36"/>
      <c r="AK164" s="36"/>
      <c r="AL164" s="36"/>
      <c r="AM164" s="36"/>
      <c r="AN164" s="36"/>
      <c r="AO164" s="36"/>
    </row>
    <row r="165" spans="10:41" s="1" customFormat="1">
      <c r="J165" s="6">
        <f>COUNTIF(K$21:K165,"=yes")</f>
        <v>1</v>
      </c>
      <c r="K165" s="533" t="str">
        <f>IF(LOOKUP(VALUE(M165),INPUTS!$G$6:$G$35)=M165,"yes","no")</f>
        <v>no</v>
      </c>
      <c r="L165" s="533">
        <f>IF(K165="yes",(LOOKUP(J165,INPUTS!$E$6:$E$35,INPUTS!$F$6:$F$35)),0)</f>
        <v>0</v>
      </c>
      <c r="M165" s="135">
        <f t="shared" si="46"/>
        <v>144</v>
      </c>
      <c r="N165" s="135">
        <f t="shared" si="47"/>
        <v>1</v>
      </c>
      <c r="O165" s="135">
        <f t="shared" si="48"/>
        <v>0</v>
      </c>
      <c r="P165" s="536" t="e">
        <f t="shared" si="49"/>
        <v>#DIV/0!</v>
      </c>
      <c r="Q165" s="537" t="e">
        <f t="shared" si="36"/>
        <v>#DIV/0!</v>
      </c>
      <c r="R165" s="538" t="e">
        <f>IF(INPUTS!$B$15="yes",Q165,P165)</f>
        <v>#DIV/0!</v>
      </c>
      <c r="S165" s="536" t="e">
        <f t="shared" si="37"/>
        <v>#DIV/0!</v>
      </c>
      <c r="T165" s="537" t="e">
        <f t="shared" si="38"/>
        <v>#DIV/0!</v>
      </c>
      <c r="U165" s="538" t="e">
        <f>IF(INPUTS!$B$15="yes",T165,S165)</f>
        <v>#DIV/0!</v>
      </c>
      <c r="V165" s="536" t="e">
        <f t="shared" si="39"/>
        <v>#DIV/0!</v>
      </c>
      <c r="W165" s="537" t="e">
        <f t="shared" si="40"/>
        <v>#DIV/0!</v>
      </c>
      <c r="X165" s="538" t="e">
        <f>IF(INPUTS!$B$15="yes",W165,V165)</f>
        <v>#DIV/0!</v>
      </c>
      <c r="Y165" s="536" t="e">
        <f t="shared" si="41"/>
        <v>#DIV/0!</v>
      </c>
      <c r="Z165" s="537" t="e">
        <f t="shared" si="42"/>
        <v>#DIV/0!</v>
      </c>
      <c r="AA165" s="538" t="e">
        <f>IF(INPUTS!$B$15="yes",Z165,Y165)</f>
        <v>#DIV/0!</v>
      </c>
      <c r="AB165" s="536" t="e">
        <f t="shared" si="43"/>
        <v>#DIV/0!</v>
      </c>
      <c r="AC165" s="537" t="e">
        <f t="shared" si="44"/>
        <v>#DIV/0!</v>
      </c>
      <c r="AD165" s="538" t="e">
        <f>IF(INPUTS!$B$15="yes",AC165,AB165)</f>
        <v>#DIV/0!</v>
      </c>
      <c r="AE165" s="36" t="str">
        <f t="shared" si="45"/>
        <v>no</v>
      </c>
      <c r="AF165" s="36"/>
      <c r="AG165" s="389" t="e">
        <f>P165*('upper bound Kenaga'!$F$36/100)</f>
        <v>#DIV/0!</v>
      </c>
      <c r="AH165" s="36"/>
      <c r="AI165" s="389" t="e">
        <f>P165*('upper bound Kenaga'!$F$96/100)</f>
        <v>#DIV/0!</v>
      </c>
      <c r="AJ165" s="36"/>
      <c r="AK165" s="36"/>
      <c r="AL165" s="36"/>
      <c r="AM165" s="36"/>
      <c r="AN165" s="36"/>
      <c r="AO165" s="36"/>
    </row>
    <row r="166" spans="10:41" s="1" customFormat="1">
      <c r="J166" s="6">
        <f>COUNTIF(K$21:K166,"=yes")</f>
        <v>1</v>
      </c>
      <c r="K166" s="533" t="str">
        <f>IF(LOOKUP(VALUE(M166),INPUTS!$G$6:$G$35)=M166,"yes","no")</f>
        <v>no</v>
      </c>
      <c r="L166" s="533">
        <f>IF(K166="yes",(LOOKUP(J166,INPUTS!$E$6:$E$35,INPUTS!$F$6:$F$35)),0)</f>
        <v>0</v>
      </c>
      <c r="M166" s="135">
        <f t="shared" si="46"/>
        <v>145</v>
      </c>
      <c r="N166" s="135">
        <f t="shared" si="47"/>
        <v>1</v>
      </c>
      <c r="O166" s="135">
        <f t="shared" si="48"/>
        <v>0</v>
      </c>
      <c r="P166" s="536" t="e">
        <f t="shared" si="49"/>
        <v>#DIV/0!</v>
      </c>
      <c r="Q166" s="537" t="e">
        <f t="shared" si="36"/>
        <v>#DIV/0!</v>
      </c>
      <c r="R166" s="538" t="e">
        <f>IF(INPUTS!$B$15="yes",Q166,P166)</f>
        <v>#DIV/0!</v>
      </c>
      <c r="S166" s="536" t="e">
        <f t="shared" si="37"/>
        <v>#DIV/0!</v>
      </c>
      <c r="T166" s="537" t="e">
        <f t="shared" si="38"/>
        <v>#DIV/0!</v>
      </c>
      <c r="U166" s="538" t="e">
        <f>IF(INPUTS!$B$15="yes",T166,S166)</f>
        <v>#DIV/0!</v>
      </c>
      <c r="V166" s="536" t="e">
        <f t="shared" si="39"/>
        <v>#DIV/0!</v>
      </c>
      <c r="W166" s="537" t="e">
        <f t="shared" si="40"/>
        <v>#DIV/0!</v>
      </c>
      <c r="X166" s="538" t="e">
        <f>IF(INPUTS!$B$15="yes",W166,V166)</f>
        <v>#DIV/0!</v>
      </c>
      <c r="Y166" s="536" t="e">
        <f t="shared" si="41"/>
        <v>#DIV/0!</v>
      </c>
      <c r="Z166" s="537" t="e">
        <f t="shared" si="42"/>
        <v>#DIV/0!</v>
      </c>
      <c r="AA166" s="538" t="e">
        <f>IF(INPUTS!$B$15="yes",Z166,Y166)</f>
        <v>#DIV/0!</v>
      </c>
      <c r="AB166" s="536" t="e">
        <f t="shared" si="43"/>
        <v>#DIV/0!</v>
      </c>
      <c r="AC166" s="537" t="e">
        <f t="shared" si="44"/>
        <v>#DIV/0!</v>
      </c>
      <c r="AD166" s="538" t="e">
        <f>IF(INPUTS!$B$15="yes",AC166,AB166)</f>
        <v>#DIV/0!</v>
      </c>
      <c r="AE166" s="36" t="str">
        <f t="shared" si="45"/>
        <v>no</v>
      </c>
      <c r="AF166" s="36"/>
      <c r="AG166" s="389" t="e">
        <f>P166*('upper bound Kenaga'!$F$36/100)</f>
        <v>#DIV/0!</v>
      </c>
      <c r="AH166" s="36"/>
      <c r="AI166" s="389" t="e">
        <f>P166*('upper bound Kenaga'!$F$96/100)</f>
        <v>#DIV/0!</v>
      </c>
      <c r="AJ166" s="36"/>
      <c r="AK166" s="36"/>
      <c r="AL166" s="36"/>
      <c r="AM166" s="36"/>
      <c r="AN166" s="36"/>
      <c r="AO166" s="36"/>
    </row>
    <row r="167" spans="10:41" s="1" customFormat="1">
      <c r="J167" s="6">
        <f>COUNTIF(K$21:K167,"=yes")</f>
        <v>1</v>
      </c>
      <c r="K167" s="533" t="str">
        <f>IF(LOOKUP(VALUE(M167),INPUTS!$G$6:$G$35)=M167,"yes","no")</f>
        <v>no</v>
      </c>
      <c r="L167" s="533">
        <f>IF(K167="yes",(LOOKUP(J167,INPUTS!$E$6:$E$35,INPUTS!$F$6:$F$35)),0)</f>
        <v>0</v>
      </c>
      <c r="M167" s="135">
        <f t="shared" si="46"/>
        <v>146</v>
      </c>
      <c r="N167" s="135">
        <f t="shared" si="47"/>
        <v>1</v>
      </c>
      <c r="O167" s="135">
        <f t="shared" si="48"/>
        <v>0</v>
      </c>
      <c r="P167" s="536" t="e">
        <f t="shared" si="49"/>
        <v>#DIV/0!</v>
      </c>
      <c r="Q167" s="537" t="e">
        <f t="shared" si="36"/>
        <v>#DIV/0!</v>
      </c>
      <c r="R167" s="538" t="e">
        <f>IF(INPUTS!$B$15="yes",Q167,P167)</f>
        <v>#DIV/0!</v>
      </c>
      <c r="S167" s="536" t="e">
        <f t="shared" si="37"/>
        <v>#DIV/0!</v>
      </c>
      <c r="T167" s="537" t="e">
        <f t="shared" si="38"/>
        <v>#DIV/0!</v>
      </c>
      <c r="U167" s="538" t="e">
        <f>IF(INPUTS!$B$15="yes",T167,S167)</f>
        <v>#DIV/0!</v>
      </c>
      <c r="V167" s="536" t="e">
        <f t="shared" si="39"/>
        <v>#DIV/0!</v>
      </c>
      <c r="W167" s="537" t="e">
        <f t="shared" si="40"/>
        <v>#DIV/0!</v>
      </c>
      <c r="X167" s="538" t="e">
        <f>IF(INPUTS!$B$15="yes",W167,V167)</f>
        <v>#DIV/0!</v>
      </c>
      <c r="Y167" s="536" t="e">
        <f t="shared" si="41"/>
        <v>#DIV/0!</v>
      </c>
      <c r="Z167" s="537" t="e">
        <f t="shared" si="42"/>
        <v>#DIV/0!</v>
      </c>
      <c r="AA167" s="538" t="e">
        <f>IF(INPUTS!$B$15="yes",Z167,Y167)</f>
        <v>#DIV/0!</v>
      </c>
      <c r="AB167" s="536" t="e">
        <f t="shared" si="43"/>
        <v>#DIV/0!</v>
      </c>
      <c r="AC167" s="537" t="e">
        <f t="shared" si="44"/>
        <v>#DIV/0!</v>
      </c>
      <c r="AD167" s="538" t="e">
        <f>IF(INPUTS!$B$15="yes",AC167,AB167)</f>
        <v>#DIV/0!</v>
      </c>
      <c r="AE167" s="36" t="str">
        <f t="shared" si="45"/>
        <v>no</v>
      </c>
      <c r="AF167" s="36"/>
      <c r="AG167" s="389" t="e">
        <f>P167*('upper bound Kenaga'!$F$36/100)</f>
        <v>#DIV/0!</v>
      </c>
      <c r="AH167" s="36"/>
      <c r="AI167" s="389" t="e">
        <f>P167*('upper bound Kenaga'!$F$96/100)</f>
        <v>#DIV/0!</v>
      </c>
      <c r="AJ167" s="36"/>
      <c r="AK167" s="36"/>
      <c r="AL167" s="36"/>
      <c r="AM167" s="36"/>
      <c r="AN167" s="36"/>
      <c r="AO167" s="36"/>
    </row>
    <row r="168" spans="10:41" s="1" customFormat="1">
      <c r="J168" s="6">
        <f>COUNTIF(K$21:K168,"=yes")</f>
        <v>1</v>
      </c>
      <c r="K168" s="533" t="str">
        <f>IF(LOOKUP(VALUE(M168),INPUTS!$G$6:$G$35)=M168,"yes","no")</f>
        <v>no</v>
      </c>
      <c r="L168" s="533">
        <f>IF(K168="yes",(LOOKUP(J168,INPUTS!$E$6:$E$35,INPUTS!$F$6:$F$35)),0)</f>
        <v>0</v>
      </c>
      <c r="M168" s="135">
        <f t="shared" si="46"/>
        <v>147</v>
      </c>
      <c r="N168" s="135">
        <f t="shared" si="47"/>
        <v>1</v>
      </c>
      <c r="O168" s="135">
        <f t="shared" si="48"/>
        <v>0</v>
      </c>
      <c r="P168" s="536" t="e">
        <f t="shared" si="49"/>
        <v>#DIV/0!</v>
      </c>
      <c r="Q168" s="537" t="e">
        <f t="shared" si="36"/>
        <v>#DIV/0!</v>
      </c>
      <c r="R168" s="538" t="e">
        <f>IF(INPUTS!$B$15="yes",Q168,P168)</f>
        <v>#DIV/0!</v>
      </c>
      <c r="S168" s="536" t="e">
        <f t="shared" si="37"/>
        <v>#DIV/0!</v>
      </c>
      <c r="T168" s="537" t="e">
        <f t="shared" si="38"/>
        <v>#DIV/0!</v>
      </c>
      <c r="U168" s="538" t="e">
        <f>IF(INPUTS!$B$15="yes",T168,S168)</f>
        <v>#DIV/0!</v>
      </c>
      <c r="V168" s="536" t="e">
        <f t="shared" si="39"/>
        <v>#DIV/0!</v>
      </c>
      <c r="W168" s="537" t="e">
        <f t="shared" si="40"/>
        <v>#DIV/0!</v>
      </c>
      <c r="X168" s="538" t="e">
        <f>IF(INPUTS!$B$15="yes",W168,V168)</f>
        <v>#DIV/0!</v>
      </c>
      <c r="Y168" s="536" t="e">
        <f t="shared" si="41"/>
        <v>#DIV/0!</v>
      </c>
      <c r="Z168" s="537" t="e">
        <f t="shared" si="42"/>
        <v>#DIV/0!</v>
      </c>
      <c r="AA168" s="538" t="e">
        <f>IF(INPUTS!$B$15="yes",Z168,Y168)</f>
        <v>#DIV/0!</v>
      </c>
      <c r="AB168" s="536" t="e">
        <f t="shared" si="43"/>
        <v>#DIV/0!</v>
      </c>
      <c r="AC168" s="537" t="e">
        <f t="shared" si="44"/>
        <v>#DIV/0!</v>
      </c>
      <c r="AD168" s="538" t="e">
        <f>IF(INPUTS!$B$15="yes",AC168,AB168)</f>
        <v>#DIV/0!</v>
      </c>
      <c r="AE168" s="36" t="str">
        <f t="shared" si="45"/>
        <v>no</v>
      </c>
      <c r="AF168" s="36"/>
      <c r="AG168" s="389" t="e">
        <f>P168*('upper bound Kenaga'!$F$36/100)</f>
        <v>#DIV/0!</v>
      </c>
      <c r="AH168" s="36"/>
      <c r="AI168" s="389" t="e">
        <f>P168*('upper bound Kenaga'!$F$96/100)</f>
        <v>#DIV/0!</v>
      </c>
      <c r="AJ168" s="36"/>
      <c r="AK168" s="36"/>
      <c r="AL168" s="36"/>
      <c r="AM168" s="36"/>
      <c r="AN168" s="36"/>
      <c r="AO168" s="36"/>
    </row>
    <row r="169" spans="10:41" s="1" customFormat="1">
      <c r="J169" s="6">
        <f>COUNTIF(K$21:K169,"=yes")</f>
        <v>1</v>
      </c>
      <c r="K169" s="533" t="str">
        <f>IF(LOOKUP(VALUE(M169),INPUTS!$G$6:$G$35)=M169,"yes","no")</f>
        <v>no</v>
      </c>
      <c r="L169" s="533">
        <f>IF(K169="yes",(LOOKUP(J169,INPUTS!$E$6:$E$35,INPUTS!$F$6:$F$35)),0)</f>
        <v>0</v>
      </c>
      <c r="M169" s="135">
        <f t="shared" si="46"/>
        <v>148</v>
      </c>
      <c r="N169" s="135">
        <f t="shared" si="47"/>
        <v>1</v>
      </c>
      <c r="O169" s="135">
        <f t="shared" si="48"/>
        <v>0</v>
      </c>
      <c r="P169" s="536" t="e">
        <f t="shared" si="49"/>
        <v>#DIV/0!</v>
      </c>
      <c r="Q169" s="537" t="e">
        <f t="shared" si="36"/>
        <v>#DIV/0!</v>
      </c>
      <c r="R169" s="538" t="e">
        <f>IF(INPUTS!$B$15="yes",Q169,P169)</f>
        <v>#DIV/0!</v>
      </c>
      <c r="S169" s="536" t="e">
        <f t="shared" si="37"/>
        <v>#DIV/0!</v>
      </c>
      <c r="T169" s="537" t="e">
        <f t="shared" si="38"/>
        <v>#DIV/0!</v>
      </c>
      <c r="U169" s="538" t="e">
        <f>IF(INPUTS!$B$15="yes",T169,S169)</f>
        <v>#DIV/0!</v>
      </c>
      <c r="V169" s="536" t="e">
        <f t="shared" si="39"/>
        <v>#DIV/0!</v>
      </c>
      <c r="W169" s="537" t="e">
        <f t="shared" si="40"/>
        <v>#DIV/0!</v>
      </c>
      <c r="X169" s="538" t="e">
        <f>IF(INPUTS!$B$15="yes",W169,V169)</f>
        <v>#DIV/0!</v>
      </c>
      <c r="Y169" s="536" t="e">
        <f t="shared" si="41"/>
        <v>#DIV/0!</v>
      </c>
      <c r="Z169" s="537" t="e">
        <f t="shared" si="42"/>
        <v>#DIV/0!</v>
      </c>
      <c r="AA169" s="538" t="e">
        <f>IF(INPUTS!$B$15="yes",Z169,Y169)</f>
        <v>#DIV/0!</v>
      </c>
      <c r="AB169" s="536" t="e">
        <f t="shared" si="43"/>
        <v>#DIV/0!</v>
      </c>
      <c r="AC169" s="537" t="e">
        <f t="shared" si="44"/>
        <v>#DIV/0!</v>
      </c>
      <c r="AD169" s="538" t="e">
        <f>IF(INPUTS!$B$15="yes",AC169,AB169)</f>
        <v>#DIV/0!</v>
      </c>
      <c r="AE169" s="36" t="str">
        <f t="shared" si="45"/>
        <v>no</v>
      </c>
      <c r="AF169" s="36"/>
      <c r="AG169" s="389" t="e">
        <f>P169*('upper bound Kenaga'!$F$36/100)</f>
        <v>#DIV/0!</v>
      </c>
      <c r="AH169" s="36"/>
      <c r="AI169" s="389" t="e">
        <f>P169*('upper bound Kenaga'!$F$96/100)</f>
        <v>#DIV/0!</v>
      </c>
      <c r="AJ169" s="36"/>
      <c r="AK169" s="36"/>
      <c r="AL169" s="36"/>
      <c r="AM169" s="36"/>
      <c r="AN169" s="36"/>
      <c r="AO169" s="36"/>
    </row>
    <row r="170" spans="10:41" s="1" customFormat="1">
      <c r="J170" s="6">
        <f>COUNTIF(K$21:K170,"=yes")</f>
        <v>1</v>
      </c>
      <c r="K170" s="533" t="str">
        <f>IF(LOOKUP(VALUE(M170),INPUTS!$G$6:$G$35)=M170,"yes","no")</f>
        <v>no</v>
      </c>
      <c r="L170" s="533">
        <f>IF(K170="yes",(LOOKUP(J170,INPUTS!$E$6:$E$35,INPUTS!$F$6:$F$35)),0)</f>
        <v>0</v>
      </c>
      <c r="M170" s="135">
        <f t="shared" si="46"/>
        <v>149</v>
      </c>
      <c r="N170" s="135">
        <f t="shared" si="47"/>
        <v>1</v>
      </c>
      <c r="O170" s="135">
        <f t="shared" si="48"/>
        <v>0</v>
      </c>
      <c r="P170" s="536" t="e">
        <f t="shared" si="49"/>
        <v>#DIV/0!</v>
      </c>
      <c r="Q170" s="537" t="e">
        <f t="shared" si="36"/>
        <v>#DIV/0!</v>
      </c>
      <c r="R170" s="538" t="e">
        <f>IF(INPUTS!$B$15="yes",Q170,P170)</f>
        <v>#DIV/0!</v>
      </c>
      <c r="S170" s="536" t="e">
        <f t="shared" si="37"/>
        <v>#DIV/0!</v>
      </c>
      <c r="T170" s="537" t="e">
        <f t="shared" si="38"/>
        <v>#DIV/0!</v>
      </c>
      <c r="U170" s="538" t="e">
        <f>IF(INPUTS!$B$15="yes",T170,S170)</f>
        <v>#DIV/0!</v>
      </c>
      <c r="V170" s="536" t="e">
        <f t="shared" si="39"/>
        <v>#DIV/0!</v>
      </c>
      <c r="W170" s="537" t="e">
        <f t="shared" si="40"/>
        <v>#DIV/0!</v>
      </c>
      <c r="X170" s="538" t="e">
        <f>IF(INPUTS!$B$15="yes",W170,V170)</f>
        <v>#DIV/0!</v>
      </c>
      <c r="Y170" s="536" t="e">
        <f t="shared" si="41"/>
        <v>#DIV/0!</v>
      </c>
      <c r="Z170" s="537" t="e">
        <f t="shared" si="42"/>
        <v>#DIV/0!</v>
      </c>
      <c r="AA170" s="538" t="e">
        <f>IF(INPUTS!$B$15="yes",Z170,Y170)</f>
        <v>#DIV/0!</v>
      </c>
      <c r="AB170" s="536" t="e">
        <f t="shared" si="43"/>
        <v>#DIV/0!</v>
      </c>
      <c r="AC170" s="537" t="e">
        <f t="shared" si="44"/>
        <v>#DIV/0!</v>
      </c>
      <c r="AD170" s="538" t="e">
        <f>IF(INPUTS!$B$15="yes",AC170,AB170)</f>
        <v>#DIV/0!</v>
      </c>
      <c r="AE170" s="36" t="str">
        <f t="shared" si="45"/>
        <v>no</v>
      </c>
      <c r="AF170" s="36"/>
      <c r="AG170" s="389" t="e">
        <f>P170*('upper bound Kenaga'!$F$36/100)</f>
        <v>#DIV/0!</v>
      </c>
      <c r="AH170" s="36"/>
      <c r="AI170" s="389" t="e">
        <f>P170*('upper bound Kenaga'!$F$96/100)</f>
        <v>#DIV/0!</v>
      </c>
      <c r="AJ170" s="36"/>
      <c r="AK170" s="36"/>
      <c r="AL170" s="36"/>
      <c r="AM170" s="36"/>
      <c r="AN170" s="36"/>
      <c r="AO170" s="36"/>
    </row>
    <row r="171" spans="10:41" s="1" customFormat="1">
      <c r="J171" s="6">
        <f>COUNTIF(K$21:K171,"=yes")</f>
        <v>1</v>
      </c>
      <c r="K171" s="533" t="str">
        <f>IF(LOOKUP(VALUE(M171),INPUTS!$G$6:$G$35)=M171,"yes","no")</f>
        <v>no</v>
      </c>
      <c r="L171" s="533">
        <f>IF(K171="yes",(LOOKUP(J171,INPUTS!$E$6:$E$35,INPUTS!$F$6:$F$35)),0)</f>
        <v>0</v>
      </c>
      <c r="M171" s="135">
        <f t="shared" si="46"/>
        <v>150</v>
      </c>
      <c r="N171" s="135">
        <f t="shared" si="47"/>
        <v>1</v>
      </c>
      <c r="O171" s="135">
        <f t="shared" si="48"/>
        <v>0</v>
      </c>
      <c r="P171" s="536" t="e">
        <f t="shared" si="49"/>
        <v>#DIV/0!</v>
      </c>
      <c r="Q171" s="537" t="e">
        <f t="shared" si="36"/>
        <v>#DIV/0!</v>
      </c>
      <c r="R171" s="538" t="e">
        <f>IF(INPUTS!$B$15="yes",Q171,P171)</f>
        <v>#DIV/0!</v>
      </c>
      <c r="S171" s="536" t="e">
        <f t="shared" si="37"/>
        <v>#DIV/0!</v>
      </c>
      <c r="T171" s="537" t="e">
        <f t="shared" si="38"/>
        <v>#DIV/0!</v>
      </c>
      <c r="U171" s="538" t="e">
        <f>IF(INPUTS!$B$15="yes",T171,S171)</f>
        <v>#DIV/0!</v>
      </c>
      <c r="V171" s="536" t="e">
        <f t="shared" si="39"/>
        <v>#DIV/0!</v>
      </c>
      <c r="W171" s="537" t="e">
        <f t="shared" si="40"/>
        <v>#DIV/0!</v>
      </c>
      <c r="X171" s="538" t="e">
        <f>IF(INPUTS!$B$15="yes",W171,V171)</f>
        <v>#DIV/0!</v>
      </c>
      <c r="Y171" s="536" t="e">
        <f t="shared" si="41"/>
        <v>#DIV/0!</v>
      </c>
      <c r="Z171" s="537" t="e">
        <f t="shared" si="42"/>
        <v>#DIV/0!</v>
      </c>
      <c r="AA171" s="538" t="e">
        <f>IF(INPUTS!$B$15="yes",Z171,Y171)</f>
        <v>#DIV/0!</v>
      </c>
      <c r="AB171" s="536" t="e">
        <f t="shared" si="43"/>
        <v>#DIV/0!</v>
      </c>
      <c r="AC171" s="537" t="e">
        <f t="shared" si="44"/>
        <v>#DIV/0!</v>
      </c>
      <c r="AD171" s="538" t="e">
        <f>IF(INPUTS!$B$15="yes",AC171,AB171)</f>
        <v>#DIV/0!</v>
      </c>
      <c r="AE171" s="36" t="str">
        <f t="shared" si="45"/>
        <v>no</v>
      </c>
      <c r="AF171" s="36"/>
      <c r="AG171" s="389" t="e">
        <f>P171*('upper bound Kenaga'!$F$36/100)</f>
        <v>#DIV/0!</v>
      </c>
      <c r="AH171" s="36"/>
      <c r="AI171" s="389" t="e">
        <f>P171*('upper bound Kenaga'!$F$96/100)</f>
        <v>#DIV/0!</v>
      </c>
      <c r="AJ171" s="36"/>
      <c r="AK171" s="36"/>
      <c r="AL171" s="36"/>
      <c r="AM171" s="36"/>
      <c r="AN171" s="36"/>
      <c r="AO171" s="36"/>
    </row>
    <row r="172" spans="10:41" s="1" customFormat="1">
      <c r="J172" s="6">
        <f>COUNTIF(K$21:K172,"=yes")</f>
        <v>1</v>
      </c>
      <c r="K172" s="533" t="str">
        <f>IF(LOOKUP(VALUE(M172),INPUTS!$G$6:$G$35)=M172,"yes","no")</f>
        <v>no</v>
      </c>
      <c r="L172" s="533">
        <f>IF(K172="yes",(LOOKUP(J172,INPUTS!$E$6:$E$35,INPUTS!$F$6:$F$35)),0)</f>
        <v>0</v>
      </c>
      <c r="M172" s="135">
        <f t="shared" si="46"/>
        <v>151</v>
      </c>
      <c r="N172" s="135">
        <f t="shared" si="47"/>
        <v>1</v>
      </c>
      <c r="O172" s="135">
        <f t="shared" si="48"/>
        <v>0</v>
      </c>
      <c r="P172" s="536" t="e">
        <f t="shared" si="49"/>
        <v>#DIV/0!</v>
      </c>
      <c r="Q172" s="537" t="e">
        <f t="shared" si="36"/>
        <v>#DIV/0!</v>
      </c>
      <c r="R172" s="538" t="e">
        <f>IF(INPUTS!$B$15="yes",Q172,P172)</f>
        <v>#DIV/0!</v>
      </c>
      <c r="S172" s="536" t="e">
        <f t="shared" si="37"/>
        <v>#DIV/0!</v>
      </c>
      <c r="T172" s="537" t="e">
        <f t="shared" si="38"/>
        <v>#DIV/0!</v>
      </c>
      <c r="U172" s="538" t="e">
        <f>IF(INPUTS!$B$15="yes",T172,S172)</f>
        <v>#DIV/0!</v>
      </c>
      <c r="V172" s="536" t="e">
        <f t="shared" si="39"/>
        <v>#DIV/0!</v>
      </c>
      <c r="W172" s="537" t="e">
        <f t="shared" si="40"/>
        <v>#DIV/0!</v>
      </c>
      <c r="X172" s="538" t="e">
        <f>IF(INPUTS!$B$15="yes",W172,V172)</f>
        <v>#DIV/0!</v>
      </c>
      <c r="Y172" s="536" t="e">
        <f t="shared" si="41"/>
        <v>#DIV/0!</v>
      </c>
      <c r="Z172" s="537" t="e">
        <f t="shared" si="42"/>
        <v>#DIV/0!</v>
      </c>
      <c r="AA172" s="538" t="e">
        <f>IF(INPUTS!$B$15="yes",Z172,Y172)</f>
        <v>#DIV/0!</v>
      </c>
      <c r="AB172" s="536" t="e">
        <f t="shared" si="43"/>
        <v>#DIV/0!</v>
      </c>
      <c r="AC172" s="537" t="e">
        <f t="shared" si="44"/>
        <v>#DIV/0!</v>
      </c>
      <c r="AD172" s="538" t="e">
        <f>IF(INPUTS!$B$15="yes",AC172,AB172)</f>
        <v>#DIV/0!</v>
      </c>
      <c r="AE172" s="36" t="str">
        <f t="shared" si="45"/>
        <v>no</v>
      </c>
      <c r="AF172" s="36"/>
      <c r="AG172" s="389" t="e">
        <f>P172*('upper bound Kenaga'!$F$36/100)</f>
        <v>#DIV/0!</v>
      </c>
      <c r="AH172" s="36"/>
      <c r="AI172" s="389" t="e">
        <f>P172*('upper bound Kenaga'!$F$96/100)</f>
        <v>#DIV/0!</v>
      </c>
      <c r="AJ172" s="36"/>
      <c r="AK172" s="36"/>
      <c r="AL172" s="36"/>
      <c r="AM172" s="36"/>
      <c r="AN172" s="36"/>
      <c r="AO172" s="36"/>
    </row>
    <row r="173" spans="10:41" s="1" customFormat="1">
      <c r="J173" s="6">
        <f>COUNTIF(K$21:K173,"=yes")</f>
        <v>1</v>
      </c>
      <c r="K173" s="533" t="str">
        <f>IF(LOOKUP(VALUE(M173),INPUTS!$G$6:$G$35)=M173,"yes","no")</f>
        <v>no</v>
      </c>
      <c r="L173" s="533">
        <f>IF(K173="yes",(LOOKUP(J173,INPUTS!$E$6:$E$35,INPUTS!$F$6:$F$35)),0)</f>
        <v>0</v>
      </c>
      <c r="M173" s="135">
        <f t="shared" si="46"/>
        <v>152</v>
      </c>
      <c r="N173" s="135">
        <f t="shared" si="47"/>
        <v>1</v>
      </c>
      <c r="O173" s="135">
        <f t="shared" si="48"/>
        <v>0</v>
      </c>
      <c r="P173" s="536" t="e">
        <f t="shared" si="49"/>
        <v>#DIV/0!</v>
      </c>
      <c r="Q173" s="537" t="e">
        <f t="shared" si="36"/>
        <v>#DIV/0!</v>
      </c>
      <c r="R173" s="538" t="e">
        <f>IF(INPUTS!$B$15="yes",Q173,P173)</f>
        <v>#DIV/0!</v>
      </c>
      <c r="S173" s="536" t="e">
        <f t="shared" si="37"/>
        <v>#DIV/0!</v>
      </c>
      <c r="T173" s="537" t="e">
        <f t="shared" si="38"/>
        <v>#DIV/0!</v>
      </c>
      <c r="U173" s="538" t="e">
        <f>IF(INPUTS!$B$15="yes",T173,S173)</f>
        <v>#DIV/0!</v>
      </c>
      <c r="V173" s="536" t="e">
        <f t="shared" si="39"/>
        <v>#DIV/0!</v>
      </c>
      <c r="W173" s="537" t="e">
        <f t="shared" si="40"/>
        <v>#DIV/0!</v>
      </c>
      <c r="X173" s="538" t="e">
        <f>IF(INPUTS!$B$15="yes",W173,V173)</f>
        <v>#DIV/0!</v>
      </c>
      <c r="Y173" s="536" t="e">
        <f t="shared" si="41"/>
        <v>#DIV/0!</v>
      </c>
      <c r="Z173" s="537" t="e">
        <f t="shared" si="42"/>
        <v>#DIV/0!</v>
      </c>
      <c r="AA173" s="538" t="e">
        <f>IF(INPUTS!$B$15="yes",Z173,Y173)</f>
        <v>#DIV/0!</v>
      </c>
      <c r="AB173" s="536" t="e">
        <f t="shared" si="43"/>
        <v>#DIV/0!</v>
      </c>
      <c r="AC173" s="537" t="e">
        <f t="shared" si="44"/>
        <v>#DIV/0!</v>
      </c>
      <c r="AD173" s="538" t="e">
        <f>IF(INPUTS!$B$15="yes",AC173,AB173)</f>
        <v>#DIV/0!</v>
      </c>
      <c r="AE173" s="36" t="str">
        <f t="shared" si="45"/>
        <v>no</v>
      </c>
      <c r="AF173" s="36"/>
      <c r="AG173" s="389" t="e">
        <f>P173*('upper bound Kenaga'!$F$36/100)</f>
        <v>#DIV/0!</v>
      </c>
      <c r="AH173" s="36"/>
      <c r="AI173" s="389" t="e">
        <f>P173*('upper bound Kenaga'!$F$96/100)</f>
        <v>#DIV/0!</v>
      </c>
      <c r="AJ173" s="36"/>
      <c r="AK173" s="36"/>
      <c r="AL173" s="36"/>
      <c r="AM173" s="36"/>
      <c r="AN173" s="36"/>
      <c r="AO173" s="36"/>
    </row>
    <row r="174" spans="10:41" s="1" customFormat="1">
      <c r="J174" s="6">
        <f>COUNTIF(K$21:K174,"=yes")</f>
        <v>1</v>
      </c>
      <c r="K174" s="533" t="str">
        <f>IF(LOOKUP(VALUE(M174),INPUTS!$G$6:$G$35)=M174,"yes","no")</f>
        <v>no</v>
      </c>
      <c r="L174" s="533">
        <f>IF(K174="yes",(LOOKUP(J174,INPUTS!$E$6:$E$35,INPUTS!$F$6:$F$35)),0)</f>
        <v>0</v>
      </c>
      <c r="M174" s="135">
        <f t="shared" si="46"/>
        <v>153</v>
      </c>
      <c r="N174" s="135">
        <f t="shared" si="47"/>
        <v>1</v>
      </c>
      <c r="O174" s="135">
        <f t="shared" si="48"/>
        <v>0</v>
      </c>
      <c r="P174" s="536" t="e">
        <f t="shared" si="49"/>
        <v>#DIV/0!</v>
      </c>
      <c r="Q174" s="537" t="e">
        <f t="shared" si="36"/>
        <v>#DIV/0!</v>
      </c>
      <c r="R174" s="538" t="e">
        <f>IF(INPUTS!$B$15="yes",Q174,P174)</f>
        <v>#DIV/0!</v>
      </c>
      <c r="S174" s="536" t="e">
        <f t="shared" si="37"/>
        <v>#DIV/0!</v>
      </c>
      <c r="T174" s="537" t="e">
        <f t="shared" si="38"/>
        <v>#DIV/0!</v>
      </c>
      <c r="U174" s="538" t="e">
        <f>IF(INPUTS!$B$15="yes",T174,S174)</f>
        <v>#DIV/0!</v>
      </c>
      <c r="V174" s="536" t="e">
        <f t="shared" si="39"/>
        <v>#DIV/0!</v>
      </c>
      <c r="W174" s="537" t="e">
        <f t="shared" si="40"/>
        <v>#DIV/0!</v>
      </c>
      <c r="X174" s="538" t="e">
        <f>IF(INPUTS!$B$15="yes",W174,V174)</f>
        <v>#DIV/0!</v>
      </c>
      <c r="Y174" s="536" t="e">
        <f t="shared" si="41"/>
        <v>#DIV/0!</v>
      </c>
      <c r="Z174" s="537" t="e">
        <f t="shared" si="42"/>
        <v>#DIV/0!</v>
      </c>
      <c r="AA174" s="538" t="e">
        <f>IF(INPUTS!$B$15="yes",Z174,Y174)</f>
        <v>#DIV/0!</v>
      </c>
      <c r="AB174" s="536" t="e">
        <f t="shared" si="43"/>
        <v>#DIV/0!</v>
      </c>
      <c r="AC174" s="537" t="e">
        <f t="shared" si="44"/>
        <v>#DIV/0!</v>
      </c>
      <c r="AD174" s="538" t="e">
        <f>IF(INPUTS!$B$15="yes",AC174,AB174)</f>
        <v>#DIV/0!</v>
      </c>
      <c r="AE174" s="36" t="str">
        <f t="shared" si="45"/>
        <v>no</v>
      </c>
      <c r="AF174" s="36"/>
      <c r="AG174" s="389" t="e">
        <f>P174*('upper bound Kenaga'!$F$36/100)</f>
        <v>#DIV/0!</v>
      </c>
      <c r="AH174" s="36"/>
      <c r="AI174" s="389" t="e">
        <f>P174*('upper bound Kenaga'!$F$96/100)</f>
        <v>#DIV/0!</v>
      </c>
      <c r="AJ174" s="36"/>
      <c r="AK174" s="36"/>
      <c r="AL174" s="36"/>
      <c r="AM174" s="36"/>
      <c r="AN174" s="36"/>
      <c r="AO174" s="36"/>
    </row>
    <row r="175" spans="10:41" s="1" customFormat="1">
      <c r="J175" s="6">
        <f>COUNTIF(K$21:K175,"=yes")</f>
        <v>1</v>
      </c>
      <c r="K175" s="533" t="str">
        <f>IF(LOOKUP(VALUE(M175),INPUTS!$G$6:$G$35)=M175,"yes","no")</f>
        <v>no</v>
      </c>
      <c r="L175" s="533">
        <f>IF(K175="yes",(LOOKUP(J175,INPUTS!$E$6:$E$35,INPUTS!$F$6:$F$35)),0)</f>
        <v>0</v>
      </c>
      <c r="M175" s="135">
        <f t="shared" si="46"/>
        <v>154</v>
      </c>
      <c r="N175" s="135">
        <f t="shared" si="47"/>
        <v>1</v>
      </c>
      <c r="O175" s="135">
        <f t="shared" si="48"/>
        <v>0</v>
      </c>
      <c r="P175" s="536" t="e">
        <f t="shared" si="49"/>
        <v>#DIV/0!</v>
      </c>
      <c r="Q175" s="537" t="e">
        <f t="shared" si="36"/>
        <v>#DIV/0!</v>
      </c>
      <c r="R175" s="538" t="e">
        <f>IF(INPUTS!$B$15="yes",Q175,P175)</f>
        <v>#DIV/0!</v>
      </c>
      <c r="S175" s="536" t="e">
        <f t="shared" si="37"/>
        <v>#DIV/0!</v>
      </c>
      <c r="T175" s="537" t="e">
        <f t="shared" si="38"/>
        <v>#DIV/0!</v>
      </c>
      <c r="U175" s="538" t="e">
        <f>IF(INPUTS!$B$15="yes",T175,S175)</f>
        <v>#DIV/0!</v>
      </c>
      <c r="V175" s="536" t="e">
        <f t="shared" si="39"/>
        <v>#DIV/0!</v>
      </c>
      <c r="W175" s="537" t="e">
        <f t="shared" si="40"/>
        <v>#DIV/0!</v>
      </c>
      <c r="X175" s="538" t="e">
        <f>IF(INPUTS!$B$15="yes",W175,V175)</f>
        <v>#DIV/0!</v>
      </c>
      <c r="Y175" s="536" t="e">
        <f t="shared" si="41"/>
        <v>#DIV/0!</v>
      </c>
      <c r="Z175" s="537" t="e">
        <f t="shared" si="42"/>
        <v>#DIV/0!</v>
      </c>
      <c r="AA175" s="538" t="e">
        <f>IF(INPUTS!$B$15="yes",Z175,Y175)</f>
        <v>#DIV/0!</v>
      </c>
      <c r="AB175" s="536" t="e">
        <f t="shared" si="43"/>
        <v>#DIV/0!</v>
      </c>
      <c r="AC175" s="537" t="e">
        <f t="shared" si="44"/>
        <v>#DIV/0!</v>
      </c>
      <c r="AD175" s="538" t="e">
        <f>IF(INPUTS!$B$15="yes",AC175,AB175)</f>
        <v>#DIV/0!</v>
      </c>
      <c r="AE175" s="36" t="str">
        <f t="shared" si="45"/>
        <v>no</v>
      </c>
      <c r="AF175" s="36"/>
      <c r="AG175" s="389" t="e">
        <f>P175*('upper bound Kenaga'!$F$36/100)</f>
        <v>#DIV/0!</v>
      </c>
      <c r="AH175" s="36"/>
      <c r="AI175" s="389" t="e">
        <f>P175*('upper bound Kenaga'!$F$96/100)</f>
        <v>#DIV/0!</v>
      </c>
      <c r="AJ175" s="36"/>
      <c r="AK175" s="36"/>
      <c r="AL175" s="36"/>
      <c r="AM175" s="36"/>
      <c r="AN175" s="36"/>
      <c r="AO175" s="36"/>
    </row>
    <row r="176" spans="10:41" s="1" customFormat="1">
      <c r="J176" s="6">
        <f>COUNTIF(K$21:K176,"=yes")</f>
        <v>1</v>
      </c>
      <c r="K176" s="533" t="str">
        <f>IF(LOOKUP(VALUE(M176),INPUTS!$G$6:$G$35)=M176,"yes","no")</f>
        <v>no</v>
      </c>
      <c r="L176" s="533">
        <f>IF(K176="yes",(LOOKUP(J176,INPUTS!$E$6:$E$35,INPUTS!$F$6:$F$35)),0)</f>
        <v>0</v>
      </c>
      <c r="M176" s="135">
        <f t="shared" si="46"/>
        <v>155</v>
      </c>
      <c r="N176" s="135">
        <f t="shared" si="47"/>
        <v>1</v>
      </c>
      <c r="O176" s="135">
        <f t="shared" si="48"/>
        <v>0</v>
      </c>
      <c r="P176" s="536" t="e">
        <f t="shared" si="49"/>
        <v>#DIV/0!</v>
      </c>
      <c r="Q176" s="537" t="e">
        <f t="shared" si="36"/>
        <v>#DIV/0!</v>
      </c>
      <c r="R176" s="538" t="e">
        <f>IF(INPUTS!$B$15="yes",Q176,P176)</f>
        <v>#DIV/0!</v>
      </c>
      <c r="S176" s="536" t="e">
        <f t="shared" si="37"/>
        <v>#DIV/0!</v>
      </c>
      <c r="T176" s="537" t="e">
        <f t="shared" si="38"/>
        <v>#DIV/0!</v>
      </c>
      <c r="U176" s="538" t="e">
        <f>IF(INPUTS!$B$15="yes",T176,S176)</f>
        <v>#DIV/0!</v>
      </c>
      <c r="V176" s="536" t="e">
        <f t="shared" si="39"/>
        <v>#DIV/0!</v>
      </c>
      <c r="W176" s="537" t="e">
        <f t="shared" si="40"/>
        <v>#DIV/0!</v>
      </c>
      <c r="X176" s="538" t="e">
        <f>IF(INPUTS!$B$15="yes",W176,V176)</f>
        <v>#DIV/0!</v>
      </c>
      <c r="Y176" s="536" t="e">
        <f t="shared" si="41"/>
        <v>#DIV/0!</v>
      </c>
      <c r="Z176" s="537" t="e">
        <f t="shared" si="42"/>
        <v>#DIV/0!</v>
      </c>
      <c r="AA176" s="538" t="e">
        <f>IF(INPUTS!$B$15="yes",Z176,Y176)</f>
        <v>#DIV/0!</v>
      </c>
      <c r="AB176" s="536" t="e">
        <f t="shared" si="43"/>
        <v>#DIV/0!</v>
      </c>
      <c r="AC176" s="537" t="e">
        <f t="shared" si="44"/>
        <v>#DIV/0!</v>
      </c>
      <c r="AD176" s="538" t="e">
        <f>IF(INPUTS!$B$15="yes",AC176,AB176)</f>
        <v>#DIV/0!</v>
      </c>
      <c r="AE176" s="36" t="str">
        <f t="shared" si="45"/>
        <v>no</v>
      </c>
      <c r="AF176" s="36"/>
      <c r="AG176" s="389" t="e">
        <f>P176*('upper bound Kenaga'!$F$36/100)</f>
        <v>#DIV/0!</v>
      </c>
      <c r="AH176" s="36"/>
      <c r="AI176" s="389" t="e">
        <f>P176*('upper bound Kenaga'!$F$96/100)</f>
        <v>#DIV/0!</v>
      </c>
      <c r="AJ176" s="36"/>
      <c r="AK176" s="36"/>
      <c r="AL176" s="36"/>
      <c r="AM176" s="36"/>
      <c r="AN176" s="36"/>
      <c r="AO176" s="36"/>
    </row>
    <row r="177" spans="1:41">
      <c r="J177" s="6">
        <f>COUNTIF(K$21:K177,"=yes")</f>
        <v>1</v>
      </c>
      <c r="K177" s="533" t="str">
        <f>IF(LOOKUP(VALUE(M177),INPUTS!$G$6:$G$35)=M177,"yes","no")</f>
        <v>no</v>
      </c>
      <c r="L177" s="533">
        <f>IF(K177="yes",(LOOKUP(J177,INPUTS!$E$6:$E$35,INPUTS!$F$6:$F$35)),0)</f>
        <v>0</v>
      </c>
      <c r="M177" s="135">
        <f t="shared" si="46"/>
        <v>156</v>
      </c>
      <c r="N177" s="135">
        <f t="shared" si="47"/>
        <v>1</v>
      </c>
      <c r="O177" s="135">
        <f t="shared" si="48"/>
        <v>0</v>
      </c>
      <c r="P177" s="536" t="e">
        <f t="shared" si="49"/>
        <v>#DIV/0!</v>
      </c>
      <c r="Q177" s="537" t="e">
        <f t="shared" si="36"/>
        <v>#DIV/0!</v>
      </c>
      <c r="R177" s="538" t="e">
        <f>IF(INPUTS!$B$15="yes",Q177,P177)</f>
        <v>#DIV/0!</v>
      </c>
      <c r="S177" s="536" t="e">
        <f t="shared" si="37"/>
        <v>#DIV/0!</v>
      </c>
      <c r="T177" s="537" t="e">
        <f t="shared" si="38"/>
        <v>#DIV/0!</v>
      </c>
      <c r="U177" s="538" t="e">
        <f>IF(INPUTS!$B$15="yes",T177,S177)</f>
        <v>#DIV/0!</v>
      </c>
      <c r="V177" s="536" t="e">
        <f t="shared" si="39"/>
        <v>#DIV/0!</v>
      </c>
      <c r="W177" s="537" t="e">
        <f t="shared" si="40"/>
        <v>#DIV/0!</v>
      </c>
      <c r="X177" s="538" t="e">
        <f>IF(INPUTS!$B$15="yes",W177,V177)</f>
        <v>#DIV/0!</v>
      </c>
      <c r="Y177" s="536" t="e">
        <f t="shared" si="41"/>
        <v>#DIV/0!</v>
      </c>
      <c r="Z177" s="537" t="e">
        <f t="shared" si="42"/>
        <v>#DIV/0!</v>
      </c>
      <c r="AA177" s="538" t="e">
        <f>IF(INPUTS!$B$15="yes",Z177,Y177)</f>
        <v>#DIV/0!</v>
      </c>
      <c r="AB177" s="536" t="e">
        <f t="shared" si="43"/>
        <v>#DIV/0!</v>
      </c>
      <c r="AC177" s="537" t="e">
        <f t="shared" si="44"/>
        <v>#DIV/0!</v>
      </c>
      <c r="AD177" s="538" t="e">
        <f>IF(INPUTS!$B$15="yes",AC177,AB177)</f>
        <v>#DIV/0!</v>
      </c>
      <c r="AE177" s="36" t="str">
        <f t="shared" si="45"/>
        <v>no</v>
      </c>
      <c r="AF177" s="36"/>
      <c r="AG177" s="389" t="e">
        <f>P177*('upper bound Kenaga'!$F$36/100)</f>
        <v>#DIV/0!</v>
      </c>
      <c r="AH177" s="36"/>
      <c r="AI177" s="389" t="e">
        <f>P177*('upper bound Kenaga'!$F$96/100)</f>
        <v>#DIV/0!</v>
      </c>
      <c r="AJ177" s="36"/>
      <c r="AK177" s="36"/>
      <c r="AL177" s="36"/>
      <c r="AM177" s="36"/>
      <c r="AN177" s="36"/>
      <c r="AO177" s="36"/>
    </row>
    <row r="178" spans="1:41">
      <c r="J178" s="6">
        <f>COUNTIF(K$21:K178,"=yes")</f>
        <v>1</v>
      </c>
      <c r="K178" s="533" t="str">
        <f>IF(LOOKUP(VALUE(M178),INPUTS!$G$6:$G$35)=M178,"yes","no")</f>
        <v>no</v>
      </c>
      <c r="L178" s="533">
        <f>IF(K178="yes",(LOOKUP(J178,INPUTS!$E$6:$E$35,INPUTS!$F$6:$F$35)),0)</f>
        <v>0</v>
      </c>
      <c r="M178" s="135">
        <f t="shared" si="46"/>
        <v>157</v>
      </c>
      <c r="N178" s="135">
        <f t="shared" si="47"/>
        <v>1</v>
      </c>
      <c r="O178" s="135">
        <f t="shared" si="48"/>
        <v>0</v>
      </c>
      <c r="P178" s="536" t="e">
        <f t="shared" si="49"/>
        <v>#DIV/0!</v>
      </c>
      <c r="Q178" s="537" t="e">
        <f t="shared" si="36"/>
        <v>#DIV/0!</v>
      </c>
      <c r="R178" s="538" t="e">
        <f>IF(INPUTS!$B$15="yes",Q178,P178)</f>
        <v>#DIV/0!</v>
      </c>
      <c r="S178" s="536" t="e">
        <f t="shared" si="37"/>
        <v>#DIV/0!</v>
      </c>
      <c r="T178" s="537" t="e">
        <f t="shared" si="38"/>
        <v>#DIV/0!</v>
      </c>
      <c r="U178" s="538" t="e">
        <f>IF(INPUTS!$B$15="yes",T178,S178)</f>
        <v>#DIV/0!</v>
      </c>
      <c r="V178" s="536" t="e">
        <f t="shared" si="39"/>
        <v>#DIV/0!</v>
      </c>
      <c r="W178" s="537" t="e">
        <f t="shared" si="40"/>
        <v>#DIV/0!</v>
      </c>
      <c r="X178" s="538" t="e">
        <f>IF(INPUTS!$B$15="yes",W178,V178)</f>
        <v>#DIV/0!</v>
      </c>
      <c r="Y178" s="536" t="e">
        <f t="shared" si="41"/>
        <v>#DIV/0!</v>
      </c>
      <c r="Z178" s="537" t="e">
        <f t="shared" si="42"/>
        <v>#DIV/0!</v>
      </c>
      <c r="AA178" s="538" t="e">
        <f>IF(INPUTS!$B$15="yes",Z178,Y178)</f>
        <v>#DIV/0!</v>
      </c>
      <c r="AB178" s="536" t="e">
        <f t="shared" si="43"/>
        <v>#DIV/0!</v>
      </c>
      <c r="AC178" s="537" t="e">
        <f t="shared" si="44"/>
        <v>#DIV/0!</v>
      </c>
      <c r="AD178" s="538" t="e">
        <f>IF(INPUTS!$B$15="yes",AC178,AB178)</f>
        <v>#DIV/0!</v>
      </c>
      <c r="AE178" s="36" t="str">
        <f t="shared" si="45"/>
        <v>no</v>
      </c>
      <c r="AF178" s="36"/>
      <c r="AG178" s="389" t="e">
        <f>P178*('upper bound Kenaga'!$F$36/100)</f>
        <v>#DIV/0!</v>
      </c>
      <c r="AH178" s="36"/>
      <c r="AI178" s="389" t="e">
        <f>P178*('upper bound Kenaga'!$F$96/100)</f>
        <v>#DIV/0!</v>
      </c>
      <c r="AJ178" s="36"/>
      <c r="AK178" s="36"/>
      <c r="AL178" s="36"/>
      <c r="AM178" s="36"/>
      <c r="AN178" s="36"/>
      <c r="AO178" s="36"/>
    </row>
    <row r="179" spans="1:41">
      <c r="J179" s="6">
        <f>COUNTIF(K$21:K179,"=yes")</f>
        <v>1</v>
      </c>
      <c r="K179" s="533" t="str">
        <f>IF(LOOKUP(VALUE(M179),INPUTS!$G$6:$G$35)=M179,"yes","no")</f>
        <v>no</v>
      </c>
      <c r="L179" s="533">
        <f>IF(K179="yes",(LOOKUP(J179,INPUTS!$E$6:$E$35,INPUTS!$F$6:$F$35)),0)</f>
        <v>0</v>
      </c>
      <c r="M179" s="135">
        <f t="shared" si="46"/>
        <v>158</v>
      </c>
      <c r="N179" s="135">
        <f t="shared" si="47"/>
        <v>1</v>
      </c>
      <c r="O179" s="135">
        <f t="shared" si="48"/>
        <v>0</v>
      </c>
      <c r="P179" s="536" t="e">
        <f t="shared" si="49"/>
        <v>#DIV/0!</v>
      </c>
      <c r="Q179" s="537" t="e">
        <f t="shared" si="36"/>
        <v>#DIV/0!</v>
      </c>
      <c r="R179" s="538" t="e">
        <f>IF(INPUTS!$B$15="yes",Q179,P179)</f>
        <v>#DIV/0!</v>
      </c>
      <c r="S179" s="536" t="e">
        <f t="shared" si="37"/>
        <v>#DIV/0!</v>
      </c>
      <c r="T179" s="537" t="e">
        <f t="shared" si="38"/>
        <v>#DIV/0!</v>
      </c>
      <c r="U179" s="538" t="e">
        <f>IF(INPUTS!$B$15="yes",T179,S179)</f>
        <v>#DIV/0!</v>
      </c>
      <c r="V179" s="536" t="e">
        <f t="shared" si="39"/>
        <v>#DIV/0!</v>
      </c>
      <c r="W179" s="537" t="e">
        <f t="shared" si="40"/>
        <v>#DIV/0!</v>
      </c>
      <c r="X179" s="538" t="e">
        <f>IF(INPUTS!$B$15="yes",W179,V179)</f>
        <v>#DIV/0!</v>
      </c>
      <c r="Y179" s="536" t="e">
        <f t="shared" si="41"/>
        <v>#DIV/0!</v>
      </c>
      <c r="Z179" s="537" t="e">
        <f t="shared" si="42"/>
        <v>#DIV/0!</v>
      </c>
      <c r="AA179" s="538" t="e">
        <f>IF(INPUTS!$B$15="yes",Z179,Y179)</f>
        <v>#DIV/0!</v>
      </c>
      <c r="AB179" s="536" t="e">
        <f t="shared" si="43"/>
        <v>#DIV/0!</v>
      </c>
      <c r="AC179" s="537" t="e">
        <f t="shared" si="44"/>
        <v>#DIV/0!</v>
      </c>
      <c r="AD179" s="538" t="e">
        <f>IF(INPUTS!$B$15="yes",AC179,AB179)</f>
        <v>#DIV/0!</v>
      </c>
      <c r="AE179" s="36" t="str">
        <f t="shared" si="45"/>
        <v>no</v>
      </c>
      <c r="AF179" s="36"/>
      <c r="AG179" s="389" t="e">
        <f>P179*('upper bound Kenaga'!$F$36/100)</f>
        <v>#DIV/0!</v>
      </c>
      <c r="AH179" s="36"/>
      <c r="AI179" s="389" t="e">
        <f>P179*('upper bound Kenaga'!$F$96/100)</f>
        <v>#DIV/0!</v>
      </c>
      <c r="AJ179" s="36"/>
      <c r="AK179" s="36"/>
      <c r="AL179" s="36"/>
      <c r="AM179" s="36"/>
      <c r="AN179" s="36"/>
      <c r="AO179" s="36"/>
    </row>
    <row r="180" spans="1:41">
      <c r="J180" s="6">
        <f>COUNTIF(K$21:K180,"=yes")</f>
        <v>1</v>
      </c>
      <c r="K180" s="533" t="str">
        <f>IF(LOOKUP(VALUE(M180),INPUTS!$G$6:$G$35)=M180,"yes","no")</f>
        <v>no</v>
      </c>
      <c r="L180" s="533">
        <f>IF(K180="yes",(LOOKUP(J180,INPUTS!$E$6:$E$35,INPUTS!$F$6:$F$35)),0)</f>
        <v>0</v>
      </c>
      <c r="M180" s="135">
        <f t="shared" si="46"/>
        <v>159</v>
      </c>
      <c r="N180" s="135">
        <f t="shared" si="47"/>
        <v>1</v>
      </c>
      <c r="O180" s="135">
        <f t="shared" si="48"/>
        <v>0</v>
      </c>
      <c r="P180" s="536" t="e">
        <f t="shared" si="49"/>
        <v>#DIV/0!</v>
      </c>
      <c r="Q180" s="537" t="e">
        <f t="shared" si="36"/>
        <v>#DIV/0!</v>
      </c>
      <c r="R180" s="538" t="e">
        <f>IF(INPUTS!$B$15="yes",Q180,P180)</f>
        <v>#DIV/0!</v>
      </c>
      <c r="S180" s="536" t="e">
        <f t="shared" si="37"/>
        <v>#DIV/0!</v>
      </c>
      <c r="T180" s="537" t="e">
        <f t="shared" si="38"/>
        <v>#DIV/0!</v>
      </c>
      <c r="U180" s="538" t="e">
        <f>IF(INPUTS!$B$15="yes",T180,S180)</f>
        <v>#DIV/0!</v>
      </c>
      <c r="V180" s="536" t="e">
        <f t="shared" si="39"/>
        <v>#DIV/0!</v>
      </c>
      <c r="W180" s="537" t="e">
        <f t="shared" si="40"/>
        <v>#DIV/0!</v>
      </c>
      <c r="X180" s="538" t="e">
        <f>IF(INPUTS!$B$15="yes",W180,V180)</f>
        <v>#DIV/0!</v>
      </c>
      <c r="Y180" s="536" t="e">
        <f t="shared" si="41"/>
        <v>#DIV/0!</v>
      </c>
      <c r="Z180" s="537" t="e">
        <f t="shared" si="42"/>
        <v>#DIV/0!</v>
      </c>
      <c r="AA180" s="538" t="e">
        <f>IF(INPUTS!$B$15="yes",Z180,Y180)</f>
        <v>#DIV/0!</v>
      </c>
      <c r="AB180" s="536" t="e">
        <f t="shared" si="43"/>
        <v>#DIV/0!</v>
      </c>
      <c r="AC180" s="537" t="e">
        <f t="shared" si="44"/>
        <v>#DIV/0!</v>
      </c>
      <c r="AD180" s="538" t="e">
        <f>IF(INPUTS!$B$15="yes",AC180,AB180)</f>
        <v>#DIV/0!</v>
      </c>
      <c r="AE180" s="36" t="str">
        <f t="shared" si="45"/>
        <v>no</v>
      </c>
      <c r="AF180" s="36"/>
      <c r="AG180" s="389" t="e">
        <f>P180*('upper bound Kenaga'!$F$36/100)</f>
        <v>#DIV/0!</v>
      </c>
      <c r="AH180" s="36"/>
      <c r="AI180" s="389" t="e">
        <f>P180*('upper bound Kenaga'!$F$96/100)</f>
        <v>#DIV/0!</v>
      </c>
      <c r="AJ180" s="36"/>
      <c r="AK180" s="36"/>
      <c r="AL180" s="36"/>
      <c r="AM180" s="36"/>
      <c r="AN180" s="36"/>
      <c r="AO180" s="36"/>
    </row>
    <row r="181" spans="1:41">
      <c r="J181" s="6">
        <f>COUNTIF(K$21:K181,"=yes")</f>
        <v>1</v>
      </c>
      <c r="K181" s="533" t="str">
        <f>IF(LOOKUP(VALUE(M181),INPUTS!$G$6:$G$35)=M181,"yes","no")</f>
        <v>no</v>
      </c>
      <c r="L181" s="533">
        <f>IF(K181="yes",(LOOKUP(J181,INPUTS!$E$6:$E$35,INPUTS!$F$6:$F$35)),0)</f>
        <v>0</v>
      </c>
      <c r="M181" s="135">
        <f t="shared" si="46"/>
        <v>160</v>
      </c>
      <c r="N181" s="135">
        <f t="shared" si="47"/>
        <v>1</v>
      </c>
      <c r="O181" s="135">
        <f t="shared" si="48"/>
        <v>0</v>
      </c>
      <c r="P181" s="536" t="e">
        <f t="shared" si="49"/>
        <v>#DIV/0!</v>
      </c>
      <c r="Q181" s="537" t="e">
        <f t="shared" si="36"/>
        <v>#DIV/0!</v>
      </c>
      <c r="R181" s="538" t="e">
        <f>IF(INPUTS!$B$15="yes",Q181,P181)</f>
        <v>#DIV/0!</v>
      </c>
      <c r="S181" s="536" t="e">
        <f t="shared" si="37"/>
        <v>#DIV/0!</v>
      </c>
      <c r="T181" s="537" t="e">
        <f t="shared" si="38"/>
        <v>#DIV/0!</v>
      </c>
      <c r="U181" s="538" t="e">
        <f>IF(INPUTS!$B$15="yes",T181,S181)</f>
        <v>#DIV/0!</v>
      </c>
      <c r="V181" s="536" t="e">
        <f t="shared" si="39"/>
        <v>#DIV/0!</v>
      </c>
      <c r="W181" s="537" t="e">
        <f t="shared" si="40"/>
        <v>#DIV/0!</v>
      </c>
      <c r="X181" s="538" t="e">
        <f>IF(INPUTS!$B$15="yes",W181,V181)</f>
        <v>#DIV/0!</v>
      </c>
      <c r="Y181" s="536" t="e">
        <f t="shared" si="41"/>
        <v>#DIV/0!</v>
      </c>
      <c r="Z181" s="537" t="e">
        <f t="shared" si="42"/>
        <v>#DIV/0!</v>
      </c>
      <c r="AA181" s="538" t="e">
        <f>IF(INPUTS!$B$15="yes",Z181,Y181)</f>
        <v>#DIV/0!</v>
      </c>
      <c r="AB181" s="536" t="e">
        <f t="shared" si="43"/>
        <v>#DIV/0!</v>
      </c>
      <c r="AC181" s="537" t="e">
        <f t="shared" si="44"/>
        <v>#DIV/0!</v>
      </c>
      <c r="AD181" s="538" t="e">
        <f>IF(INPUTS!$B$15="yes",AC181,AB181)</f>
        <v>#DIV/0!</v>
      </c>
      <c r="AE181" s="36" t="str">
        <f t="shared" si="45"/>
        <v>no</v>
      </c>
      <c r="AF181" s="36"/>
      <c r="AG181" s="389" t="e">
        <f>P181*('upper bound Kenaga'!$F$36/100)</f>
        <v>#DIV/0!</v>
      </c>
      <c r="AH181" s="36"/>
      <c r="AI181" s="389" t="e">
        <f>P181*('upper bound Kenaga'!$F$96/100)</f>
        <v>#DIV/0!</v>
      </c>
      <c r="AJ181" s="36"/>
      <c r="AK181" s="36"/>
      <c r="AL181" s="36"/>
      <c r="AM181" s="36"/>
      <c r="AN181" s="36"/>
      <c r="AO181" s="36"/>
    </row>
    <row r="182" spans="1:41">
      <c r="A182" s="79">
        <f>$B$3</f>
        <v>0</v>
      </c>
      <c r="B182" s="79">
        <f>$B$4</f>
        <v>0</v>
      </c>
      <c r="C182" s="26"/>
      <c r="D182" s="27"/>
      <c r="E182" s="26" t="s">
        <v>99</v>
      </c>
      <c r="J182" s="6">
        <f>COUNTIF(K$21:K182,"=yes")</f>
        <v>1</v>
      </c>
      <c r="K182" s="533" t="str">
        <f>IF(LOOKUP(VALUE(M182),INPUTS!$G$6:$G$35)=M182,"yes","no")</f>
        <v>no</v>
      </c>
      <c r="L182" s="533">
        <f>IF(K182="yes",(LOOKUP(J182,INPUTS!$E$6:$E$35,INPUTS!$F$6:$F$35)),0)</f>
        <v>0</v>
      </c>
      <c r="M182" s="135">
        <f t="shared" si="46"/>
        <v>161</v>
      </c>
      <c r="N182" s="135">
        <f t="shared" si="47"/>
        <v>1</v>
      </c>
      <c r="O182" s="135">
        <f t="shared" si="48"/>
        <v>0</v>
      </c>
      <c r="P182" s="536" t="e">
        <f t="shared" si="49"/>
        <v>#DIV/0!</v>
      </c>
      <c r="Q182" s="537" t="e">
        <f t="shared" si="36"/>
        <v>#DIV/0!</v>
      </c>
      <c r="R182" s="538" t="e">
        <f>IF(INPUTS!$B$15="yes",Q182,P182)</f>
        <v>#DIV/0!</v>
      </c>
      <c r="S182" s="536" t="e">
        <f t="shared" si="37"/>
        <v>#DIV/0!</v>
      </c>
      <c r="T182" s="537" t="e">
        <f t="shared" si="38"/>
        <v>#DIV/0!</v>
      </c>
      <c r="U182" s="538" t="e">
        <f>IF(INPUTS!$B$15="yes",T182,S182)</f>
        <v>#DIV/0!</v>
      </c>
      <c r="V182" s="536" t="e">
        <f t="shared" si="39"/>
        <v>#DIV/0!</v>
      </c>
      <c r="W182" s="537" t="e">
        <f t="shared" si="40"/>
        <v>#DIV/0!</v>
      </c>
      <c r="X182" s="538" t="e">
        <f>IF(INPUTS!$B$15="yes",W182,V182)</f>
        <v>#DIV/0!</v>
      </c>
      <c r="Y182" s="536" t="e">
        <f t="shared" si="41"/>
        <v>#DIV/0!</v>
      </c>
      <c r="Z182" s="537" t="e">
        <f t="shared" si="42"/>
        <v>#DIV/0!</v>
      </c>
      <c r="AA182" s="538" t="e">
        <f>IF(INPUTS!$B$15="yes",Z182,Y182)</f>
        <v>#DIV/0!</v>
      </c>
      <c r="AB182" s="536" t="e">
        <f t="shared" si="43"/>
        <v>#DIV/0!</v>
      </c>
      <c r="AC182" s="537" t="e">
        <f t="shared" si="44"/>
        <v>#DIV/0!</v>
      </c>
      <c r="AD182" s="538" t="e">
        <f>IF(INPUTS!$B$15="yes",AC182,AB182)</f>
        <v>#DIV/0!</v>
      </c>
      <c r="AE182" s="36" t="str">
        <f t="shared" si="45"/>
        <v>no</v>
      </c>
      <c r="AF182" s="36"/>
      <c r="AG182" s="389" t="e">
        <f>P182*('upper bound Kenaga'!$F$36/100)</f>
        <v>#DIV/0!</v>
      </c>
      <c r="AH182" s="36"/>
      <c r="AI182" s="389" t="e">
        <f>P182*('upper bound Kenaga'!$F$96/100)</f>
        <v>#DIV/0!</v>
      </c>
      <c r="AJ182" s="36"/>
      <c r="AK182" s="36"/>
      <c r="AL182" s="36"/>
      <c r="AM182" s="36"/>
      <c r="AN182" s="36"/>
      <c r="AO182" s="36"/>
    </row>
    <row r="183" spans="1:41" ht="21" thickBot="1">
      <c r="A183" s="13" t="s">
        <v>50</v>
      </c>
      <c r="B183" s="16"/>
      <c r="C183" s="16"/>
      <c r="D183" s="17"/>
      <c r="E183" s="16"/>
      <c r="F183" s="18"/>
      <c r="G183" s="19"/>
      <c r="H183" s="18"/>
      <c r="J183" s="6">
        <f>COUNTIF(K$21:K183,"=yes")</f>
        <v>1</v>
      </c>
      <c r="K183" s="533" t="str">
        <f>IF(LOOKUP(VALUE(M183),INPUTS!$G$6:$G$35)=M183,"yes","no")</f>
        <v>no</v>
      </c>
      <c r="L183" s="533">
        <f>IF(K183="yes",(LOOKUP(J183,INPUTS!$E$6:$E$35,INPUTS!$F$6:$F$35)),0)</f>
        <v>0</v>
      </c>
      <c r="M183" s="135">
        <f t="shared" si="46"/>
        <v>162</v>
      </c>
      <c r="N183" s="135">
        <f t="shared" si="47"/>
        <v>1</v>
      </c>
      <c r="O183" s="135">
        <f t="shared" si="48"/>
        <v>0</v>
      </c>
      <c r="P183" s="536" t="e">
        <f t="shared" si="49"/>
        <v>#DIV/0!</v>
      </c>
      <c r="Q183" s="537" t="e">
        <f t="shared" si="36"/>
        <v>#DIV/0!</v>
      </c>
      <c r="R183" s="538" t="e">
        <f>IF(INPUTS!$B$15="yes",Q183,P183)</f>
        <v>#DIV/0!</v>
      </c>
      <c r="S183" s="536" t="e">
        <f t="shared" si="37"/>
        <v>#DIV/0!</v>
      </c>
      <c r="T183" s="537" t="e">
        <f t="shared" si="38"/>
        <v>#DIV/0!</v>
      </c>
      <c r="U183" s="538" t="e">
        <f>IF(INPUTS!$B$15="yes",T183,S183)</f>
        <v>#DIV/0!</v>
      </c>
      <c r="V183" s="536" t="e">
        <f t="shared" si="39"/>
        <v>#DIV/0!</v>
      </c>
      <c r="W183" s="537" t="e">
        <f t="shared" si="40"/>
        <v>#DIV/0!</v>
      </c>
      <c r="X183" s="538" t="e">
        <f>IF(INPUTS!$B$15="yes",W183,V183)</f>
        <v>#DIV/0!</v>
      </c>
      <c r="Y183" s="536" t="e">
        <f t="shared" si="41"/>
        <v>#DIV/0!</v>
      </c>
      <c r="Z183" s="537" t="e">
        <f t="shared" si="42"/>
        <v>#DIV/0!</v>
      </c>
      <c r="AA183" s="538" t="e">
        <f>IF(INPUTS!$B$15="yes",Z183,Y183)</f>
        <v>#DIV/0!</v>
      </c>
      <c r="AB183" s="536" t="e">
        <f t="shared" si="43"/>
        <v>#DIV/0!</v>
      </c>
      <c r="AC183" s="537" t="e">
        <f t="shared" si="44"/>
        <v>#DIV/0!</v>
      </c>
      <c r="AD183" s="538" t="e">
        <f>IF(INPUTS!$B$15="yes",AC183,AB183)</f>
        <v>#DIV/0!</v>
      </c>
      <c r="AE183" s="36" t="str">
        <f t="shared" si="45"/>
        <v>no</v>
      </c>
      <c r="AF183" s="36"/>
      <c r="AG183" s="389" t="e">
        <f>P183*('upper bound Kenaga'!$F$36/100)</f>
        <v>#DIV/0!</v>
      </c>
      <c r="AH183" s="36"/>
      <c r="AI183" s="389" t="e">
        <f>P183*('upper bound Kenaga'!$F$96/100)</f>
        <v>#DIV/0!</v>
      </c>
      <c r="AJ183" s="36"/>
      <c r="AK183" s="36"/>
      <c r="AL183" s="36"/>
      <c r="AM183" s="36"/>
      <c r="AN183" s="36"/>
      <c r="AO183" s="36"/>
    </row>
    <row r="184" spans="1:41" ht="13.5" thickTop="1">
      <c r="J184" s="6">
        <f>COUNTIF(K$21:K184,"=yes")</f>
        <v>1</v>
      </c>
      <c r="K184" s="533" t="str">
        <f>IF(LOOKUP(VALUE(M184),INPUTS!$G$6:$G$35)=M184,"yes","no")</f>
        <v>no</v>
      </c>
      <c r="L184" s="533">
        <f>IF(K184="yes",(LOOKUP(J184,INPUTS!$E$6:$E$35,INPUTS!$F$6:$F$35)),0)</f>
        <v>0</v>
      </c>
      <c r="M184" s="135">
        <f t="shared" si="46"/>
        <v>163</v>
      </c>
      <c r="N184" s="135">
        <f t="shared" si="47"/>
        <v>1</v>
      </c>
      <c r="O184" s="135">
        <f t="shared" si="48"/>
        <v>0</v>
      </c>
      <c r="P184" s="536" t="e">
        <f t="shared" si="49"/>
        <v>#DIV/0!</v>
      </c>
      <c r="Q184" s="537" t="e">
        <f t="shared" si="36"/>
        <v>#DIV/0!</v>
      </c>
      <c r="R184" s="538" t="e">
        <f>IF(INPUTS!$B$15="yes",Q184,P184)</f>
        <v>#DIV/0!</v>
      </c>
      <c r="S184" s="536" t="e">
        <f t="shared" si="37"/>
        <v>#DIV/0!</v>
      </c>
      <c r="T184" s="537" t="e">
        <f t="shared" si="38"/>
        <v>#DIV/0!</v>
      </c>
      <c r="U184" s="538" t="e">
        <f>IF(INPUTS!$B$15="yes",T184,S184)</f>
        <v>#DIV/0!</v>
      </c>
      <c r="V184" s="536" t="e">
        <f t="shared" si="39"/>
        <v>#DIV/0!</v>
      </c>
      <c r="W184" s="537" t="e">
        <f t="shared" si="40"/>
        <v>#DIV/0!</v>
      </c>
      <c r="X184" s="538" t="e">
        <f>IF(INPUTS!$B$15="yes",W184,V184)</f>
        <v>#DIV/0!</v>
      </c>
      <c r="Y184" s="536" t="e">
        <f t="shared" si="41"/>
        <v>#DIV/0!</v>
      </c>
      <c r="Z184" s="537" t="e">
        <f t="shared" si="42"/>
        <v>#DIV/0!</v>
      </c>
      <c r="AA184" s="538" t="e">
        <f>IF(INPUTS!$B$15="yes",Z184,Y184)</f>
        <v>#DIV/0!</v>
      </c>
      <c r="AB184" s="536" t="e">
        <f t="shared" si="43"/>
        <v>#DIV/0!</v>
      </c>
      <c r="AC184" s="537" t="e">
        <f t="shared" si="44"/>
        <v>#DIV/0!</v>
      </c>
      <c r="AD184" s="538" t="e">
        <f>IF(INPUTS!$B$15="yes",AC184,AB184)</f>
        <v>#DIV/0!</v>
      </c>
      <c r="AE184" s="36" t="str">
        <f t="shared" si="45"/>
        <v>no</v>
      </c>
      <c r="AF184" s="36"/>
      <c r="AG184" s="389" t="e">
        <f>P184*('upper bound Kenaga'!$F$36/100)</f>
        <v>#DIV/0!</v>
      </c>
      <c r="AH184" s="36"/>
      <c r="AI184" s="389" t="e">
        <f>P184*('upper bound Kenaga'!$F$96/100)</f>
        <v>#DIV/0!</v>
      </c>
      <c r="AJ184" s="36"/>
      <c r="AK184" s="36"/>
      <c r="AL184" s="36"/>
      <c r="AM184" s="36"/>
      <c r="AN184" s="36"/>
      <c r="AO184" s="36"/>
    </row>
    <row r="185" spans="1:41">
      <c r="J185" s="6">
        <f>COUNTIF(K$21:K185,"=yes")</f>
        <v>1</v>
      </c>
      <c r="K185" s="533" t="str">
        <f>IF(LOOKUP(VALUE(M185),INPUTS!$G$6:$G$35)=M185,"yes","no")</f>
        <v>no</v>
      </c>
      <c r="L185" s="533">
        <f>IF(K185="yes",(LOOKUP(J185,INPUTS!$E$6:$E$35,INPUTS!$F$6:$F$35)),0)</f>
        <v>0</v>
      </c>
      <c r="M185" s="135">
        <f t="shared" si="46"/>
        <v>164</v>
      </c>
      <c r="N185" s="135">
        <f t="shared" si="47"/>
        <v>1</v>
      </c>
      <c r="O185" s="135">
        <f t="shared" si="48"/>
        <v>0</v>
      </c>
      <c r="P185" s="536" t="e">
        <f t="shared" si="49"/>
        <v>#DIV/0!</v>
      </c>
      <c r="Q185" s="537" t="e">
        <f t="shared" si="36"/>
        <v>#DIV/0!</v>
      </c>
      <c r="R185" s="538" t="e">
        <f>IF(INPUTS!$B$15="yes",Q185,P185)</f>
        <v>#DIV/0!</v>
      </c>
      <c r="S185" s="536" t="e">
        <f t="shared" si="37"/>
        <v>#DIV/0!</v>
      </c>
      <c r="T185" s="537" t="e">
        <f t="shared" si="38"/>
        <v>#DIV/0!</v>
      </c>
      <c r="U185" s="538" t="e">
        <f>IF(INPUTS!$B$15="yes",T185,S185)</f>
        <v>#DIV/0!</v>
      </c>
      <c r="V185" s="536" t="e">
        <f t="shared" si="39"/>
        <v>#DIV/0!</v>
      </c>
      <c r="W185" s="537" t="e">
        <f t="shared" si="40"/>
        <v>#DIV/0!</v>
      </c>
      <c r="X185" s="538" t="e">
        <f>IF(INPUTS!$B$15="yes",W185,V185)</f>
        <v>#DIV/0!</v>
      </c>
      <c r="Y185" s="536" t="e">
        <f t="shared" si="41"/>
        <v>#DIV/0!</v>
      </c>
      <c r="Z185" s="537" t="e">
        <f t="shared" si="42"/>
        <v>#DIV/0!</v>
      </c>
      <c r="AA185" s="538" t="e">
        <f>IF(INPUTS!$B$15="yes",Z185,Y185)</f>
        <v>#DIV/0!</v>
      </c>
      <c r="AB185" s="536" t="e">
        <f t="shared" si="43"/>
        <v>#DIV/0!</v>
      </c>
      <c r="AC185" s="537" t="e">
        <f t="shared" si="44"/>
        <v>#DIV/0!</v>
      </c>
      <c r="AD185" s="538" t="e">
        <f>IF(INPUTS!$B$15="yes",AC185,AB185)</f>
        <v>#DIV/0!</v>
      </c>
      <c r="AE185" s="36" t="str">
        <f t="shared" si="45"/>
        <v>no</v>
      </c>
      <c r="AF185" s="36"/>
      <c r="AG185" s="389" t="e">
        <f>P185*('upper bound Kenaga'!$F$36/100)</f>
        <v>#DIV/0!</v>
      </c>
      <c r="AH185" s="36"/>
      <c r="AI185" s="389" t="e">
        <f>P185*('upper bound Kenaga'!$F$96/100)</f>
        <v>#DIV/0!</v>
      </c>
      <c r="AJ185" s="36"/>
      <c r="AK185" s="36"/>
      <c r="AL185" s="36"/>
      <c r="AM185" s="36"/>
      <c r="AN185" s="36"/>
      <c r="AO185" s="36"/>
    </row>
    <row r="186" spans="1:41">
      <c r="J186" s="6">
        <f>COUNTIF(K$21:K186,"=yes")</f>
        <v>1</v>
      </c>
      <c r="K186" s="533" t="str">
        <f>IF(LOOKUP(VALUE(M186),INPUTS!$G$6:$G$35)=M186,"yes","no")</f>
        <v>no</v>
      </c>
      <c r="L186" s="533">
        <f>IF(K186="yes",(LOOKUP(J186,INPUTS!$E$6:$E$35,INPUTS!$F$6:$F$35)),0)</f>
        <v>0</v>
      </c>
      <c r="M186" s="135">
        <f t="shared" si="46"/>
        <v>165</v>
      </c>
      <c r="N186" s="135">
        <f t="shared" si="47"/>
        <v>1</v>
      </c>
      <c r="O186" s="135">
        <f t="shared" si="48"/>
        <v>0</v>
      </c>
      <c r="P186" s="536" t="e">
        <f t="shared" si="49"/>
        <v>#DIV/0!</v>
      </c>
      <c r="Q186" s="537" t="e">
        <f t="shared" si="36"/>
        <v>#DIV/0!</v>
      </c>
      <c r="R186" s="538" t="e">
        <f>IF(INPUTS!$B$15="yes",Q186,P186)</f>
        <v>#DIV/0!</v>
      </c>
      <c r="S186" s="536" t="e">
        <f t="shared" si="37"/>
        <v>#DIV/0!</v>
      </c>
      <c r="T186" s="537" t="e">
        <f t="shared" si="38"/>
        <v>#DIV/0!</v>
      </c>
      <c r="U186" s="538" t="e">
        <f>IF(INPUTS!$B$15="yes",T186,S186)</f>
        <v>#DIV/0!</v>
      </c>
      <c r="V186" s="536" t="e">
        <f t="shared" si="39"/>
        <v>#DIV/0!</v>
      </c>
      <c r="W186" s="537" t="e">
        <f t="shared" si="40"/>
        <v>#DIV/0!</v>
      </c>
      <c r="X186" s="538" t="e">
        <f>IF(INPUTS!$B$15="yes",W186,V186)</f>
        <v>#DIV/0!</v>
      </c>
      <c r="Y186" s="536" t="e">
        <f t="shared" si="41"/>
        <v>#DIV/0!</v>
      </c>
      <c r="Z186" s="537" t="e">
        <f t="shared" si="42"/>
        <v>#DIV/0!</v>
      </c>
      <c r="AA186" s="538" t="e">
        <f>IF(INPUTS!$B$15="yes",Z186,Y186)</f>
        <v>#DIV/0!</v>
      </c>
      <c r="AB186" s="536" t="e">
        <f t="shared" si="43"/>
        <v>#DIV/0!</v>
      </c>
      <c r="AC186" s="537" t="e">
        <f t="shared" si="44"/>
        <v>#DIV/0!</v>
      </c>
      <c r="AD186" s="538" t="e">
        <f>IF(INPUTS!$B$15="yes",AC186,AB186)</f>
        <v>#DIV/0!</v>
      </c>
      <c r="AE186" s="36" t="str">
        <f t="shared" si="45"/>
        <v>no</v>
      </c>
      <c r="AF186" s="36"/>
      <c r="AG186" s="389" t="e">
        <f>P186*('upper bound Kenaga'!$F$36/100)</f>
        <v>#DIV/0!</v>
      </c>
      <c r="AH186" s="36"/>
      <c r="AI186" s="389" t="e">
        <f>P186*('upper bound Kenaga'!$F$96/100)</f>
        <v>#DIV/0!</v>
      </c>
      <c r="AJ186" s="36"/>
      <c r="AK186" s="36"/>
      <c r="AL186" s="36"/>
      <c r="AM186" s="36"/>
      <c r="AN186" s="36"/>
      <c r="AO186" s="36"/>
    </row>
    <row r="187" spans="1:41">
      <c r="J187" s="6">
        <f>COUNTIF(K$21:K187,"=yes")</f>
        <v>1</v>
      </c>
      <c r="K187" s="533" t="str">
        <f>IF(LOOKUP(VALUE(M187),INPUTS!$G$6:$G$35)=M187,"yes","no")</f>
        <v>no</v>
      </c>
      <c r="L187" s="533">
        <f>IF(K187="yes",(LOOKUP(J187,INPUTS!$E$6:$E$35,INPUTS!$F$6:$F$35)),0)</f>
        <v>0</v>
      </c>
      <c r="M187" s="135">
        <f t="shared" si="46"/>
        <v>166</v>
      </c>
      <c r="N187" s="135">
        <f t="shared" si="47"/>
        <v>1</v>
      </c>
      <c r="O187" s="135">
        <f t="shared" si="48"/>
        <v>0</v>
      </c>
      <c r="P187" s="536" t="e">
        <f t="shared" si="49"/>
        <v>#DIV/0!</v>
      </c>
      <c r="Q187" s="537" t="e">
        <f t="shared" si="36"/>
        <v>#DIV/0!</v>
      </c>
      <c r="R187" s="538" t="e">
        <f>IF(INPUTS!$B$15="yes",Q187,P187)</f>
        <v>#DIV/0!</v>
      </c>
      <c r="S187" s="536" t="e">
        <f t="shared" si="37"/>
        <v>#DIV/0!</v>
      </c>
      <c r="T187" s="537" t="e">
        <f t="shared" si="38"/>
        <v>#DIV/0!</v>
      </c>
      <c r="U187" s="538" t="e">
        <f>IF(INPUTS!$B$15="yes",T187,S187)</f>
        <v>#DIV/0!</v>
      </c>
      <c r="V187" s="536" t="e">
        <f t="shared" si="39"/>
        <v>#DIV/0!</v>
      </c>
      <c r="W187" s="537" t="e">
        <f t="shared" si="40"/>
        <v>#DIV/0!</v>
      </c>
      <c r="X187" s="538" t="e">
        <f>IF(INPUTS!$B$15="yes",W187,V187)</f>
        <v>#DIV/0!</v>
      </c>
      <c r="Y187" s="536" t="e">
        <f t="shared" si="41"/>
        <v>#DIV/0!</v>
      </c>
      <c r="Z187" s="537" t="e">
        <f t="shared" si="42"/>
        <v>#DIV/0!</v>
      </c>
      <c r="AA187" s="538" t="e">
        <f>IF(INPUTS!$B$15="yes",Z187,Y187)</f>
        <v>#DIV/0!</v>
      </c>
      <c r="AB187" s="536" t="e">
        <f t="shared" si="43"/>
        <v>#DIV/0!</v>
      </c>
      <c r="AC187" s="537" t="e">
        <f t="shared" si="44"/>
        <v>#DIV/0!</v>
      </c>
      <c r="AD187" s="538" t="e">
        <f>IF(INPUTS!$B$15="yes",AC187,AB187)</f>
        <v>#DIV/0!</v>
      </c>
      <c r="AE187" s="36" t="str">
        <f t="shared" si="45"/>
        <v>no</v>
      </c>
      <c r="AF187" s="36"/>
      <c r="AG187" s="389" t="e">
        <f>P187*('upper bound Kenaga'!$F$36/100)</f>
        <v>#DIV/0!</v>
      </c>
      <c r="AH187" s="36"/>
      <c r="AI187" s="389" t="e">
        <f>P187*('upper bound Kenaga'!$F$96/100)</f>
        <v>#DIV/0!</v>
      </c>
      <c r="AJ187" s="36"/>
      <c r="AK187" s="36"/>
      <c r="AL187" s="36"/>
      <c r="AM187" s="36"/>
      <c r="AN187" s="36"/>
      <c r="AO187" s="36"/>
    </row>
    <row r="188" spans="1:41">
      <c r="J188" s="6">
        <f>COUNTIF(K$21:K188,"=yes")</f>
        <v>1</v>
      </c>
      <c r="K188" s="533" t="str">
        <f>IF(LOOKUP(VALUE(M188),INPUTS!$G$6:$G$35)=M188,"yes","no")</f>
        <v>no</v>
      </c>
      <c r="L188" s="533">
        <f>IF(K188="yes",(LOOKUP(J188,INPUTS!$E$6:$E$35,INPUTS!$F$6:$F$35)),0)</f>
        <v>0</v>
      </c>
      <c r="M188" s="135">
        <f t="shared" si="46"/>
        <v>167</v>
      </c>
      <c r="N188" s="135">
        <f t="shared" si="47"/>
        <v>1</v>
      </c>
      <c r="O188" s="135">
        <f t="shared" si="48"/>
        <v>0</v>
      </c>
      <c r="P188" s="536" t="e">
        <f t="shared" si="49"/>
        <v>#DIV/0!</v>
      </c>
      <c r="Q188" s="537" t="e">
        <f t="shared" si="36"/>
        <v>#DIV/0!</v>
      </c>
      <c r="R188" s="538" t="e">
        <f>IF(INPUTS!$B$15="yes",Q188,P188)</f>
        <v>#DIV/0!</v>
      </c>
      <c r="S188" s="536" t="e">
        <f t="shared" si="37"/>
        <v>#DIV/0!</v>
      </c>
      <c r="T188" s="537" t="e">
        <f t="shared" si="38"/>
        <v>#DIV/0!</v>
      </c>
      <c r="U188" s="538" t="e">
        <f>IF(INPUTS!$B$15="yes",T188,S188)</f>
        <v>#DIV/0!</v>
      </c>
      <c r="V188" s="536" t="e">
        <f t="shared" si="39"/>
        <v>#DIV/0!</v>
      </c>
      <c r="W188" s="537" t="e">
        <f t="shared" si="40"/>
        <v>#DIV/0!</v>
      </c>
      <c r="X188" s="538" t="e">
        <f>IF(INPUTS!$B$15="yes",W188,V188)</f>
        <v>#DIV/0!</v>
      </c>
      <c r="Y188" s="536" t="e">
        <f t="shared" si="41"/>
        <v>#DIV/0!</v>
      </c>
      <c r="Z188" s="537" t="e">
        <f t="shared" si="42"/>
        <v>#DIV/0!</v>
      </c>
      <c r="AA188" s="538" t="e">
        <f>IF(INPUTS!$B$15="yes",Z188,Y188)</f>
        <v>#DIV/0!</v>
      </c>
      <c r="AB188" s="536" t="e">
        <f t="shared" si="43"/>
        <v>#DIV/0!</v>
      </c>
      <c r="AC188" s="537" t="e">
        <f t="shared" si="44"/>
        <v>#DIV/0!</v>
      </c>
      <c r="AD188" s="538" t="e">
        <f>IF(INPUTS!$B$15="yes",AC188,AB188)</f>
        <v>#DIV/0!</v>
      </c>
      <c r="AE188" s="36" t="str">
        <f t="shared" si="45"/>
        <v>no</v>
      </c>
      <c r="AF188" s="36"/>
      <c r="AG188" s="389" t="e">
        <f>P188*('upper bound Kenaga'!$F$36/100)</f>
        <v>#DIV/0!</v>
      </c>
      <c r="AH188" s="36"/>
      <c r="AI188" s="389" t="e">
        <f>P188*('upper bound Kenaga'!$F$96/100)</f>
        <v>#DIV/0!</v>
      </c>
      <c r="AJ188" s="36"/>
      <c r="AK188" s="36"/>
      <c r="AL188" s="36"/>
      <c r="AM188" s="36"/>
      <c r="AN188" s="36"/>
      <c r="AO188" s="36"/>
    </row>
    <row r="189" spans="1:41">
      <c r="J189" s="6">
        <f>COUNTIF(K$21:K189,"=yes")</f>
        <v>1</v>
      </c>
      <c r="K189" s="533" t="str">
        <f>IF(LOOKUP(VALUE(M189),INPUTS!$G$6:$G$35)=M189,"yes","no")</f>
        <v>no</v>
      </c>
      <c r="L189" s="533">
        <f>IF(K189="yes",(LOOKUP(J189,INPUTS!$E$6:$E$35,INPUTS!$F$6:$F$35)),0)</f>
        <v>0</v>
      </c>
      <c r="M189" s="135">
        <f t="shared" si="46"/>
        <v>168</v>
      </c>
      <c r="N189" s="135">
        <f t="shared" si="47"/>
        <v>1</v>
      </c>
      <c r="O189" s="135">
        <f t="shared" si="48"/>
        <v>0</v>
      </c>
      <c r="P189" s="536" t="e">
        <f t="shared" si="49"/>
        <v>#DIV/0!</v>
      </c>
      <c r="Q189" s="537" t="e">
        <f t="shared" si="36"/>
        <v>#DIV/0!</v>
      </c>
      <c r="R189" s="538" t="e">
        <f>IF(INPUTS!$B$15="yes",Q189,P189)</f>
        <v>#DIV/0!</v>
      </c>
      <c r="S189" s="536" t="e">
        <f t="shared" si="37"/>
        <v>#DIV/0!</v>
      </c>
      <c r="T189" s="537" t="e">
        <f t="shared" si="38"/>
        <v>#DIV/0!</v>
      </c>
      <c r="U189" s="538" t="e">
        <f>IF(INPUTS!$B$15="yes",T189,S189)</f>
        <v>#DIV/0!</v>
      </c>
      <c r="V189" s="536" t="e">
        <f t="shared" si="39"/>
        <v>#DIV/0!</v>
      </c>
      <c r="W189" s="537" t="e">
        <f t="shared" si="40"/>
        <v>#DIV/0!</v>
      </c>
      <c r="X189" s="538" t="e">
        <f>IF(INPUTS!$B$15="yes",W189,V189)</f>
        <v>#DIV/0!</v>
      </c>
      <c r="Y189" s="536" t="e">
        <f t="shared" si="41"/>
        <v>#DIV/0!</v>
      </c>
      <c r="Z189" s="537" t="e">
        <f t="shared" si="42"/>
        <v>#DIV/0!</v>
      </c>
      <c r="AA189" s="538" t="e">
        <f>IF(INPUTS!$B$15="yes",Z189,Y189)</f>
        <v>#DIV/0!</v>
      </c>
      <c r="AB189" s="536" t="e">
        <f t="shared" si="43"/>
        <v>#DIV/0!</v>
      </c>
      <c r="AC189" s="537" t="e">
        <f t="shared" si="44"/>
        <v>#DIV/0!</v>
      </c>
      <c r="AD189" s="538" t="e">
        <f>IF(INPUTS!$B$15="yes",AC189,AB189)</f>
        <v>#DIV/0!</v>
      </c>
      <c r="AE189" s="36" t="str">
        <f t="shared" si="45"/>
        <v>no</v>
      </c>
      <c r="AF189" s="36"/>
      <c r="AG189" s="389" t="e">
        <f>P189*('upper bound Kenaga'!$F$36/100)</f>
        <v>#DIV/0!</v>
      </c>
      <c r="AH189" s="36"/>
      <c r="AI189" s="389" t="e">
        <f>P189*('upper bound Kenaga'!$F$96/100)</f>
        <v>#DIV/0!</v>
      </c>
      <c r="AJ189" s="36"/>
      <c r="AK189" s="36"/>
      <c r="AL189" s="36"/>
      <c r="AM189" s="36"/>
      <c r="AN189" s="36"/>
      <c r="AO189" s="36"/>
    </row>
    <row r="190" spans="1:41">
      <c r="J190" s="6">
        <f>COUNTIF(K$21:K190,"=yes")</f>
        <v>1</v>
      </c>
      <c r="K190" s="533" t="str">
        <f>IF(LOOKUP(VALUE(M190),INPUTS!$G$6:$G$35)=M190,"yes","no")</f>
        <v>no</v>
      </c>
      <c r="L190" s="533">
        <f>IF(K190="yes",(LOOKUP(J190,INPUTS!$E$6:$E$35,INPUTS!$F$6:$F$35)),0)</f>
        <v>0</v>
      </c>
      <c r="M190" s="135">
        <f t="shared" si="46"/>
        <v>169</v>
      </c>
      <c r="N190" s="135">
        <f t="shared" si="47"/>
        <v>1</v>
      </c>
      <c r="O190" s="135">
        <f t="shared" si="48"/>
        <v>0</v>
      </c>
      <c r="P190" s="536" t="e">
        <f t="shared" si="49"/>
        <v>#DIV/0!</v>
      </c>
      <c r="Q190" s="537" t="e">
        <f t="shared" si="36"/>
        <v>#DIV/0!</v>
      </c>
      <c r="R190" s="538" t="e">
        <f>IF(INPUTS!$B$15="yes",Q190,P190)</f>
        <v>#DIV/0!</v>
      </c>
      <c r="S190" s="536" t="e">
        <f t="shared" si="37"/>
        <v>#DIV/0!</v>
      </c>
      <c r="T190" s="537" t="e">
        <f t="shared" si="38"/>
        <v>#DIV/0!</v>
      </c>
      <c r="U190" s="538" t="e">
        <f>IF(INPUTS!$B$15="yes",T190,S190)</f>
        <v>#DIV/0!</v>
      </c>
      <c r="V190" s="536" t="e">
        <f t="shared" si="39"/>
        <v>#DIV/0!</v>
      </c>
      <c r="W190" s="537" t="e">
        <f t="shared" si="40"/>
        <v>#DIV/0!</v>
      </c>
      <c r="X190" s="538" t="e">
        <f>IF(INPUTS!$B$15="yes",W190,V190)</f>
        <v>#DIV/0!</v>
      </c>
      <c r="Y190" s="536" t="e">
        <f t="shared" si="41"/>
        <v>#DIV/0!</v>
      </c>
      <c r="Z190" s="537" t="e">
        <f t="shared" si="42"/>
        <v>#DIV/0!</v>
      </c>
      <c r="AA190" s="538" t="e">
        <f>IF(INPUTS!$B$15="yes",Z190,Y190)</f>
        <v>#DIV/0!</v>
      </c>
      <c r="AB190" s="536" t="e">
        <f t="shared" si="43"/>
        <v>#DIV/0!</v>
      </c>
      <c r="AC190" s="537" t="e">
        <f t="shared" si="44"/>
        <v>#DIV/0!</v>
      </c>
      <c r="AD190" s="538" t="e">
        <f>IF(INPUTS!$B$15="yes",AC190,AB190)</f>
        <v>#DIV/0!</v>
      </c>
      <c r="AE190" s="36" t="str">
        <f t="shared" si="45"/>
        <v>no</v>
      </c>
      <c r="AF190" s="36"/>
      <c r="AG190" s="389" t="e">
        <f>P190*('upper bound Kenaga'!$F$36/100)</f>
        <v>#DIV/0!</v>
      </c>
      <c r="AH190" s="36"/>
      <c r="AI190" s="389" t="e">
        <f>P190*('upper bound Kenaga'!$F$96/100)</f>
        <v>#DIV/0!</v>
      </c>
      <c r="AJ190" s="36"/>
      <c r="AK190" s="36"/>
      <c r="AL190" s="36"/>
      <c r="AM190" s="36"/>
      <c r="AN190" s="36"/>
      <c r="AO190" s="36"/>
    </row>
    <row r="191" spans="1:41">
      <c r="J191" s="6">
        <f>COUNTIF(K$21:K191,"=yes")</f>
        <v>1</v>
      </c>
      <c r="K191" s="533" t="str">
        <f>IF(LOOKUP(VALUE(M191),INPUTS!$G$6:$G$35)=M191,"yes","no")</f>
        <v>no</v>
      </c>
      <c r="L191" s="533">
        <f>IF(K191="yes",(LOOKUP(J191,INPUTS!$E$6:$E$35,INPUTS!$F$6:$F$35)),0)</f>
        <v>0</v>
      </c>
      <c r="M191" s="135">
        <f t="shared" si="46"/>
        <v>170</v>
      </c>
      <c r="N191" s="135">
        <f t="shared" si="47"/>
        <v>1</v>
      </c>
      <c r="O191" s="135">
        <f t="shared" si="48"/>
        <v>0</v>
      </c>
      <c r="P191" s="536" t="e">
        <f t="shared" si="49"/>
        <v>#DIV/0!</v>
      </c>
      <c r="Q191" s="537" t="e">
        <f t="shared" si="36"/>
        <v>#DIV/0!</v>
      </c>
      <c r="R191" s="538" t="e">
        <f>IF(INPUTS!$B$15="yes",Q191,P191)</f>
        <v>#DIV/0!</v>
      </c>
      <c r="S191" s="536" t="e">
        <f t="shared" si="37"/>
        <v>#DIV/0!</v>
      </c>
      <c r="T191" s="537" t="e">
        <f t="shared" si="38"/>
        <v>#DIV/0!</v>
      </c>
      <c r="U191" s="538" t="e">
        <f>IF(INPUTS!$B$15="yes",T191,S191)</f>
        <v>#DIV/0!</v>
      </c>
      <c r="V191" s="536" t="e">
        <f t="shared" si="39"/>
        <v>#DIV/0!</v>
      </c>
      <c r="W191" s="537" t="e">
        <f t="shared" si="40"/>
        <v>#DIV/0!</v>
      </c>
      <c r="X191" s="538" t="e">
        <f>IF(INPUTS!$B$15="yes",W191,V191)</f>
        <v>#DIV/0!</v>
      </c>
      <c r="Y191" s="536" t="e">
        <f t="shared" si="41"/>
        <v>#DIV/0!</v>
      </c>
      <c r="Z191" s="537" t="e">
        <f t="shared" si="42"/>
        <v>#DIV/0!</v>
      </c>
      <c r="AA191" s="538" t="e">
        <f>IF(INPUTS!$B$15="yes",Z191,Y191)</f>
        <v>#DIV/0!</v>
      </c>
      <c r="AB191" s="536" t="e">
        <f t="shared" si="43"/>
        <v>#DIV/0!</v>
      </c>
      <c r="AC191" s="537" t="e">
        <f t="shared" si="44"/>
        <v>#DIV/0!</v>
      </c>
      <c r="AD191" s="538" t="e">
        <f>IF(INPUTS!$B$15="yes",AC191,AB191)</f>
        <v>#DIV/0!</v>
      </c>
      <c r="AE191" s="36" t="str">
        <f t="shared" si="45"/>
        <v>no</v>
      </c>
      <c r="AF191" s="36"/>
      <c r="AG191" s="389" t="e">
        <f>P191*('upper bound Kenaga'!$F$36/100)</f>
        <v>#DIV/0!</v>
      </c>
      <c r="AH191" s="36"/>
      <c r="AI191" s="389" t="e">
        <f>P191*('upper bound Kenaga'!$F$96/100)</f>
        <v>#DIV/0!</v>
      </c>
      <c r="AJ191" s="36"/>
      <c r="AK191" s="36"/>
      <c r="AL191" s="36"/>
      <c r="AM191" s="36"/>
      <c r="AN191" s="36"/>
      <c r="AO191" s="36"/>
    </row>
    <row r="192" spans="1:41">
      <c r="J192" s="6">
        <f>COUNTIF(K$21:K192,"=yes")</f>
        <v>1</v>
      </c>
      <c r="K192" s="533" t="str">
        <f>IF(LOOKUP(VALUE(M192),INPUTS!$G$6:$G$35)=M192,"yes","no")</f>
        <v>no</v>
      </c>
      <c r="L192" s="533">
        <f>IF(K192="yes",(LOOKUP(J192,INPUTS!$E$6:$E$35,INPUTS!$F$6:$F$35)),0)</f>
        <v>0</v>
      </c>
      <c r="M192" s="135">
        <f t="shared" si="46"/>
        <v>171</v>
      </c>
      <c r="N192" s="135">
        <f t="shared" si="47"/>
        <v>1</v>
      </c>
      <c r="O192" s="135">
        <f t="shared" si="48"/>
        <v>0</v>
      </c>
      <c r="P192" s="536" t="e">
        <f t="shared" si="49"/>
        <v>#DIV/0!</v>
      </c>
      <c r="Q192" s="537" t="e">
        <f t="shared" si="36"/>
        <v>#DIV/0!</v>
      </c>
      <c r="R192" s="538" t="e">
        <f>IF(INPUTS!$B$15="yes",Q192,P192)</f>
        <v>#DIV/0!</v>
      </c>
      <c r="S192" s="536" t="e">
        <f t="shared" si="37"/>
        <v>#DIV/0!</v>
      </c>
      <c r="T192" s="537" t="e">
        <f t="shared" si="38"/>
        <v>#DIV/0!</v>
      </c>
      <c r="U192" s="538" t="e">
        <f>IF(INPUTS!$B$15="yes",T192,S192)</f>
        <v>#DIV/0!</v>
      </c>
      <c r="V192" s="536" t="e">
        <f t="shared" si="39"/>
        <v>#DIV/0!</v>
      </c>
      <c r="W192" s="537" t="e">
        <f t="shared" si="40"/>
        <v>#DIV/0!</v>
      </c>
      <c r="X192" s="538" t="e">
        <f>IF(INPUTS!$B$15="yes",W192,V192)</f>
        <v>#DIV/0!</v>
      </c>
      <c r="Y192" s="536" t="e">
        <f t="shared" si="41"/>
        <v>#DIV/0!</v>
      </c>
      <c r="Z192" s="537" t="e">
        <f t="shared" si="42"/>
        <v>#DIV/0!</v>
      </c>
      <c r="AA192" s="538" t="e">
        <f>IF(INPUTS!$B$15="yes",Z192,Y192)</f>
        <v>#DIV/0!</v>
      </c>
      <c r="AB192" s="536" t="e">
        <f t="shared" si="43"/>
        <v>#DIV/0!</v>
      </c>
      <c r="AC192" s="537" t="e">
        <f t="shared" si="44"/>
        <v>#DIV/0!</v>
      </c>
      <c r="AD192" s="538" t="e">
        <f>IF(INPUTS!$B$15="yes",AC192,AB192)</f>
        <v>#DIV/0!</v>
      </c>
      <c r="AE192" s="36" t="str">
        <f t="shared" si="45"/>
        <v>no</v>
      </c>
      <c r="AF192" s="36"/>
      <c r="AG192" s="389" t="e">
        <f>P192*('upper bound Kenaga'!$F$36/100)</f>
        <v>#DIV/0!</v>
      </c>
      <c r="AH192" s="36"/>
      <c r="AI192" s="389" t="e">
        <f>P192*('upper bound Kenaga'!$F$96/100)</f>
        <v>#DIV/0!</v>
      </c>
      <c r="AJ192" s="36"/>
      <c r="AK192" s="36"/>
      <c r="AL192" s="36"/>
      <c r="AM192" s="36"/>
      <c r="AN192" s="36"/>
      <c r="AO192" s="36"/>
    </row>
    <row r="193" spans="10:41" s="1" customFormat="1">
      <c r="J193" s="6">
        <f>COUNTIF(K$21:K193,"=yes")</f>
        <v>1</v>
      </c>
      <c r="K193" s="533" t="str">
        <f>IF(LOOKUP(VALUE(M193),INPUTS!$G$6:$G$35)=M193,"yes","no")</f>
        <v>no</v>
      </c>
      <c r="L193" s="533">
        <f>IF(K193="yes",(LOOKUP(J193,INPUTS!$E$6:$E$35,INPUTS!$F$6:$F$35)),0)</f>
        <v>0</v>
      </c>
      <c r="M193" s="135">
        <f t="shared" si="46"/>
        <v>172</v>
      </c>
      <c r="N193" s="135">
        <f t="shared" si="47"/>
        <v>1</v>
      </c>
      <c r="O193" s="135">
        <f t="shared" si="48"/>
        <v>0</v>
      </c>
      <c r="P193" s="536" t="e">
        <f t="shared" si="49"/>
        <v>#DIV/0!</v>
      </c>
      <c r="Q193" s="537" t="e">
        <f t="shared" si="36"/>
        <v>#DIV/0!</v>
      </c>
      <c r="R193" s="538" t="e">
        <f>IF(INPUTS!$B$15="yes",Q193,P193)</f>
        <v>#DIV/0!</v>
      </c>
      <c r="S193" s="536" t="e">
        <f t="shared" si="37"/>
        <v>#DIV/0!</v>
      </c>
      <c r="T193" s="537" t="e">
        <f t="shared" si="38"/>
        <v>#DIV/0!</v>
      </c>
      <c r="U193" s="538" t="e">
        <f>IF(INPUTS!$B$15="yes",T193,S193)</f>
        <v>#DIV/0!</v>
      </c>
      <c r="V193" s="536" t="e">
        <f t="shared" si="39"/>
        <v>#DIV/0!</v>
      </c>
      <c r="W193" s="537" t="e">
        <f t="shared" si="40"/>
        <v>#DIV/0!</v>
      </c>
      <c r="X193" s="538" t="e">
        <f>IF(INPUTS!$B$15="yes",W193,V193)</f>
        <v>#DIV/0!</v>
      </c>
      <c r="Y193" s="536" t="e">
        <f t="shared" si="41"/>
        <v>#DIV/0!</v>
      </c>
      <c r="Z193" s="537" t="e">
        <f t="shared" si="42"/>
        <v>#DIV/0!</v>
      </c>
      <c r="AA193" s="538" t="e">
        <f>IF(INPUTS!$B$15="yes",Z193,Y193)</f>
        <v>#DIV/0!</v>
      </c>
      <c r="AB193" s="536" t="e">
        <f t="shared" si="43"/>
        <v>#DIV/0!</v>
      </c>
      <c r="AC193" s="537" t="e">
        <f t="shared" si="44"/>
        <v>#DIV/0!</v>
      </c>
      <c r="AD193" s="538" t="e">
        <f>IF(INPUTS!$B$15="yes",AC193,AB193)</f>
        <v>#DIV/0!</v>
      </c>
      <c r="AE193" s="36" t="str">
        <f t="shared" si="45"/>
        <v>no</v>
      </c>
      <c r="AF193" s="36"/>
      <c r="AG193" s="389" t="e">
        <f>P193*('upper bound Kenaga'!$F$36/100)</f>
        <v>#DIV/0!</v>
      </c>
      <c r="AH193" s="36"/>
      <c r="AI193" s="389" t="e">
        <f>P193*('upper bound Kenaga'!$F$96/100)</f>
        <v>#DIV/0!</v>
      </c>
      <c r="AJ193" s="36"/>
      <c r="AK193" s="36"/>
      <c r="AL193" s="36"/>
      <c r="AM193" s="36"/>
      <c r="AN193" s="36"/>
      <c r="AO193" s="36"/>
    </row>
    <row r="194" spans="10:41" s="1" customFormat="1">
      <c r="J194" s="6">
        <f>COUNTIF(K$21:K194,"=yes")</f>
        <v>1</v>
      </c>
      <c r="K194" s="533" t="str">
        <f>IF(LOOKUP(VALUE(M194),INPUTS!$G$6:$G$35)=M194,"yes","no")</f>
        <v>no</v>
      </c>
      <c r="L194" s="533">
        <f>IF(K194="yes",(LOOKUP(J194,INPUTS!$E$6:$E$35,INPUTS!$F$6:$F$35)),0)</f>
        <v>0</v>
      </c>
      <c r="M194" s="135">
        <f t="shared" si="46"/>
        <v>173</v>
      </c>
      <c r="N194" s="135">
        <f t="shared" si="47"/>
        <v>1</v>
      </c>
      <c r="O194" s="135">
        <f t="shared" si="48"/>
        <v>0</v>
      </c>
      <c r="P194" s="536" t="e">
        <f t="shared" si="49"/>
        <v>#DIV/0!</v>
      </c>
      <c r="Q194" s="537" t="e">
        <f t="shared" si="36"/>
        <v>#DIV/0!</v>
      </c>
      <c r="R194" s="538" t="e">
        <f>IF(INPUTS!$B$15="yes",Q194,P194)</f>
        <v>#DIV/0!</v>
      </c>
      <c r="S194" s="536" t="e">
        <f t="shared" si="37"/>
        <v>#DIV/0!</v>
      </c>
      <c r="T194" s="537" t="e">
        <f t="shared" si="38"/>
        <v>#DIV/0!</v>
      </c>
      <c r="U194" s="538" t="e">
        <f>IF(INPUTS!$B$15="yes",T194,S194)</f>
        <v>#DIV/0!</v>
      </c>
      <c r="V194" s="536" t="e">
        <f t="shared" si="39"/>
        <v>#DIV/0!</v>
      </c>
      <c r="W194" s="537" t="e">
        <f t="shared" si="40"/>
        <v>#DIV/0!</v>
      </c>
      <c r="X194" s="538" t="e">
        <f>IF(INPUTS!$B$15="yes",W194,V194)</f>
        <v>#DIV/0!</v>
      </c>
      <c r="Y194" s="536" t="e">
        <f t="shared" si="41"/>
        <v>#DIV/0!</v>
      </c>
      <c r="Z194" s="537" t="e">
        <f t="shared" si="42"/>
        <v>#DIV/0!</v>
      </c>
      <c r="AA194" s="538" t="e">
        <f>IF(INPUTS!$B$15="yes",Z194,Y194)</f>
        <v>#DIV/0!</v>
      </c>
      <c r="AB194" s="536" t="e">
        <f t="shared" si="43"/>
        <v>#DIV/0!</v>
      </c>
      <c r="AC194" s="537" t="e">
        <f t="shared" si="44"/>
        <v>#DIV/0!</v>
      </c>
      <c r="AD194" s="538" t="e">
        <f>IF(INPUTS!$B$15="yes",AC194,AB194)</f>
        <v>#DIV/0!</v>
      </c>
      <c r="AE194" s="36" t="str">
        <f t="shared" si="45"/>
        <v>no</v>
      </c>
      <c r="AF194" s="36"/>
      <c r="AG194" s="389" t="e">
        <f>P194*('upper bound Kenaga'!$F$36/100)</f>
        <v>#DIV/0!</v>
      </c>
      <c r="AH194" s="36"/>
      <c r="AI194" s="389" t="e">
        <f>P194*('upper bound Kenaga'!$F$96/100)</f>
        <v>#DIV/0!</v>
      </c>
      <c r="AJ194" s="36"/>
      <c r="AK194" s="36"/>
      <c r="AL194" s="36"/>
      <c r="AM194" s="36"/>
      <c r="AN194" s="36"/>
      <c r="AO194" s="36"/>
    </row>
    <row r="195" spans="10:41" s="1" customFormat="1">
      <c r="J195" s="6">
        <f>COUNTIF(K$21:K195,"=yes")</f>
        <v>1</v>
      </c>
      <c r="K195" s="533" t="str">
        <f>IF(LOOKUP(VALUE(M195),INPUTS!$G$6:$G$35)=M195,"yes","no")</f>
        <v>no</v>
      </c>
      <c r="L195" s="533">
        <f>IF(K195="yes",(LOOKUP(J195,INPUTS!$E$6:$E$35,INPUTS!$F$6:$F$35)),0)</f>
        <v>0</v>
      </c>
      <c r="M195" s="135">
        <f t="shared" si="46"/>
        <v>174</v>
      </c>
      <c r="N195" s="135">
        <f t="shared" si="47"/>
        <v>1</v>
      </c>
      <c r="O195" s="135">
        <f t="shared" si="48"/>
        <v>0</v>
      </c>
      <c r="P195" s="536" t="e">
        <f t="shared" si="49"/>
        <v>#DIV/0!</v>
      </c>
      <c r="Q195" s="537" t="e">
        <f t="shared" si="36"/>
        <v>#DIV/0!</v>
      </c>
      <c r="R195" s="538" t="e">
        <f>IF(INPUTS!$B$15="yes",Q195,P195)</f>
        <v>#DIV/0!</v>
      </c>
      <c r="S195" s="536" t="e">
        <f t="shared" si="37"/>
        <v>#DIV/0!</v>
      </c>
      <c r="T195" s="537" t="e">
        <f t="shared" si="38"/>
        <v>#DIV/0!</v>
      </c>
      <c r="U195" s="538" t="e">
        <f>IF(INPUTS!$B$15="yes",T195,S195)</f>
        <v>#DIV/0!</v>
      </c>
      <c r="V195" s="536" t="e">
        <f t="shared" si="39"/>
        <v>#DIV/0!</v>
      </c>
      <c r="W195" s="537" t="e">
        <f t="shared" si="40"/>
        <v>#DIV/0!</v>
      </c>
      <c r="X195" s="538" t="e">
        <f>IF(INPUTS!$B$15="yes",W195,V195)</f>
        <v>#DIV/0!</v>
      </c>
      <c r="Y195" s="536" t="e">
        <f t="shared" si="41"/>
        <v>#DIV/0!</v>
      </c>
      <c r="Z195" s="537" t="e">
        <f t="shared" si="42"/>
        <v>#DIV/0!</v>
      </c>
      <c r="AA195" s="538" t="e">
        <f>IF(INPUTS!$B$15="yes",Z195,Y195)</f>
        <v>#DIV/0!</v>
      </c>
      <c r="AB195" s="536" t="e">
        <f t="shared" si="43"/>
        <v>#DIV/0!</v>
      </c>
      <c r="AC195" s="537" t="e">
        <f t="shared" si="44"/>
        <v>#DIV/0!</v>
      </c>
      <c r="AD195" s="538" t="e">
        <f>IF(INPUTS!$B$15="yes",AC195,AB195)</f>
        <v>#DIV/0!</v>
      </c>
      <c r="AE195" s="36" t="str">
        <f t="shared" si="45"/>
        <v>no</v>
      </c>
      <c r="AF195" s="36"/>
      <c r="AG195" s="389" t="e">
        <f>P195*('upper bound Kenaga'!$F$36/100)</f>
        <v>#DIV/0!</v>
      </c>
      <c r="AH195" s="36"/>
      <c r="AI195" s="389" t="e">
        <f>P195*('upper bound Kenaga'!$F$96/100)</f>
        <v>#DIV/0!</v>
      </c>
      <c r="AJ195" s="36"/>
      <c r="AK195" s="36"/>
      <c r="AL195" s="36"/>
      <c r="AM195" s="36"/>
      <c r="AN195" s="36"/>
      <c r="AO195" s="36"/>
    </row>
    <row r="196" spans="10:41" s="1" customFormat="1">
      <c r="J196" s="6">
        <f>COUNTIF(K$21:K196,"=yes")</f>
        <v>1</v>
      </c>
      <c r="K196" s="533" t="str">
        <f>IF(LOOKUP(VALUE(M196),INPUTS!$G$6:$G$35)=M196,"yes","no")</f>
        <v>no</v>
      </c>
      <c r="L196" s="533">
        <f>IF(K196="yes",(LOOKUP(J196,INPUTS!$E$6:$E$35,INPUTS!$F$6:$F$35)),0)</f>
        <v>0</v>
      </c>
      <c r="M196" s="135">
        <f t="shared" si="46"/>
        <v>175</v>
      </c>
      <c r="N196" s="135">
        <f t="shared" si="47"/>
        <v>1</v>
      </c>
      <c r="O196" s="135">
        <f t="shared" si="48"/>
        <v>0</v>
      </c>
      <c r="P196" s="536" t="e">
        <f t="shared" si="49"/>
        <v>#DIV/0!</v>
      </c>
      <c r="Q196" s="537" t="e">
        <f t="shared" si="36"/>
        <v>#DIV/0!</v>
      </c>
      <c r="R196" s="538" t="e">
        <f>IF(INPUTS!$B$15="yes",Q196,P196)</f>
        <v>#DIV/0!</v>
      </c>
      <c r="S196" s="536" t="e">
        <f t="shared" si="37"/>
        <v>#DIV/0!</v>
      </c>
      <c r="T196" s="537" t="e">
        <f t="shared" si="38"/>
        <v>#DIV/0!</v>
      </c>
      <c r="U196" s="538" t="e">
        <f>IF(INPUTS!$B$15="yes",T196,S196)</f>
        <v>#DIV/0!</v>
      </c>
      <c r="V196" s="536" t="e">
        <f t="shared" si="39"/>
        <v>#DIV/0!</v>
      </c>
      <c r="W196" s="537" t="e">
        <f t="shared" si="40"/>
        <v>#DIV/0!</v>
      </c>
      <c r="X196" s="538" t="e">
        <f>IF(INPUTS!$B$15="yes",W196,V196)</f>
        <v>#DIV/0!</v>
      </c>
      <c r="Y196" s="536" t="e">
        <f t="shared" si="41"/>
        <v>#DIV/0!</v>
      </c>
      <c r="Z196" s="537" t="e">
        <f t="shared" si="42"/>
        <v>#DIV/0!</v>
      </c>
      <c r="AA196" s="538" t="e">
        <f>IF(INPUTS!$B$15="yes",Z196,Y196)</f>
        <v>#DIV/0!</v>
      </c>
      <c r="AB196" s="536" t="e">
        <f t="shared" si="43"/>
        <v>#DIV/0!</v>
      </c>
      <c r="AC196" s="537" t="e">
        <f t="shared" si="44"/>
        <v>#DIV/0!</v>
      </c>
      <c r="AD196" s="538" t="e">
        <f>IF(INPUTS!$B$15="yes",AC196,AB196)</f>
        <v>#DIV/0!</v>
      </c>
      <c r="AE196" s="36" t="str">
        <f t="shared" si="45"/>
        <v>no</v>
      </c>
      <c r="AF196" s="36"/>
      <c r="AG196" s="389" t="e">
        <f>P196*('upper bound Kenaga'!$F$36/100)</f>
        <v>#DIV/0!</v>
      </c>
      <c r="AH196" s="36"/>
      <c r="AI196" s="389" t="e">
        <f>P196*('upper bound Kenaga'!$F$96/100)</f>
        <v>#DIV/0!</v>
      </c>
      <c r="AJ196" s="36"/>
      <c r="AK196" s="36"/>
      <c r="AL196" s="36"/>
      <c r="AM196" s="36"/>
      <c r="AN196" s="36"/>
      <c r="AO196" s="36"/>
    </row>
    <row r="197" spans="10:41" s="1" customFormat="1">
      <c r="J197" s="6">
        <f>COUNTIF(K$21:K197,"=yes")</f>
        <v>1</v>
      </c>
      <c r="K197" s="533" t="str">
        <f>IF(LOOKUP(VALUE(M197),INPUTS!$G$6:$G$35)=M197,"yes","no")</f>
        <v>no</v>
      </c>
      <c r="L197" s="533">
        <f>IF(K197="yes",(LOOKUP(J197,INPUTS!$E$6:$E$35,INPUTS!$F$6:$F$35)),0)</f>
        <v>0</v>
      </c>
      <c r="M197" s="135">
        <f t="shared" si="46"/>
        <v>176</v>
      </c>
      <c r="N197" s="135">
        <f t="shared" si="47"/>
        <v>1</v>
      </c>
      <c r="O197" s="135">
        <f t="shared" si="48"/>
        <v>0</v>
      </c>
      <c r="P197" s="536" t="e">
        <f t="shared" si="49"/>
        <v>#DIV/0!</v>
      </c>
      <c r="Q197" s="537" t="e">
        <f t="shared" si="36"/>
        <v>#DIV/0!</v>
      </c>
      <c r="R197" s="538" t="e">
        <f>IF(INPUTS!$B$15="yes",Q197,P197)</f>
        <v>#DIV/0!</v>
      </c>
      <c r="S197" s="536" t="e">
        <f t="shared" si="37"/>
        <v>#DIV/0!</v>
      </c>
      <c r="T197" s="537" t="e">
        <f t="shared" si="38"/>
        <v>#DIV/0!</v>
      </c>
      <c r="U197" s="538" t="e">
        <f>IF(INPUTS!$B$15="yes",T197,S197)</f>
        <v>#DIV/0!</v>
      </c>
      <c r="V197" s="536" t="e">
        <f t="shared" si="39"/>
        <v>#DIV/0!</v>
      </c>
      <c r="W197" s="537" t="e">
        <f t="shared" si="40"/>
        <v>#DIV/0!</v>
      </c>
      <c r="X197" s="538" t="e">
        <f>IF(INPUTS!$B$15="yes",W197,V197)</f>
        <v>#DIV/0!</v>
      </c>
      <c r="Y197" s="536" t="e">
        <f t="shared" si="41"/>
        <v>#DIV/0!</v>
      </c>
      <c r="Z197" s="537" t="e">
        <f t="shared" si="42"/>
        <v>#DIV/0!</v>
      </c>
      <c r="AA197" s="538" t="e">
        <f>IF(INPUTS!$B$15="yes",Z197,Y197)</f>
        <v>#DIV/0!</v>
      </c>
      <c r="AB197" s="536" t="e">
        <f t="shared" si="43"/>
        <v>#DIV/0!</v>
      </c>
      <c r="AC197" s="537" t="e">
        <f t="shared" si="44"/>
        <v>#DIV/0!</v>
      </c>
      <c r="AD197" s="538" t="e">
        <f>IF(INPUTS!$B$15="yes",AC197,AB197)</f>
        <v>#DIV/0!</v>
      </c>
      <c r="AE197" s="36" t="str">
        <f t="shared" si="45"/>
        <v>no</v>
      </c>
      <c r="AF197" s="36"/>
      <c r="AG197" s="389" t="e">
        <f>P197*('upper bound Kenaga'!$F$36/100)</f>
        <v>#DIV/0!</v>
      </c>
      <c r="AH197" s="36"/>
      <c r="AI197" s="389" t="e">
        <f>P197*('upper bound Kenaga'!$F$96/100)</f>
        <v>#DIV/0!</v>
      </c>
      <c r="AJ197" s="36"/>
      <c r="AK197" s="36"/>
      <c r="AL197" s="36"/>
      <c r="AM197" s="36"/>
      <c r="AN197" s="36"/>
      <c r="AO197" s="36"/>
    </row>
    <row r="198" spans="10:41" s="1" customFormat="1">
      <c r="J198" s="6">
        <f>COUNTIF(K$21:K198,"=yes")</f>
        <v>1</v>
      </c>
      <c r="K198" s="533" t="str">
        <f>IF(LOOKUP(VALUE(M198),INPUTS!$G$6:$G$35)=M198,"yes","no")</f>
        <v>no</v>
      </c>
      <c r="L198" s="533">
        <f>IF(K198="yes",(LOOKUP(J198,INPUTS!$E$6:$E$35,INPUTS!$F$6:$F$35)),0)</f>
        <v>0</v>
      </c>
      <c r="M198" s="135">
        <f t="shared" si="46"/>
        <v>177</v>
      </c>
      <c r="N198" s="135">
        <f t="shared" si="47"/>
        <v>1</v>
      </c>
      <c r="O198" s="135">
        <f t="shared" si="48"/>
        <v>0</v>
      </c>
      <c r="P198" s="536" t="e">
        <f t="shared" si="49"/>
        <v>#DIV/0!</v>
      </c>
      <c r="Q198" s="537" t="e">
        <f t="shared" si="36"/>
        <v>#DIV/0!</v>
      </c>
      <c r="R198" s="538" t="e">
        <f>IF(INPUTS!$B$15="yes",Q198,P198)</f>
        <v>#DIV/0!</v>
      </c>
      <c r="S198" s="536" t="e">
        <f t="shared" si="37"/>
        <v>#DIV/0!</v>
      </c>
      <c r="T198" s="537" t="e">
        <f t="shared" si="38"/>
        <v>#DIV/0!</v>
      </c>
      <c r="U198" s="538" t="e">
        <f>IF(INPUTS!$B$15="yes",T198,S198)</f>
        <v>#DIV/0!</v>
      </c>
      <c r="V198" s="536" t="e">
        <f t="shared" si="39"/>
        <v>#DIV/0!</v>
      </c>
      <c r="W198" s="537" t="e">
        <f t="shared" si="40"/>
        <v>#DIV/0!</v>
      </c>
      <c r="X198" s="538" t="e">
        <f>IF(INPUTS!$B$15="yes",W198,V198)</f>
        <v>#DIV/0!</v>
      </c>
      <c r="Y198" s="536" t="e">
        <f t="shared" si="41"/>
        <v>#DIV/0!</v>
      </c>
      <c r="Z198" s="537" t="e">
        <f t="shared" si="42"/>
        <v>#DIV/0!</v>
      </c>
      <c r="AA198" s="538" t="e">
        <f>IF(INPUTS!$B$15="yes",Z198,Y198)</f>
        <v>#DIV/0!</v>
      </c>
      <c r="AB198" s="536" t="e">
        <f t="shared" si="43"/>
        <v>#DIV/0!</v>
      </c>
      <c r="AC198" s="537" t="e">
        <f t="shared" si="44"/>
        <v>#DIV/0!</v>
      </c>
      <c r="AD198" s="538" t="e">
        <f>IF(INPUTS!$B$15="yes",AC198,AB198)</f>
        <v>#DIV/0!</v>
      </c>
      <c r="AE198" s="36" t="str">
        <f t="shared" si="45"/>
        <v>no</v>
      </c>
      <c r="AF198" s="36"/>
      <c r="AG198" s="389" t="e">
        <f>P198*('upper bound Kenaga'!$F$36/100)</f>
        <v>#DIV/0!</v>
      </c>
      <c r="AH198" s="36"/>
      <c r="AI198" s="389" t="e">
        <f>P198*('upper bound Kenaga'!$F$96/100)</f>
        <v>#DIV/0!</v>
      </c>
      <c r="AJ198" s="36"/>
      <c r="AK198" s="36"/>
      <c r="AL198" s="36"/>
      <c r="AM198" s="36"/>
      <c r="AN198" s="36"/>
      <c r="AO198" s="36"/>
    </row>
    <row r="199" spans="10:41" s="1" customFormat="1">
      <c r="J199" s="6">
        <f>COUNTIF(K$21:K199,"=yes")</f>
        <v>1</v>
      </c>
      <c r="K199" s="533" t="str">
        <f>IF(LOOKUP(VALUE(M199),INPUTS!$G$6:$G$35)=M199,"yes","no")</f>
        <v>no</v>
      </c>
      <c r="L199" s="533">
        <f>IF(K199="yes",(LOOKUP(J199,INPUTS!$E$6:$E$35,INPUTS!$F$6:$F$35)),0)</f>
        <v>0</v>
      </c>
      <c r="M199" s="135">
        <f t="shared" si="46"/>
        <v>178</v>
      </c>
      <c r="N199" s="135">
        <f t="shared" si="47"/>
        <v>1</v>
      </c>
      <c r="O199" s="135">
        <f t="shared" si="48"/>
        <v>0</v>
      </c>
      <c r="P199" s="536" t="e">
        <f t="shared" si="49"/>
        <v>#DIV/0!</v>
      </c>
      <c r="Q199" s="537" t="e">
        <f t="shared" si="36"/>
        <v>#DIV/0!</v>
      </c>
      <c r="R199" s="538" t="e">
        <f>IF(INPUTS!$B$15="yes",Q199,P199)</f>
        <v>#DIV/0!</v>
      </c>
      <c r="S199" s="536" t="e">
        <f t="shared" si="37"/>
        <v>#DIV/0!</v>
      </c>
      <c r="T199" s="537" t="e">
        <f t="shared" si="38"/>
        <v>#DIV/0!</v>
      </c>
      <c r="U199" s="538" t="e">
        <f>IF(INPUTS!$B$15="yes",T199,S199)</f>
        <v>#DIV/0!</v>
      </c>
      <c r="V199" s="536" t="e">
        <f t="shared" si="39"/>
        <v>#DIV/0!</v>
      </c>
      <c r="W199" s="537" t="e">
        <f t="shared" si="40"/>
        <v>#DIV/0!</v>
      </c>
      <c r="X199" s="538" t="e">
        <f>IF(INPUTS!$B$15="yes",W199,V199)</f>
        <v>#DIV/0!</v>
      </c>
      <c r="Y199" s="536" t="e">
        <f t="shared" si="41"/>
        <v>#DIV/0!</v>
      </c>
      <c r="Z199" s="537" t="e">
        <f t="shared" si="42"/>
        <v>#DIV/0!</v>
      </c>
      <c r="AA199" s="538" t="e">
        <f>IF(INPUTS!$B$15="yes",Z199,Y199)</f>
        <v>#DIV/0!</v>
      </c>
      <c r="AB199" s="536" t="e">
        <f t="shared" si="43"/>
        <v>#DIV/0!</v>
      </c>
      <c r="AC199" s="537" t="e">
        <f t="shared" si="44"/>
        <v>#DIV/0!</v>
      </c>
      <c r="AD199" s="538" t="e">
        <f>IF(INPUTS!$B$15="yes",AC199,AB199)</f>
        <v>#DIV/0!</v>
      </c>
      <c r="AE199" s="36" t="str">
        <f t="shared" si="45"/>
        <v>no</v>
      </c>
      <c r="AF199" s="36"/>
      <c r="AG199" s="389" t="e">
        <f>P199*('upper bound Kenaga'!$F$36/100)</f>
        <v>#DIV/0!</v>
      </c>
      <c r="AH199" s="36"/>
      <c r="AI199" s="389" t="e">
        <f>P199*('upper bound Kenaga'!$F$96/100)</f>
        <v>#DIV/0!</v>
      </c>
      <c r="AJ199" s="36"/>
      <c r="AK199" s="36"/>
      <c r="AL199" s="36"/>
      <c r="AM199" s="36"/>
      <c r="AN199" s="36"/>
      <c r="AO199" s="36"/>
    </row>
    <row r="200" spans="10:41" s="1" customFormat="1">
      <c r="J200" s="6">
        <f>COUNTIF(K$21:K200,"=yes")</f>
        <v>1</v>
      </c>
      <c r="K200" s="533" t="str">
        <f>IF(LOOKUP(VALUE(M200),INPUTS!$G$6:$G$35)=M200,"yes","no")</f>
        <v>no</v>
      </c>
      <c r="L200" s="533">
        <f>IF(K200="yes",(LOOKUP(J200,INPUTS!$E$6:$E$35,INPUTS!$F$6:$F$35)),0)</f>
        <v>0</v>
      </c>
      <c r="M200" s="135">
        <f t="shared" si="46"/>
        <v>179</v>
      </c>
      <c r="N200" s="135">
        <f t="shared" si="47"/>
        <v>1</v>
      </c>
      <c r="O200" s="135">
        <f t="shared" si="48"/>
        <v>0</v>
      </c>
      <c r="P200" s="536" t="e">
        <f t="shared" si="49"/>
        <v>#DIV/0!</v>
      </c>
      <c r="Q200" s="537" t="e">
        <f t="shared" si="36"/>
        <v>#DIV/0!</v>
      </c>
      <c r="R200" s="538" t="e">
        <f>IF(INPUTS!$B$15="yes",Q200,P200)</f>
        <v>#DIV/0!</v>
      </c>
      <c r="S200" s="536" t="e">
        <f t="shared" si="37"/>
        <v>#DIV/0!</v>
      </c>
      <c r="T200" s="537" t="e">
        <f t="shared" si="38"/>
        <v>#DIV/0!</v>
      </c>
      <c r="U200" s="538" t="e">
        <f>IF(INPUTS!$B$15="yes",T200,S200)</f>
        <v>#DIV/0!</v>
      </c>
      <c r="V200" s="536" t="e">
        <f t="shared" si="39"/>
        <v>#DIV/0!</v>
      </c>
      <c r="W200" s="537" t="e">
        <f t="shared" si="40"/>
        <v>#DIV/0!</v>
      </c>
      <c r="X200" s="538" t="e">
        <f>IF(INPUTS!$B$15="yes",W200,V200)</f>
        <v>#DIV/0!</v>
      </c>
      <c r="Y200" s="536" t="e">
        <f t="shared" si="41"/>
        <v>#DIV/0!</v>
      </c>
      <c r="Z200" s="537" t="e">
        <f t="shared" si="42"/>
        <v>#DIV/0!</v>
      </c>
      <c r="AA200" s="538" t="e">
        <f>IF(INPUTS!$B$15="yes",Z200,Y200)</f>
        <v>#DIV/0!</v>
      </c>
      <c r="AB200" s="536" t="e">
        <f t="shared" si="43"/>
        <v>#DIV/0!</v>
      </c>
      <c r="AC200" s="537" t="e">
        <f t="shared" si="44"/>
        <v>#DIV/0!</v>
      </c>
      <c r="AD200" s="538" t="e">
        <f>IF(INPUTS!$B$15="yes",AC200,AB200)</f>
        <v>#DIV/0!</v>
      </c>
      <c r="AE200" s="36" t="str">
        <f t="shared" si="45"/>
        <v>no</v>
      </c>
      <c r="AF200" s="36"/>
      <c r="AG200" s="389" t="e">
        <f>P200*('upper bound Kenaga'!$F$36/100)</f>
        <v>#DIV/0!</v>
      </c>
      <c r="AH200" s="36"/>
      <c r="AI200" s="389" t="e">
        <f>P200*('upper bound Kenaga'!$F$96/100)</f>
        <v>#DIV/0!</v>
      </c>
      <c r="AJ200" s="36"/>
      <c r="AK200" s="36"/>
      <c r="AL200" s="36"/>
      <c r="AM200" s="36"/>
      <c r="AN200" s="36"/>
      <c r="AO200" s="36"/>
    </row>
    <row r="201" spans="10:41" s="1" customFormat="1">
      <c r="J201" s="6">
        <f>COUNTIF(K$21:K201,"=yes")</f>
        <v>1</v>
      </c>
      <c r="K201" s="533" t="str">
        <f>IF(LOOKUP(VALUE(M201),INPUTS!$G$6:$G$35)=M201,"yes","no")</f>
        <v>no</v>
      </c>
      <c r="L201" s="533">
        <f>IF(K201="yes",(LOOKUP(J201,INPUTS!$E$6:$E$35,INPUTS!$F$6:$F$35)),0)</f>
        <v>0</v>
      </c>
      <c r="M201" s="135">
        <f t="shared" si="46"/>
        <v>180</v>
      </c>
      <c r="N201" s="135">
        <f t="shared" si="47"/>
        <v>1</v>
      </c>
      <c r="O201" s="135">
        <f t="shared" si="48"/>
        <v>0</v>
      </c>
      <c r="P201" s="536" t="e">
        <f t="shared" si="49"/>
        <v>#DIV/0!</v>
      </c>
      <c r="Q201" s="537" t="e">
        <f t="shared" si="36"/>
        <v>#DIV/0!</v>
      </c>
      <c r="R201" s="538" t="e">
        <f>IF(INPUTS!$B$15="yes",Q201,P201)</f>
        <v>#DIV/0!</v>
      </c>
      <c r="S201" s="536" t="e">
        <f t="shared" si="37"/>
        <v>#DIV/0!</v>
      </c>
      <c r="T201" s="537" t="e">
        <f t="shared" si="38"/>
        <v>#DIV/0!</v>
      </c>
      <c r="U201" s="538" t="e">
        <f>IF(INPUTS!$B$15="yes",T201,S201)</f>
        <v>#DIV/0!</v>
      </c>
      <c r="V201" s="536" t="e">
        <f t="shared" si="39"/>
        <v>#DIV/0!</v>
      </c>
      <c r="W201" s="537" t="e">
        <f t="shared" si="40"/>
        <v>#DIV/0!</v>
      </c>
      <c r="X201" s="538" t="e">
        <f>IF(INPUTS!$B$15="yes",W201,V201)</f>
        <v>#DIV/0!</v>
      </c>
      <c r="Y201" s="536" t="e">
        <f t="shared" si="41"/>
        <v>#DIV/0!</v>
      </c>
      <c r="Z201" s="537" t="e">
        <f t="shared" si="42"/>
        <v>#DIV/0!</v>
      </c>
      <c r="AA201" s="538" t="e">
        <f>IF(INPUTS!$B$15="yes",Z201,Y201)</f>
        <v>#DIV/0!</v>
      </c>
      <c r="AB201" s="536" t="e">
        <f t="shared" si="43"/>
        <v>#DIV/0!</v>
      </c>
      <c r="AC201" s="537" t="e">
        <f t="shared" si="44"/>
        <v>#DIV/0!</v>
      </c>
      <c r="AD201" s="538" t="e">
        <f>IF(INPUTS!$B$15="yes",AC201,AB201)</f>
        <v>#DIV/0!</v>
      </c>
      <c r="AE201" s="36" t="str">
        <f t="shared" si="45"/>
        <v>no</v>
      </c>
      <c r="AF201" s="36"/>
      <c r="AG201" s="389" t="e">
        <f>P201*('upper bound Kenaga'!$F$36/100)</f>
        <v>#DIV/0!</v>
      </c>
      <c r="AH201" s="36"/>
      <c r="AI201" s="389" t="e">
        <f>P201*('upper bound Kenaga'!$F$96/100)</f>
        <v>#DIV/0!</v>
      </c>
      <c r="AJ201" s="36"/>
      <c r="AK201" s="36"/>
      <c r="AL201" s="36"/>
      <c r="AM201" s="36"/>
      <c r="AN201" s="36"/>
      <c r="AO201" s="36"/>
    </row>
    <row r="202" spans="10:41" s="1" customFormat="1">
      <c r="J202" s="6">
        <f>COUNTIF(K$21:K202,"=yes")</f>
        <v>1</v>
      </c>
      <c r="K202" s="533" t="str">
        <f>IF(LOOKUP(VALUE(M202),INPUTS!$G$6:$G$35)=M202,"yes","no")</f>
        <v>no</v>
      </c>
      <c r="L202" s="533">
        <f>IF(K202="yes",(LOOKUP(J202,INPUTS!$E$6:$E$35,INPUTS!$F$6:$F$35)),0)</f>
        <v>0</v>
      </c>
      <c r="M202" s="135">
        <f t="shared" si="46"/>
        <v>181</v>
      </c>
      <c r="N202" s="135">
        <f t="shared" si="47"/>
        <v>1</v>
      </c>
      <c r="O202" s="135">
        <f t="shared" si="48"/>
        <v>0</v>
      </c>
      <c r="P202" s="536" t="e">
        <f t="shared" si="49"/>
        <v>#DIV/0!</v>
      </c>
      <c r="Q202" s="537" t="e">
        <f t="shared" si="36"/>
        <v>#DIV/0!</v>
      </c>
      <c r="R202" s="538" t="e">
        <f>IF(INPUTS!$B$15="yes",Q202,P202)</f>
        <v>#DIV/0!</v>
      </c>
      <c r="S202" s="536" t="e">
        <f t="shared" si="37"/>
        <v>#DIV/0!</v>
      </c>
      <c r="T202" s="537" t="e">
        <f t="shared" si="38"/>
        <v>#DIV/0!</v>
      </c>
      <c r="U202" s="538" t="e">
        <f>IF(INPUTS!$B$15="yes",T202,S202)</f>
        <v>#DIV/0!</v>
      </c>
      <c r="V202" s="536" t="e">
        <f t="shared" si="39"/>
        <v>#DIV/0!</v>
      </c>
      <c r="W202" s="537" t="e">
        <f t="shared" si="40"/>
        <v>#DIV/0!</v>
      </c>
      <c r="X202" s="538" t="e">
        <f>IF(INPUTS!$B$15="yes",W202,V202)</f>
        <v>#DIV/0!</v>
      </c>
      <c r="Y202" s="536" t="e">
        <f t="shared" si="41"/>
        <v>#DIV/0!</v>
      </c>
      <c r="Z202" s="537" t="e">
        <f t="shared" si="42"/>
        <v>#DIV/0!</v>
      </c>
      <c r="AA202" s="538" t="e">
        <f>IF(INPUTS!$B$15="yes",Z202,Y202)</f>
        <v>#DIV/0!</v>
      </c>
      <c r="AB202" s="536" t="e">
        <f t="shared" si="43"/>
        <v>#DIV/0!</v>
      </c>
      <c r="AC202" s="537" t="e">
        <f t="shared" si="44"/>
        <v>#DIV/0!</v>
      </c>
      <c r="AD202" s="538" t="e">
        <f>IF(INPUTS!$B$15="yes",AC202,AB202)</f>
        <v>#DIV/0!</v>
      </c>
      <c r="AE202" s="36" t="str">
        <f t="shared" si="45"/>
        <v>no</v>
      </c>
      <c r="AF202" s="36"/>
      <c r="AG202" s="389" t="e">
        <f>P202*('upper bound Kenaga'!$F$36/100)</f>
        <v>#DIV/0!</v>
      </c>
      <c r="AH202" s="36"/>
      <c r="AI202" s="389" t="e">
        <f>P202*('upper bound Kenaga'!$F$96/100)</f>
        <v>#DIV/0!</v>
      </c>
      <c r="AJ202" s="36"/>
      <c r="AK202" s="36"/>
      <c r="AL202" s="36"/>
      <c r="AM202" s="36"/>
      <c r="AN202" s="36"/>
      <c r="AO202" s="36"/>
    </row>
    <row r="203" spans="10:41" s="1" customFormat="1">
      <c r="J203" s="6">
        <f>COUNTIF(K$21:K203,"=yes")</f>
        <v>1</v>
      </c>
      <c r="K203" s="533" t="str">
        <f>IF(LOOKUP(VALUE(M203),INPUTS!$G$6:$G$35)=M203,"yes","no")</f>
        <v>no</v>
      </c>
      <c r="L203" s="533">
        <f>IF(K203="yes",(LOOKUP(J203,INPUTS!$E$6:$E$35,INPUTS!$F$6:$F$35)),0)</f>
        <v>0</v>
      </c>
      <c r="M203" s="135">
        <f t="shared" si="46"/>
        <v>182</v>
      </c>
      <c r="N203" s="135">
        <f t="shared" si="47"/>
        <v>1</v>
      </c>
      <c r="O203" s="135">
        <f t="shared" si="48"/>
        <v>0</v>
      </c>
      <c r="P203" s="536" t="e">
        <f t="shared" si="49"/>
        <v>#DIV/0!</v>
      </c>
      <c r="Q203" s="537" t="e">
        <f t="shared" si="36"/>
        <v>#DIV/0!</v>
      </c>
      <c r="R203" s="538" t="e">
        <f>IF(INPUTS!$B$15="yes",Q203,P203)</f>
        <v>#DIV/0!</v>
      </c>
      <c r="S203" s="536" t="e">
        <f t="shared" si="37"/>
        <v>#DIV/0!</v>
      </c>
      <c r="T203" s="537" t="e">
        <f t="shared" si="38"/>
        <v>#DIV/0!</v>
      </c>
      <c r="U203" s="538" t="e">
        <f>IF(INPUTS!$B$15="yes",T203,S203)</f>
        <v>#DIV/0!</v>
      </c>
      <c r="V203" s="536" t="e">
        <f t="shared" si="39"/>
        <v>#DIV/0!</v>
      </c>
      <c r="W203" s="537" t="e">
        <f t="shared" si="40"/>
        <v>#DIV/0!</v>
      </c>
      <c r="X203" s="538" t="e">
        <f>IF(INPUTS!$B$15="yes",W203,V203)</f>
        <v>#DIV/0!</v>
      </c>
      <c r="Y203" s="536" t="e">
        <f t="shared" si="41"/>
        <v>#DIV/0!</v>
      </c>
      <c r="Z203" s="537" t="e">
        <f t="shared" si="42"/>
        <v>#DIV/0!</v>
      </c>
      <c r="AA203" s="538" t="e">
        <f>IF(INPUTS!$B$15="yes",Z203,Y203)</f>
        <v>#DIV/0!</v>
      </c>
      <c r="AB203" s="536" t="e">
        <f t="shared" si="43"/>
        <v>#DIV/0!</v>
      </c>
      <c r="AC203" s="537" t="e">
        <f t="shared" si="44"/>
        <v>#DIV/0!</v>
      </c>
      <c r="AD203" s="538" t="e">
        <f>IF(INPUTS!$B$15="yes",AC203,AB203)</f>
        <v>#DIV/0!</v>
      </c>
      <c r="AE203" s="36" t="str">
        <f t="shared" si="45"/>
        <v>no</v>
      </c>
      <c r="AF203" s="36"/>
      <c r="AG203" s="389" t="e">
        <f>P203*('upper bound Kenaga'!$F$36/100)</f>
        <v>#DIV/0!</v>
      </c>
      <c r="AH203" s="36"/>
      <c r="AI203" s="389" t="e">
        <f>P203*('upper bound Kenaga'!$F$96/100)</f>
        <v>#DIV/0!</v>
      </c>
      <c r="AJ203" s="36"/>
      <c r="AK203" s="36"/>
      <c r="AL203" s="36"/>
      <c r="AM203" s="36"/>
      <c r="AN203" s="36"/>
      <c r="AO203" s="36"/>
    </row>
    <row r="204" spans="10:41" s="1" customFormat="1">
      <c r="J204" s="6">
        <f>COUNTIF(K$21:K204,"=yes")</f>
        <v>1</v>
      </c>
      <c r="K204" s="533" t="str">
        <f>IF(LOOKUP(VALUE(M204),INPUTS!$G$6:$G$35)=M204,"yes","no")</f>
        <v>no</v>
      </c>
      <c r="L204" s="533">
        <f>IF(K204="yes",(LOOKUP(J204,INPUTS!$E$6:$E$35,INPUTS!$F$6:$F$35)),0)</f>
        <v>0</v>
      </c>
      <c r="M204" s="135">
        <f t="shared" si="46"/>
        <v>183</v>
      </c>
      <c r="N204" s="135">
        <f t="shared" si="47"/>
        <v>1</v>
      </c>
      <c r="O204" s="135">
        <f t="shared" si="48"/>
        <v>0</v>
      </c>
      <c r="P204" s="536" t="e">
        <f t="shared" si="49"/>
        <v>#DIV/0!</v>
      </c>
      <c r="Q204" s="537" t="e">
        <f t="shared" si="36"/>
        <v>#DIV/0!</v>
      </c>
      <c r="R204" s="538" t="e">
        <f>IF(INPUTS!$B$15="yes",Q204,P204)</f>
        <v>#DIV/0!</v>
      </c>
      <c r="S204" s="536" t="e">
        <f t="shared" si="37"/>
        <v>#DIV/0!</v>
      </c>
      <c r="T204" s="537" t="e">
        <f t="shared" si="38"/>
        <v>#DIV/0!</v>
      </c>
      <c r="U204" s="538" t="e">
        <f>IF(INPUTS!$B$15="yes",T204,S204)</f>
        <v>#DIV/0!</v>
      </c>
      <c r="V204" s="536" t="e">
        <f t="shared" si="39"/>
        <v>#DIV/0!</v>
      </c>
      <c r="W204" s="537" t="e">
        <f t="shared" si="40"/>
        <v>#DIV/0!</v>
      </c>
      <c r="X204" s="538" t="e">
        <f>IF(INPUTS!$B$15="yes",W204,V204)</f>
        <v>#DIV/0!</v>
      </c>
      <c r="Y204" s="536" t="e">
        <f t="shared" si="41"/>
        <v>#DIV/0!</v>
      </c>
      <c r="Z204" s="537" t="e">
        <f t="shared" si="42"/>
        <v>#DIV/0!</v>
      </c>
      <c r="AA204" s="538" t="e">
        <f>IF(INPUTS!$B$15="yes",Z204,Y204)</f>
        <v>#DIV/0!</v>
      </c>
      <c r="AB204" s="536" t="e">
        <f t="shared" si="43"/>
        <v>#DIV/0!</v>
      </c>
      <c r="AC204" s="537" t="e">
        <f t="shared" si="44"/>
        <v>#DIV/0!</v>
      </c>
      <c r="AD204" s="538" t="e">
        <f>IF(INPUTS!$B$15="yes",AC204,AB204)</f>
        <v>#DIV/0!</v>
      </c>
      <c r="AE204" s="36" t="str">
        <f t="shared" si="45"/>
        <v>no</v>
      </c>
      <c r="AF204" s="36"/>
      <c r="AG204" s="389" t="e">
        <f>P204*('upper bound Kenaga'!$F$36/100)</f>
        <v>#DIV/0!</v>
      </c>
      <c r="AH204" s="36"/>
      <c r="AI204" s="389" t="e">
        <f>P204*('upper bound Kenaga'!$F$96/100)</f>
        <v>#DIV/0!</v>
      </c>
      <c r="AJ204" s="36"/>
      <c r="AK204" s="36"/>
      <c r="AL204" s="36"/>
      <c r="AM204" s="36"/>
      <c r="AN204" s="36"/>
      <c r="AO204" s="36"/>
    </row>
    <row r="205" spans="10:41" s="1" customFormat="1">
      <c r="J205" s="6">
        <f>COUNTIF(K$21:K205,"=yes")</f>
        <v>1</v>
      </c>
      <c r="K205" s="533" t="str">
        <f>IF(LOOKUP(VALUE(M205),INPUTS!$G$6:$G$35)=M205,"yes","no")</f>
        <v>no</v>
      </c>
      <c r="L205" s="533">
        <f>IF(K205="yes",(LOOKUP(J205,INPUTS!$E$6:$E$35,INPUTS!$F$6:$F$35)),0)</f>
        <v>0</v>
      </c>
      <c r="M205" s="135">
        <f t="shared" si="46"/>
        <v>184</v>
      </c>
      <c r="N205" s="135">
        <f t="shared" si="47"/>
        <v>1</v>
      </c>
      <c r="O205" s="135">
        <f t="shared" si="48"/>
        <v>0</v>
      </c>
      <c r="P205" s="536" t="e">
        <f t="shared" si="49"/>
        <v>#DIV/0!</v>
      </c>
      <c r="Q205" s="537" t="e">
        <f t="shared" si="36"/>
        <v>#DIV/0!</v>
      </c>
      <c r="R205" s="538" t="e">
        <f>IF(INPUTS!$B$15="yes",Q205,P205)</f>
        <v>#DIV/0!</v>
      </c>
      <c r="S205" s="536" t="e">
        <f t="shared" si="37"/>
        <v>#DIV/0!</v>
      </c>
      <c r="T205" s="537" t="e">
        <f t="shared" si="38"/>
        <v>#DIV/0!</v>
      </c>
      <c r="U205" s="538" t="e">
        <f>IF(INPUTS!$B$15="yes",T205,S205)</f>
        <v>#DIV/0!</v>
      </c>
      <c r="V205" s="536" t="e">
        <f t="shared" si="39"/>
        <v>#DIV/0!</v>
      </c>
      <c r="W205" s="537" t="e">
        <f t="shared" si="40"/>
        <v>#DIV/0!</v>
      </c>
      <c r="X205" s="538" t="e">
        <f>IF(INPUTS!$B$15="yes",W205,V205)</f>
        <v>#DIV/0!</v>
      </c>
      <c r="Y205" s="536" t="e">
        <f t="shared" si="41"/>
        <v>#DIV/0!</v>
      </c>
      <c r="Z205" s="537" t="e">
        <f t="shared" si="42"/>
        <v>#DIV/0!</v>
      </c>
      <c r="AA205" s="538" t="e">
        <f>IF(INPUTS!$B$15="yes",Z205,Y205)</f>
        <v>#DIV/0!</v>
      </c>
      <c r="AB205" s="536" t="e">
        <f t="shared" si="43"/>
        <v>#DIV/0!</v>
      </c>
      <c r="AC205" s="537" t="e">
        <f t="shared" si="44"/>
        <v>#DIV/0!</v>
      </c>
      <c r="AD205" s="538" t="e">
        <f>IF(INPUTS!$B$15="yes",AC205,AB205)</f>
        <v>#DIV/0!</v>
      </c>
      <c r="AE205" s="36" t="str">
        <f t="shared" si="45"/>
        <v>no</v>
      </c>
      <c r="AF205" s="36"/>
      <c r="AG205" s="389" t="e">
        <f>P205*('upper bound Kenaga'!$F$36/100)</f>
        <v>#DIV/0!</v>
      </c>
      <c r="AH205" s="36"/>
      <c r="AI205" s="389" t="e">
        <f>P205*('upper bound Kenaga'!$F$96/100)</f>
        <v>#DIV/0!</v>
      </c>
      <c r="AJ205" s="36"/>
      <c r="AK205" s="36"/>
      <c r="AL205" s="36"/>
      <c r="AM205" s="36"/>
      <c r="AN205" s="36"/>
      <c r="AO205" s="36"/>
    </row>
    <row r="206" spans="10:41" s="1" customFormat="1">
      <c r="J206" s="6">
        <f>COUNTIF(K$21:K206,"=yes")</f>
        <v>1</v>
      </c>
      <c r="K206" s="533" t="str">
        <f>IF(LOOKUP(VALUE(M206),INPUTS!$G$6:$G$35)=M206,"yes","no")</f>
        <v>no</v>
      </c>
      <c r="L206" s="533">
        <f>IF(K206="yes",(LOOKUP(J206,INPUTS!$E$6:$E$35,INPUTS!$F$6:$F$35)),0)</f>
        <v>0</v>
      </c>
      <c r="M206" s="135">
        <f t="shared" si="46"/>
        <v>185</v>
      </c>
      <c r="N206" s="135">
        <f t="shared" si="47"/>
        <v>1</v>
      </c>
      <c r="O206" s="135">
        <f t="shared" si="48"/>
        <v>0</v>
      </c>
      <c r="P206" s="536" t="e">
        <f t="shared" si="49"/>
        <v>#DIV/0!</v>
      </c>
      <c r="Q206" s="537" t="e">
        <f t="shared" si="36"/>
        <v>#DIV/0!</v>
      </c>
      <c r="R206" s="538" t="e">
        <f>IF(INPUTS!$B$15="yes",Q206,P206)</f>
        <v>#DIV/0!</v>
      </c>
      <c r="S206" s="536" t="e">
        <f t="shared" si="37"/>
        <v>#DIV/0!</v>
      </c>
      <c r="T206" s="537" t="e">
        <f t="shared" si="38"/>
        <v>#DIV/0!</v>
      </c>
      <c r="U206" s="538" t="e">
        <f>IF(INPUTS!$B$15="yes",T206,S206)</f>
        <v>#DIV/0!</v>
      </c>
      <c r="V206" s="536" t="e">
        <f t="shared" si="39"/>
        <v>#DIV/0!</v>
      </c>
      <c r="W206" s="537" t="e">
        <f t="shared" si="40"/>
        <v>#DIV/0!</v>
      </c>
      <c r="X206" s="538" t="e">
        <f>IF(INPUTS!$B$15="yes",W206,V206)</f>
        <v>#DIV/0!</v>
      </c>
      <c r="Y206" s="536" t="e">
        <f t="shared" si="41"/>
        <v>#DIV/0!</v>
      </c>
      <c r="Z206" s="537" t="e">
        <f t="shared" si="42"/>
        <v>#DIV/0!</v>
      </c>
      <c r="AA206" s="538" t="e">
        <f>IF(INPUTS!$B$15="yes",Z206,Y206)</f>
        <v>#DIV/0!</v>
      </c>
      <c r="AB206" s="536" t="e">
        <f t="shared" si="43"/>
        <v>#DIV/0!</v>
      </c>
      <c r="AC206" s="537" t="e">
        <f t="shared" si="44"/>
        <v>#DIV/0!</v>
      </c>
      <c r="AD206" s="538" t="e">
        <f>IF(INPUTS!$B$15="yes",AC206,AB206)</f>
        <v>#DIV/0!</v>
      </c>
      <c r="AE206" s="36" t="str">
        <f t="shared" si="45"/>
        <v>no</v>
      </c>
      <c r="AF206" s="36"/>
      <c r="AG206" s="389" t="e">
        <f>P206*('upper bound Kenaga'!$F$36/100)</f>
        <v>#DIV/0!</v>
      </c>
      <c r="AH206" s="36"/>
      <c r="AI206" s="389" t="e">
        <f>P206*('upper bound Kenaga'!$F$96/100)</f>
        <v>#DIV/0!</v>
      </c>
      <c r="AJ206" s="36"/>
      <c r="AK206" s="36"/>
      <c r="AL206" s="36"/>
      <c r="AM206" s="36"/>
      <c r="AN206" s="36"/>
      <c r="AO206" s="36"/>
    </row>
    <row r="207" spans="10:41" s="1" customFormat="1">
      <c r="J207" s="6">
        <f>COUNTIF(K$21:K207,"=yes")</f>
        <v>1</v>
      </c>
      <c r="K207" s="533" t="str">
        <f>IF(LOOKUP(VALUE(M207),INPUTS!$G$6:$G$35)=M207,"yes","no")</f>
        <v>no</v>
      </c>
      <c r="L207" s="533">
        <f>IF(K207="yes",(LOOKUP(J207,INPUTS!$E$6:$E$35,INPUTS!$F$6:$F$35)),0)</f>
        <v>0</v>
      </c>
      <c r="M207" s="135">
        <f t="shared" si="46"/>
        <v>186</v>
      </c>
      <c r="N207" s="135">
        <f t="shared" si="47"/>
        <v>1</v>
      </c>
      <c r="O207" s="135">
        <f t="shared" si="48"/>
        <v>0</v>
      </c>
      <c r="P207" s="536" t="e">
        <f t="shared" si="49"/>
        <v>#DIV/0!</v>
      </c>
      <c r="Q207" s="537" t="e">
        <f t="shared" si="36"/>
        <v>#DIV/0!</v>
      </c>
      <c r="R207" s="538" t="e">
        <f>IF(INPUTS!$B$15="yes",Q207,P207)</f>
        <v>#DIV/0!</v>
      </c>
      <c r="S207" s="536" t="e">
        <f t="shared" si="37"/>
        <v>#DIV/0!</v>
      </c>
      <c r="T207" s="537" t="e">
        <f t="shared" si="38"/>
        <v>#DIV/0!</v>
      </c>
      <c r="U207" s="538" t="e">
        <f>IF(INPUTS!$B$15="yes",T207,S207)</f>
        <v>#DIV/0!</v>
      </c>
      <c r="V207" s="536" t="e">
        <f t="shared" si="39"/>
        <v>#DIV/0!</v>
      </c>
      <c r="W207" s="537" t="e">
        <f t="shared" si="40"/>
        <v>#DIV/0!</v>
      </c>
      <c r="X207" s="538" t="e">
        <f>IF(INPUTS!$B$15="yes",W207,V207)</f>
        <v>#DIV/0!</v>
      </c>
      <c r="Y207" s="536" t="e">
        <f t="shared" si="41"/>
        <v>#DIV/0!</v>
      </c>
      <c r="Z207" s="537" t="e">
        <f t="shared" si="42"/>
        <v>#DIV/0!</v>
      </c>
      <c r="AA207" s="538" t="e">
        <f>IF(INPUTS!$B$15="yes",Z207,Y207)</f>
        <v>#DIV/0!</v>
      </c>
      <c r="AB207" s="536" t="e">
        <f t="shared" si="43"/>
        <v>#DIV/0!</v>
      </c>
      <c r="AC207" s="537" t="e">
        <f t="shared" si="44"/>
        <v>#DIV/0!</v>
      </c>
      <c r="AD207" s="538" t="e">
        <f>IF(INPUTS!$B$15="yes",AC207,AB207)</f>
        <v>#DIV/0!</v>
      </c>
      <c r="AE207" s="36" t="str">
        <f t="shared" si="45"/>
        <v>no</v>
      </c>
      <c r="AF207" s="36"/>
      <c r="AG207" s="389" t="e">
        <f>P207*('upper bound Kenaga'!$F$36/100)</f>
        <v>#DIV/0!</v>
      </c>
      <c r="AH207" s="36"/>
      <c r="AI207" s="389" t="e">
        <f>P207*('upper bound Kenaga'!$F$96/100)</f>
        <v>#DIV/0!</v>
      </c>
      <c r="AJ207" s="36"/>
      <c r="AK207" s="36"/>
      <c r="AL207" s="36"/>
      <c r="AM207" s="36"/>
      <c r="AN207" s="36"/>
      <c r="AO207" s="36"/>
    </row>
    <row r="208" spans="10:41" s="1" customFormat="1">
      <c r="J208" s="6">
        <f>COUNTIF(K$21:K208,"=yes")</f>
        <v>1</v>
      </c>
      <c r="K208" s="533" t="str">
        <f>IF(LOOKUP(VALUE(M208),INPUTS!$G$6:$G$35)=M208,"yes","no")</f>
        <v>no</v>
      </c>
      <c r="L208" s="533">
        <f>IF(K208="yes",(LOOKUP(J208,INPUTS!$E$6:$E$35,INPUTS!$F$6:$F$35)),0)</f>
        <v>0</v>
      </c>
      <c r="M208" s="135">
        <f t="shared" si="46"/>
        <v>187</v>
      </c>
      <c r="N208" s="135">
        <f t="shared" si="47"/>
        <v>1</v>
      </c>
      <c r="O208" s="135">
        <f t="shared" si="48"/>
        <v>0</v>
      </c>
      <c r="P208" s="536" t="e">
        <f t="shared" si="49"/>
        <v>#DIV/0!</v>
      </c>
      <c r="Q208" s="537" t="e">
        <f t="shared" si="36"/>
        <v>#DIV/0!</v>
      </c>
      <c r="R208" s="538" t="e">
        <f>IF(INPUTS!$B$15="yes",Q208,P208)</f>
        <v>#DIV/0!</v>
      </c>
      <c r="S208" s="536" t="e">
        <f t="shared" si="37"/>
        <v>#DIV/0!</v>
      </c>
      <c r="T208" s="537" t="e">
        <f t="shared" si="38"/>
        <v>#DIV/0!</v>
      </c>
      <c r="U208" s="538" t="e">
        <f>IF(INPUTS!$B$15="yes",T208,S208)</f>
        <v>#DIV/0!</v>
      </c>
      <c r="V208" s="536" t="e">
        <f t="shared" si="39"/>
        <v>#DIV/0!</v>
      </c>
      <c r="W208" s="537" t="e">
        <f t="shared" si="40"/>
        <v>#DIV/0!</v>
      </c>
      <c r="X208" s="538" t="e">
        <f>IF(INPUTS!$B$15="yes",W208,V208)</f>
        <v>#DIV/0!</v>
      </c>
      <c r="Y208" s="536" t="e">
        <f t="shared" si="41"/>
        <v>#DIV/0!</v>
      </c>
      <c r="Z208" s="537" t="e">
        <f t="shared" si="42"/>
        <v>#DIV/0!</v>
      </c>
      <c r="AA208" s="538" t="e">
        <f>IF(INPUTS!$B$15="yes",Z208,Y208)</f>
        <v>#DIV/0!</v>
      </c>
      <c r="AB208" s="536" t="e">
        <f t="shared" si="43"/>
        <v>#DIV/0!</v>
      </c>
      <c r="AC208" s="537" t="e">
        <f t="shared" si="44"/>
        <v>#DIV/0!</v>
      </c>
      <c r="AD208" s="538" t="e">
        <f>IF(INPUTS!$B$15="yes",AC208,AB208)</f>
        <v>#DIV/0!</v>
      </c>
      <c r="AE208" s="36" t="str">
        <f t="shared" si="45"/>
        <v>no</v>
      </c>
      <c r="AF208" s="36"/>
      <c r="AG208" s="389" t="e">
        <f>P208*('upper bound Kenaga'!$F$36/100)</f>
        <v>#DIV/0!</v>
      </c>
      <c r="AH208" s="36"/>
      <c r="AI208" s="389" t="e">
        <f>P208*('upper bound Kenaga'!$F$96/100)</f>
        <v>#DIV/0!</v>
      </c>
      <c r="AJ208" s="36"/>
      <c r="AK208" s="36"/>
      <c r="AL208" s="36"/>
      <c r="AM208" s="36"/>
      <c r="AN208" s="36"/>
      <c r="AO208" s="36"/>
    </row>
    <row r="209" spans="10:41" s="1" customFormat="1">
      <c r="J209" s="6">
        <f>COUNTIF(K$21:K209,"=yes")</f>
        <v>1</v>
      </c>
      <c r="K209" s="533" t="str">
        <f>IF(LOOKUP(VALUE(M209),INPUTS!$G$6:$G$35)=M209,"yes","no")</f>
        <v>no</v>
      </c>
      <c r="L209" s="533">
        <f>IF(K209="yes",(LOOKUP(J209,INPUTS!$E$6:$E$35,INPUTS!$F$6:$F$35)),0)</f>
        <v>0</v>
      </c>
      <c r="M209" s="135">
        <f t="shared" si="46"/>
        <v>188</v>
      </c>
      <c r="N209" s="135">
        <f t="shared" si="47"/>
        <v>1</v>
      </c>
      <c r="O209" s="135">
        <f t="shared" si="48"/>
        <v>0</v>
      </c>
      <c r="P209" s="536" t="e">
        <f t="shared" si="49"/>
        <v>#DIV/0!</v>
      </c>
      <c r="Q209" s="537" t="e">
        <f t="shared" si="36"/>
        <v>#DIV/0!</v>
      </c>
      <c r="R209" s="538" t="e">
        <f>IF(INPUTS!$B$15="yes",Q209,P209)</f>
        <v>#DIV/0!</v>
      </c>
      <c r="S209" s="536" t="e">
        <f t="shared" si="37"/>
        <v>#DIV/0!</v>
      </c>
      <c r="T209" s="537" t="e">
        <f t="shared" si="38"/>
        <v>#DIV/0!</v>
      </c>
      <c r="U209" s="538" t="e">
        <f>IF(INPUTS!$B$15="yes",T209,S209)</f>
        <v>#DIV/0!</v>
      </c>
      <c r="V209" s="536" t="e">
        <f t="shared" si="39"/>
        <v>#DIV/0!</v>
      </c>
      <c r="W209" s="537" t="e">
        <f t="shared" si="40"/>
        <v>#DIV/0!</v>
      </c>
      <c r="X209" s="538" t="e">
        <f>IF(INPUTS!$B$15="yes",W209,V209)</f>
        <v>#DIV/0!</v>
      </c>
      <c r="Y209" s="536" t="e">
        <f t="shared" si="41"/>
        <v>#DIV/0!</v>
      </c>
      <c r="Z209" s="537" t="e">
        <f t="shared" si="42"/>
        <v>#DIV/0!</v>
      </c>
      <c r="AA209" s="538" t="e">
        <f>IF(INPUTS!$B$15="yes",Z209,Y209)</f>
        <v>#DIV/0!</v>
      </c>
      <c r="AB209" s="536" t="e">
        <f t="shared" si="43"/>
        <v>#DIV/0!</v>
      </c>
      <c r="AC209" s="537" t="e">
        <f t="shared" si="44"/>
        <v>#DIV/0!</v>
      </c>
      <c r="AD209" s="538" t="e">
        <f>IF(INPUTS!$B$15="yes",AC209,AB209)</f>
        <v>#DIV/0!</v>
      </c>
      <c r="AE209" s="36" t="str">
        <f t="shared" si="45"/>
        <v>no</v>
      </c>
      <c r="AF209" s="36"/>
      <c r="AG209" s="389" t="e">
        <f>P209*('upper bound Kenaga'!$F$36/100)</f>
        <v>#DIV/0!</v>
      </c>
      <c r="AH209" s="36"/>
      <c r="AI209" s="389" t="e">
        <f>P209*('upper bound Kenaga'!$F$96/100)</f>
        <v>#DIV/0!</v>
      </c>
      <c r="AJ209" s="36"/>
      <c r="AK209" s="36"/>
      <c r="AL209" s="36"/>
      <c r="AM209" s="36"/>
      <c r="AN209" s="36"/>
      <c r="AO209" s="36"/>
    </row>
    <row r="210" spans="10:41" s="1" customFormat="1">
      <c r="J210" s="6">
        <f>COUNTIF(K$21:K210,"=yes")</f>
        <v>1</v>
      </c>
      <c r="K210" s="533" t="str">
        <f>IF(LOOKUP(VALUE(M210),INPUTS!$G$6:$G$35)=M210,"yes","no")</f>
        <v>no</v>
      </c>
      <c r="L210" s="533">
        <f>IF(K210="yes",(LOOKUP(J210,INPUTS!$E$6:$E$35,INPUTS!$F$6:$F$35)),0)</f>
        <v>0</v>
      </c>
      <c r="M210" s="135">
        <f t="shared" si="46"/>
        <v>189</v>
      </c>
      <c r="N210" s="135">
        <f t="shared" si="47"/>
        <v>1</v>
      </c>
      <c r="O210" s="135">
        <f t="shared" si="48"/>
        <v>0</v>
      </c>
      <c r="P210" s="536" t="e">
        <f t="shared" si="49"/>
        <v>#DIV/0!</v>
      </c>
      <c r="Q210" s="537" t="e">
        <f t="shared" si="36"/>
        <v>#DIV/0!</v>
      </c>
      <c r="R210" s="538" t="e">
        <f>IF(INPUTS!$B$15="yes",Q210,P210)</f>
        <v>#DIV/0!</v>
      </c>
      <c r="S210" s="536" t="e">
        <f t="shared" si="37"/>
        <v>#DIV/0!</v>
      </c>
      <c r="T210" s="537" t="e">
        <f t="shared" si="38"/>
        <v>#DIV/0!</v>
      </c>
      <c r="U210" s="538" t="e">
        <f>IF(INPUTS!$B$15="yes",T210,S210)</f>
        <v>#DIV/0!</v>
      </c>
      <c r="V210" s="536" t="e">
        <f t="shared" si="39"/>
        <v>#DIV/0!</v>
      </c>
      <c r="W210" s="537" t="e">
        <f t="shared" si="40"/>
        <v>#DIV/0!</v>
      </c>
      <c r="X210" s="538" t="e">
        <f>IF(INPUTS!$B$15="yes",W210,V210)</f>
        <v>#DIV/0!</v>
      </c>
      <c r="Y210" s="536" t="e">
        <f t="shared" si="41"/>
        <v>#DIV/0!</v>
      </c>
      <c r="Z210" s="537" t="e">
        <f t="shared" si="42"/>
        <v>#DIV/0!</v>
      </c>
      <c r="AA210" s="538" t="e">
        <f>IF(INPUTS!$B$15="yes",Z210,Y210)</f>
        <v>#DIV/0!</v>
      </c>
      <c r="AB210" s="536" t="e">
        <f t="shared" si="43"/>
        <v>#DIV/0!</v>
      </c>
      <c r="AC210" s="537" t="e">
        <f t="shared" si="44"/>
        <v>#DIV/0!</v>
      </c>
      <c r="AD210" s="538" t="e">
        <f>IF(INPUTS!$B$15="yes",AC210,AB210)</f>
        <v>#DIV/0!</v>
      </c>
      <c r="AE210" s="36" t="str">
        <f t="shared" si="45"/>
        <v>no</v>
      </c>
      <c r="AF210" s="36"/>
      <c r="AG210" s="389" t="e">
        <f>P210*('upper bound Kenaga'!$F$36/100)</f>
        <v>#DIV/0!</v>
      </c>
      <c r="AH210" s="36"/>
      <c r="AI210" s="389" t="e">
        <f>P210*('upper bound Kenaga'!$F$96/100)</f>
        <v>#DIV/0!</v>
      </c>
      <c r="AJ210" s="36"/>
      <c r="AK210" s="36"/>
      <c r="AL210" s="36"/>
      <c r="AM210" s="36"/>
      <c r="AN210" s="36"/>
      <c r="AO210" s="36"/>
    </row>
    <row r="211" spans="10:41" s="1" customFormat="1">
      <c r="J211" s="6">
        <f>COUNTIF(K$21:K211,"=yes")</f>
        <v>1</v>
      </c>
      <c r="K211" s="533" t="str">
        <f>IF(LOOKUP(VALUE(M211),INPUTS!$G$6:$G$35)=M211,"yes","no")</f>
        <v>no</v>
      </c>
      <c r="L211" s="533">
        <f>IF(K211="yes",(LOOKUP(J211,INPUTS!$E$6:$E$35,INPUTS!$F$6:$F$35)),0)</f>
        <v>0</v>
      </c>
      <c r="M211" s="135">
        <f t="shared" si="46"/>
        <v>190</v>
      </c>
      <c r="N211" s="135">
        <f t="shared" si="47"/>
        <v>1</v>
      </c>
      <c r="O211" s="135">
        <f t="shared" si="48"/>
        <v>0</v>
      </c>
      <c r="P211" s="536" t="e">
        <f t="shared" si="49"/>
        <v>#DIV/0!</v>
      </c>
      <c r="Q211" s="537" t="e">
        <f t="shared" si="36"/>
        <v>#DIV/0!</v>
      </c>
      <c r="R211" s="538" t="e">
        <f>IF(INPUTS!$B$15="yes",Q211,P211)</f>
        <v>#DIV/0!</v>
      </c>
      <c r="S211" s="536" t="e">
        <f t="shared" si="37"/>
        <v>#DIV/0!</v>
      </c>
      <c r="T211" s="537" t="e">
        <f t="shared" si="38"/>
        <v>#DIV/0!</v>
      </c>
      <c r="U211" s="538" t="e">
        <f>IF(INPUTS!$B$15="yes",T211,S211)</f>
        <v>#DIV/0!</v>
      </c>
      <c r="V211" s="536" t="e">
        <f t="shared" si="39"/>
        <v>#DIV/0!</v>
      </c>
      <c r="W211" s="537" t="e">
        <f t="shared" si="40"/>
        <v>#DIV/0!</v>
      </c>
      <c r="X211" s="538" t="e">
        <f>IF(INPUTS!$B$15="yes",W211,V211)</f>
        <v>#DIV/0!</v>
      </c>
      <c r="Y211" s="536" t="e">
        <f t="shared" si="41"/>
        <v>#DIV/0!</v>
      </c>
      <c r="Z211" s="537" t="e">
        <f t="shared" si="42"/>
        <v>#DIV/0!</v>
      </c>
      <c r="AA211" s="538" t="e">
        <f>IF(INPUTS!$B$15="yes",Z211,Y211)</f>
        <v>#DIV/0!</v>
      </c>
      <c r="AB211" s="536" t="e">
        <f t="shared" si="43"/>
        <v>#DIV/0!</v>
      </c>
      <c r="AC211" s="537" t="e">
        <f t="shared" si="44"/>
        <v>#DIV/0!</v>
      </c>
      <c r="AD211" s="538" t="e">
        <f>IF(INPUTS!$B$15="yes",AC211,AB211)</f>
        <v>#DIV/0!</v>
      </c>
      <c r="AE211" s="36" t="str">
        <f t="shared" si="45"/>
        <v>no</v>
      </c>
      <c r="AF211" s="36"/>
      <c r="AG211" s="389" t="e">
        <f>P211*('upper bound Kenaga'!$F$36/100)</f>
        <v>#DIV/0!</v>
      </c>
      <c r="AH211" s="36"/>
      <c r="AI211" s="389" t="e">
        <f>P211*('upper bound Kenaga'!$F$96/100)</f>
        <v>#DIV/0!</v>
      </c>
      <c r="AJ211" s="36"/>
      <c r="AK211" s="36"/>
      <c r="AL211" s="36"/>
      <c r="AM211" s="36"/>
      <c r="AN211" s="36"/>
      <c r="AO211" s="36"/>
    </row>
    <row r="212" spans="10:41" s="1" customFormat="1">
      <c r="J212" s="6">
        <f>COUNTIF(K$21:K212,"=yes")</f>
        <v>1</v>
      </c>
      <c r="K212" s="533" t="str">
        <f>IF(LOOKUP(VALUE(M212),INPUTS!$G$6:$G$35)=M212,"yes","no")</f>
        <v>no</v>
      </c>
      <c r="L212" s="533">
        <f>IF(K212="yes",(LOOKUP(J212,INPUTS!$E$6:$E$35,INPUTS!$F$6:$F$35)),0)</f>
        <v>0</v>
      </c>
      <c r="M212" s="135">
        <f t="shared" si="46"/>
        <v>191</v>
      </c>
      <c r="N212" s="135">
        <f t="shared" si="47"/>
        <v>1</v>
      </c>
      <c r="O212" s="135">
        <f t="shared" si="48"/>
        <v>0</v>
      </c>
      <c r="P212" s="536" t="e">
        <f t="shared" si="49"/>
        <v>#DIV/0!</v>
      </c>
      <c r="Q212" s="537" t="e">
        <f t="shared" si="36"/>
        <v>#DIV/0!</v>
      </c>
      <c r="R212" s="538" t="e">
        <f>IF(INPUTS!$B$15="yes",Q212,P212)</f>
        <v>#DIV/0!</v>
      </c>
      <c r="S212" s="536" t="e">
        <f t="shared" si="37"/>
        <v>#DIV/0!</v>
      </c>
      <c r="T212" s="537" t="e">
        <f t="shared" si="38"/>
        <v>#DIV/0!</v>
      </c>
      <c r="U212" s="538" t="e">
        <f>IF(INPUTS!$B$15="yes",T212,S212)</f>
        <v>#DIV/0!</v>
      </c>
      <c r="V212" s="536" t="e">
        <f t="shared" si="39"/>
        <v>#DIV/0!</v>
      </c>
      <c r="W212" s="537" t="e">
        <f t="shared" si="40"/>
        <v>#DIV/0!</v>
      </c>
      <c r="X212" s="538" t="e">
        <f>IF(INPUTS!$B$15="yes",W212,V212)</f>
        <v>#DIV/0!</v>
      </c>
      <c r="Y212" s="536" t="e">
        <f t="shared" si="41"/>
        <v>#DIV/0!</v>
      </c>
      <c r="Z212" s="537" t="e">
        <f t="shared" si="42"/>
        <v>#DIV/0!</v>
      </c>
      <c r="AA212" s="538" t="e">
        <f>IF(INPUTS!$B$15="yes",Z212,Y212)</f>
        <v>#DIV/0!</v>
      </c>
      <c r="AB212" s="536" t="e">
        <f t="shared" si="43"/>
        <v>#DIV/0!</v>
      </c>
      <c r="AC212" s="537" t="e">
        <f t="shared" si="44"/>
        <v>#DIV/0!</v>
      </c>
      <c r="AD212" s="538" t="e">
        <f>IF(INPUTS!$B$15="yes",AC212,AB212)</f>
        <v>#DIV/0!</v>
      </c>
      <c r="AE212" s="36" t="str">
        <f t="shared" si="45"/>
        <v>no</v>
      </c>
      <c r="AF212" s="36"/>
      <c r="AG212" s="389" t="e">
        <f>P212*('upper bound Kenaga'!$F$36/100)</f>
        <v>#DIV/0!</v>
      </c>
      <c r="AH212" s="36"/>
      <c r="AI212" s="389" t="e">
        <f>P212*('upper bound Kenaga'!$F$96/100)</f>
        <v>#DIV/0!</v>
      </c>
      <c r="AJ212" s="36"/>
      <c r="AK212" s="36"/>
      <c r="AL212" s="36"/>
      <c r="AM212" s="36"/>
      <c r="AN212" s="36"/>
      <c r="AO212" s="36"/>
    </row>
    <row r="213" spans="10:41" s="1" customFormat="1">
      <c r="J213" s="6">
        <f>COUNTIF(K$21:K213,"=yes")</f>
        <v>1</v>
      </c>
      <c r="K213" s="533" t="str">
        <f>IF(LOOKUP(VALUE(M213),INPUTS!$G$6:$G$35)=M213,"yes","no")</f>
        <v>no</v>
      </c>
      <c r="L213" s="533">
        <f>IF(K213="yes",(LOOKUP(J213,INPUTS!$E$6:$E$35,INPUTS!$F$6:$F$35)),0)</f>
        <v>0</v>
      </c>
      <c r="M213" s="135">
        <f t="shared" si="46"/>
        <v>192</v>
      </c>
      <c r="N213" s="135">
        <f t="shared" si="47"/>
        <v>1</v>
      </c>
      <c r="O213" s="135">
        <f t="shared" si="48"/>
        <v>0</v>
      </c>
      <c r="P213" s="536" t="e">
        <f t="shared" si="49"/>
        <v>#DIV/0!</v>
      </c>
      <c r="Q213" s="537" t="e">
        <f t="shared" si="36"/>
        <v>#DIV/0!</v>
      </c>
      <c r="R213" s="538" t="e">
        <f>IF(INPUTS!$B$15="yes",Q213,P213)</f>
        <v>#DIV/0!</v>
      </c>
      <c r="S213" s="536" t="e">
        <f t="shared" si="37"/>
        <v>#DIV/0!</v>
      </c>
      <c r="T213" s="537" t="e">
        <f t="shared" si="38"/>
        <v>#DIV/0!</v>
      </c>
      <c r="U213" s="538" t="e">
        <f>IF(INPUTS!$B$15="yes",T213,S213)</f>
        <v>#DIV/0!</v>
      </c>
      <c r="V213" s="536" t="e">
        <f t="shared" si="39"/>
        <v>#DIV/0!</v>
      </c>
      <c r="W213" s="537" t="e">
        <f t="shared" si="40"/>
        <v>#DIV/0!</v>
      </c>
      <c r="X213" s="538" t="e">
        <f>IF(INPUTS!$B$15="yes",W213,V213)</f>
        <v>#DIV/0!</v>
      </c>
      <c r="Y213" s="536" t="e">
        <f t="shared" si="41"/>
        <v>#DIV/0!</v>
      </c>
      <c r="Z213" s="537" t="e">
        <f t="shared" si="42"/>
        <v>#DIV/0!</v>
      </c>
      <c r="AA213" s="538" t="e">
        <f>IF(INPUTS!$B$15="yes",Z213,Y213)</f>
        <v>#DIV/0!</v>
      </c>
      <c r="AB213" s="536" t="e">
        <f t="shared" si="43"/>
        <v>#DIV/0!</v>
      </c>
      <c r="AC213" s="537" t="e">
        <f t="shared" si="44"/>
        <v>#DIV/0!</v>
      </c>
      <c r="AD213" s="538" t="e">
        <f>IF(INPUTS!$B$15="yes",AC213,AB213)</f>
        <v>#DIV/0!</v>
      </c>
      <c r="AE213" s="36" t="str">
        <f t="shared" si="45"/>
        <v>no</v>
      </c>
      <c r="AF213" s="36"/>
      <c r="AG213" s="389" t="e">
        <f>P213*('upper bound Kenaga'!$F$36/100)</f>
        <v>#DIV/0!</v>
      </c>
      <c r="AH213" s="36"/>
      <c r="AI213" s="389" t="e">
        <f>P213*('upper bound Kenaga'!$F$96/100)</f>
        <v>#DIV/0!</v>
      </c>
      <c r="AJ213" s="36"/>
      <c r="AK213" s="36"/>
      <c r="AL213" s="36"/>
      <c r="AM213" s="36"/>
      <c r="AN213" s="36"/>
      <c r="AO213" s="36"/>
    </row>
    <row r="214" spans="10:41" s="1" customFormat="1">
      <c r="J214" s="6">
        <f>COUNTIF(K$21:K214,"=yes")</f>
        <v>1</v>
      </c>
      <c r="K214" s="533" t="str">
        <f>IF(LOOKUP(VALUE(M214),INPUTS!$G$6:$G$35)=M214,"yes","no")</f>
        <v>no</v>
      </c>
      <c r="L214" s="533">
        <f>IF(K214="yes",(LOOKUP(J214,INPUTS!$E$6:$E$35,INPUTS!$F$6:$F$35)),0)</f>
        <v>0</v>
      </c>
      <c r="M214" s="135">
        <f t="shared" si="46"/>
        <v>193</v>
      </c>
      <c r="N214" s="135">
        <f t="shared" si="47"/>
        <v>1</v>
      </c>
      <c r="O214" s="135">
        <f t="shared" si="48"/>
        <v>0</v>
      </c>
      <c r="P214" s="536" t="e">
        <f t="shared" si="49"/>
        <v>#DIV/0!</v>
      </c>
      <c r="Q214" s="537" t="e">
        <f t="shared" ref="Q214:Q277" si="50">IF($K214="yes",(EXP(-$R$16)*(Q213)+(240*$L214)),((EXP(-$R$16)*(Q213))))</f>
        <v>#DIV/0!</v>
      </c>
      <c r="R214" s="538" t="e">
        <f>IF(INPUTS!$B$15="yes",Q214,P214)</f>
        <v>#DIV/0!</v>
      </c>
      <c r="S214" s="536" t="e">
        <f t="shared" ref="S214:S277" si="51">IF(($N214&gt;$N213),(EXP(-$R$16)*(S213)+$R$12),((EXP(-$R$16)*(S213))))</f>
        <v>#DIV/0!</v>
      </c>
      <c r="T214" s="537" t="e">
        <f t="shared" ref="T214:T277" si="52">IF($K214="yes",(EXP(-$R$16)*(T213)+(110*$L214)),((EXP(-$R$16)*(T213))))</f>
        <v>#DIV/0!</v>
      </c>
      <c r="U214" s="538" t="e">
        <f>IF(INPUTS!$B$15="yes",T214,S214)</f>
        <v>#DIV/0!</v>
      </c>
      <c r="V214" s="536" t="e">
        <f t="shared" ref="V214:V277" si="53">IF(($N214&gt;$N213),(EXP(-$R$16)*(V213)+$R$13),((EXP(-$R$16)*(V213))))</f>
        <v>#DIV/0!</v>
      </c>
      <c r="W214" s="537" t="e">
        <f t="shared" ref="W214:W277" si="54">IF($K214="yes",(EXP(-$R$16)*(W213)+(135*$L214)),((EXP(-$R$16)*(W213))))</f>
        <v>#DIV/0!</v>
      </c>
      <c r="X214" s="538" t="e">
        <f>IF(INPUTS!$B$15="yes",W214,V214)</f>
        <v>#DIV/0!</v>
      </c>
      <c r="Y214" s="536" t="e">
        <f t="shared" ref="Y214:Y277" si="55">IF(($N214&gt;$N213),(EXP(-$R$16)*(Y213)+$R$14),((EXP(-$R$16)*(Y213))))</f>
        <v>#DIV/0!</v>
      </c>
      <c r="Z214" s="537" t="e">
        <f t="shared" ref="Z214:Z277" si="56">IF($K214="yes",(EXP(-$R$16)*(Z213)+(15*$L214)),((EXP(-$R$16)*(Z213))))</f>
        <v>#DIV/0!</v>
      </c>
      <c r="AA214" s="538" t="e">
        <f>IF(INPUTS!$B$15="yes",Z214,Y214)</f>
        <v>#DIV/0!</v>
      </c>
      <c r="AB214" s="536" t="e">
        <f t="shared" ref="AB214:AB277" si="57">IF(($N214&gt;$N213),(EXP(-$R$16)*(AB213)+$R$15),((EXP(-$R$16)*(AB213))))</f>
        <v>#DIV/0!</v>
      </c>
      <c r="AC214" s="537" t="e">
        <f t="shared" ref="AC214:AC277" si="58">IF($K214="yes",(EXP(-$R$16)*(AC213)+(94*$L214)),((EXP(-$R$16)*(AC213))))</f>
        <v>#DIV/0!</v>
      </c>
      <c r="AD214" s="538" t="e">
        <f>IF(INPUTS!$B$15="yes",AC214,AB214)</f>
        <v>#DIV/0!</v>
      </c>
      <c r="AE214" s="36" t="str">
        <f t="shared" si="45"/>
        <v>no</v>
      </c>
      <c r="AF214" s="36"/>
      <c r="AG214" s="389" t="e">
        <f>P214*('upper bound Kenaga'!$F$36/100)</f>
        <v>#DIV/0!</v>
      </c>
      <c r="AH214" s="36"/>
      <c r="AI214" s="389" t="e">
        <f>P214*('upper bound Kenaga'!$F$96/100)</f>
        <v>#DIV/0!</v>
      </c>
      <c r="AJ214" s="36"/>
      <c r="AK214" s="36"/>
      <c r="AL214" s="36"/>
      <c r="AM214" s="36"/>
      <c r="AN214" s="36"/>
      <c r="AO214" s="36"/>
    </row>
    <row r="215" spans="10:41" s="1" customFormat="1">
      <c r="J215" s="6">
        <f>COUNTIF(K$21:K215,"=yes")</f>
        <v>1</v>
      </c>
      <c r="K215" s="533" t="str">
        <f>IF(LOOKUP(VALUE(M215),INPUTS!$G$6:$G$35)=M215,"yes","no")</f>
        <v>no</v>
      </c>
      <c r="L215" s="533">
        <f>IF(K215="yes",(LOOKUP(J215,INPUTS!$E$6:$E$35,INPUTS!$F$6:$F$35)),0)</f>
        <v>0</v>
      </c>
      <c r="M215" s="135">
        <f t="shared" si="46"/>
        <v>194</v>
      </c>
      <c r="N215" s="135">
        <f t="shared" si="47"/>
        <v>1</v>
      </c>
      <c r="O215" s="135">
        <f t="shared" si="48"/>
        <v>0</v>
      </c>
      <c r="P215" s="536" t="e">
        <f t="shared" si="49"/>
        <v>#DIV/0!</v>
      </c>
      <c r="Q215" s="537" t="e">
        <f t="shared" si="50"/>
        <v>#DIV/0!</v>
      </c>
      <c r="R215" s="538" t="e">
        <f>IF(INPUTS!$B$15="yes",Q215,P215)</f>
        <v>#DIV/0!</v>
      </c>
      <c r="S215" s="536" t="e">
        <f t="shared" si="51"/>
        <v>#DIV/0!</v>
      </c>
      <c r="T215" s="537" t="e">
        <f t="shared" si="52"/>
        <v>#DIV/0!</v>
      </c>
      <c r="U215" s="538" t="e">
        <f>IF(INPUTS!$B$15="yes",T215,S215)</f>
        <v>#DIV/0!</v>
      </c>
      <c r="V215" s="536" t="e">
        <f t="shared" si="53"/>
        <v>#DIV/0!</v>
      </c>
      <c r="W215" s="537" t="e">
        <f t="shared" si="54"/>
        <v>#DIV/0!</v>
      </c>
      <c r="X215" s="538" t="e">
        <f>IF(INPUTS!$B$15="yes",W215,V215)</f>
        <v>#DIV/0!</v>
      </c>
      <c r="Y215" s="536" t="e">
        <f t="shared" si="55"/>
        <v>#DIV/0!</v>
      </c>
      <c r="Z215" s="537" t="e">
        <f t="shared" si="56"/>
        <v>#DIV/0!</v>
      </c>
      <c r="AA215" s="538" t="e">
        <f>IF(INPUTS!$B$15="yes",Z215,Y215)</f>
        <v>#DIV/0!</v>
      </c>
      <c r="AB215" s="536" t="e">
        <f t="shared" si="57"/>
        <v>#DIV/0!</v>
      </c>
      <c r="AC215" s="537" t="e">
        <f t="shared" si="58"/>
        <v>#DIV/0!</v>
      </c>
      <c r="AD215" s="538" t="e">
        <f>IF(INPUTS!$B$15="yes",AC215,AB215)</f>
        <v>#DIV/0!</v>
      </c>
      <c r="AE215" s="36" t="str">
        <f t="shared" si="45"/>
        <v>no</v>
      </c>
      <c r="AF215" s="36"/>
      <c r="AG215" s="389" t="e">
        <f>P215*('upper bound Kenaga'!$F$36/100)</f>
        <v>#DIV/0!</v>
      </c>
      <c r="AH215" s="36"/>
      <c r="AI215" s="389" t="e">
        <f>P215*('upper bound Kenaga'!$F$96/100)</f>
        <v>#DIV/0!</v>
      </c>
      <c r="AJ215" s="36"/>
      <c r="AK215" s="36"/>
      <c r="AL215" s="36"/>
      <c r="AM215" s="36"/>
      <c r="AN215" s="36"/>
      <c r="AO215" s="36"/>
    </row>
    <row r="216" spans="10:41" s="1" customFormat="1">
      <c r="J216" s="6">
        <f>COUNTIF(K$21:K216,"=yes")</f>
        <v>1</v>
      </c>
      <c r="K216" s="533" t="str">
        <f>IF(LOOKUP(VALUE(M216),INPUTS!$G$6:$G$35)=M216,"yes","no")</f>
        <v>no</v>
      </c>
      <c r="L216" s="533">
        <f>IF(K216="yes",(LOOKUP(J216,INPUTS!$E$6:$E$35,INPUTS!$F$6:$F$35)),0)</f>
        <v>0</v>
      </c>
      <c r="M216" s="135">
        <f t="shared" si="46"/>
        <v>195</v>
      </c>
      <c r="N216" s="135">
        <f t="shared" si="47"/>
        <v>1</v>
      </c>
      <c r="O216" s="135">
        <f t="shared" si="48"/>
        <v>0</v>
      </c>
      <c r="P216" s="536" t="e">
        <f t="shared" si="49"/>
        <v>#DIV/0!</v>
      </c>
      <c r="Q216" s="537" t="e">
        <f t="shared" si="50"/>
        <v>#DIV/0!</v>
      </c>
      <c r="R216" s="538" t="e">
        <f>IF(INPUTS!$B$15="yes",Q216,P216)</f>
        <v>#DIV/0!</v>
      </c>
      <c r="S216" s="536" t="e">
        <f t="shared" si="51"/>
        <v>#DIV/0!</v>
      </c>
      <c r="T216" s="537" t="e">
        <f t="shared" si="52"/>
        <v>#DIV/0!</v>
      </c>
      <c r="U216" s="538" t="e">
        <f>IF(INPUTS!$B$15="yes",T216,S216)</f>
        <v>#DIV/0!</v>
      </c>
      <c r="V216" s="536" t="e">
        <f t="shared" si="53"/>
        <v>#DIV/0!</v>
      </c>
      <c r="W216" s="537" t="e">
        <f t="shared" si="54"/>
        <v>#DIV/0!</v>
      </c>
      <c r="X216" s="538" t="e">
        <f>IF(INPUTS!$B$15="yes",W216,V216)</f>
        <v>#DIV/0!</v>
      </c>
      <c r="Y216" s="536" t="e">
        <f t="shared" si="55"/>
        <v>#DIV/0!</v>
      </c>
      <c r="Z216" s="537" t="e">
        <f t="shared" si="56"/>
        <v>#DIV/0!</v>
      </c>
      <c r="AA216" s="538" t="e">
        <f>IF(INPUTS!$B$15="yes",Z216,Y216)</f>
        <v>#DIV/0!</v>
      </c>
      <c r="AB216" s="536" t="e">
        <f t="shared" si="57"/>
        <v>#DIV/0!</v>
      </c>
      <c r="AC216" s="537" t="e">
        <f t="shared" si="58"/>
        <v>#DIV/0!</v>
      </c>
      <c r="AD216" s="538" t="e">
        <f>IF(INPUTS!$B$15="yes",AC216,AB216)</f>
        <v>#DIV/0!</v>
      </c>
      <c r="AE216" s="36" t="str">
        <f t="shared" si="45"/>
        <v>no</v>
      </c>
      <c r="AF216" s="36"/>
      <c r="AG216" s="389" t="e">
        <f>P216*('upper bound Kenaga'!$F$36/100)</f>
        <v>#DIV/0!</v>
      </c>
      <c r="AH216" s="36"/>
      <c r="AI216" s="389" t="e">
        <f>P216*('upper bound Kenaga'!$F$96/100)</f>
        <v>#DIV/0!</v>
      </c>
      <c r="AJ216" s="36"/>
      <c r="AK216" s="36"/>
      <c r="AL216" s="36"/>
      <c r="AM216" s="36"/>
      <c r="AN216" s="36"/>
      <c r="AO216" s="36"/>
    </row>
    <row r="217" spans="10:41" s="1" customFormat="1">
      <c r="J217" s="6">
        <f>COUNTIF(K$21:K217,"=yes")</f>
        <v>1</v>
      </c>
      <c r="K217" s="533" t="str">
        <f>IF(LOOKUP(VALUE(M217),INPUTS!$G$6:$G$35)=M217,"yes","no")</f>
        <v>no</v>
      </c>
      <c r="L217" s="533">
        <f>IF(K217="yes",(LOOKUP(J217,INPUTS!$E$6:$E$35,INPUTS!$F$6:$F$35)),0)</f>
        <v>0</v>
      </c>
      <c r="M217" s="135">
        <f t="shared" si="46"/>
        <v>196</v>
      </c>
      <c r="N217" s="135">
        <f t="shared" si="47"/>
        <v>1</v>
      </c>
      <c r="O217" s="135">
        <f t="shared" si="48"/>
        <v>0</v>
      </c>
      <c r="P217" s="536" t="e">
        <f t="shared" si="49"/>
        <v>#DIV/0!</v>
      </c>
      <c r="Q217" s="537" t="e">
        <f t="shared" si="50"/>
        <v>#DIV/0!</v>
      </c>
      <c r="R217" s="538" t="e">
        <f>IF(INPUTS!$B$15="yes",Q217,P217)</f>
        <v>#DIV/0!</v>
      </c>
      <c r="S217" s="536" t="e">
        <f t="shared" si="51"/>
        <v>#DIV/0!</v>
      </c>
      <c r="T217" s="537" t="e">
        <f t="shared" si="52"/>
        <v>#DIV/0!</v>
      </c>
      <c r="U217" s="538" t="e">
        <f>IF(INPUTS!$B$15="yes",T217,S217)</f>
        <v>#DIV/0!</v>
      </c>
      <c r="V217" s="536" t="e">
        <f t="shared" si="53"/>
        <v>#DIV/0!</v>
      </c>
      <c r="W217" s="537" t="e">
        <f t="shared" si="54"/>
        <v>#DIV/0!</v>
      </c>
      <c r="X217" s="538" t="e">
        <f>IF(INPUTS!$B$15="yes",W217,V217)</f>
        <v>#DIV/0!</v>
      </c>
      <c r="Y217" s="536" t="e">
        <f t="shared" si="55"/>
        <v>#DIV/0!</v>
      </c>
      <c r="Z217" s="537" t="e">
        <f t="shared" si="56"/>
        <v>#DIV/0!</v>
      </c>
      <c r="AA217" s="538" t="e">
        <f>IF(INPUTS!$B$15="yes",Z217,Y217)</f>
        <v>#DIV/0!</v>
      </c>
      <c r="AB217" s="536" t="e">
        <f t="shared" si="57"/>
        <v>#DIV/0!</v>
      </c>
      <c r="AC217" s="537" t="e">
        <f t="shared" si="58"/>
        <v>#DIV/0!</v>
      </c>
      <c r="AD217" s="538" t="e">
        <f>IF(INPUTS!$B$15="yes",AC217,AB217)</f>
        <v>#DIV/0!</v>
      </c>
      <c r="AE217" s="36" t="str">
        <f t="shared" si="45"/>
        <v>no</v>
      </c>
      <c r="AF217" s="36"/>
      <c r="AG217" s="389" t="e">
        <f>P217*('upper bound Kenaga'!$F$36/100)</f>
        <v>#DIV/0!</v>
      </c>
      <c r="AH217" s="36"/>
      <c r="AI217" s="389" t="e">
        <f>P217*('upper bound Kenaga'!$F$96/100)</f>
        <v>#DIV/0!</v>
      </c>
      <c r="AJ217" s="36"/>
      <c r="AK217" s="36"/>
      <c r="AL217" s="36"/>
      <c r="AM217" s="36"/>
      <c r="AN217" s="36"/>
      <c r="AO217" s="36"/>
    </row>
    <row r="218" spans="10:41" s="1" customFormat="1">
      <c r="J218" s="6">
        <f>COUNTIF(K$21:K218,"=yes")</f>
        <v>1</v>
      </c>
      <c r="K218" s="533" t="str">
        <f>IF(LOOKUP(VALUE(M218),INPUTS!$G$6:$G$35)=M218,"yes","no")</f>
        <v>no</v>
      </c>
      <c r="L218" s="533">
        <f>IF(K218="yes",(LOOKUP(J218,INPUTS!$E$6:$E$35,INPUTS!$F$6:$F$35)),0)</f>
        <v>0</v>
      </c>
      <c r="M218" s="135">
        <f t="shared" si="46"/>
        <v>197</v>
      </c>
      <c r="N218" s="135">
        <f t="shared" si="47"/>
        <v>1</v>
      </c>
      <c r="O218" s="135">
        <f t="shared" si="48"/>
        <v>0</v>
      </c>
      <c r="P218" s="536" t="e">
        <f t="shared" si="49"/>
        <v>#DIV/0!</v>
      </c>
      <c r="Q218" s="537" t="e">
        <f t="shared" si="50"/>
        <v>#DIV/0!</v>
      </c>
      <c r="R218" s="538" t="e">
        <f>IF(INPUTS!$B$15="yes",Q218,P218)</f>
        <v>#DIV/0!</v>
      </c>
      <c r="S218" s="536" t="e">
        <f t="shared" si="51"/>
        <v>#DIV/0!</v>
      </c>
      <c r="T218" s="537" t="e">
        <f t="shared" si="52"/>
        <v>#DIV/0!</v>
      </c>
      <c r="U218" s="538" t="e">
        <f>IF(INPUTS!$B$15="yes",T218,S218)</f>
        <v>#DIV/0!</v>
      </c>
      <c r="V218" s="536" t="e">
        <f t="shared" si="53"/>
        <v>#DIV/0!</v>
      </c>
      <c r="W218" s="537" t="e">
        <f t="shared" si="54"/>
        <v>#DIV/0!</v>
      </c>
      <c r="X218" s="538" t="e">
        <f>IF(INPUTS!$B$15="yes",W218,V218)</f>
        <v>#DIV/0!</v>
      </c>
      <c r="Y218" s="536" t="e">
        <f t="shared" si="55"/>
        <v>#DIV/0!</v>
      </c>
      <c r="Z218" s="537" t="e">
        <f t="shared" si="56"/>
        <v>#DIV/0!</v>
      </c>
      <c r="AA218" s="538" t="e">
        <f>IF(INPUTS!$B$15="yes",Z218,Y218)</f>
        <v>#DIV/0!</v>
      </c>
      <c r="AB218" s="536" t="e">
        <f t="shared" si="57"/>
        <v>#DIV/0!</v>
      </c>
      <c r="AC218" s="537" t="e">
        <f t="shared" si="58"/>
        <v>#DIV/0!</v>
      </c>
      <c r="AD218" s="538" t="e">
        <f>IF(INPUTS!$B$15="yes",AC218,AB218)</f>
        <v>#DIV/0!</v>
      </c>
      <c r="AE218" s="36" t="str">
        <f t="shared" ref="AE218:AE281" si="59">$B$11</f>
        <v>no</v>
      </c>
      <c r="AF218" s="36"/>
      <c r="AG218" s="389" t="e">
        <f>P218*('upper bound Kenaga'!$F$36/100)</f>
        <v>#DIV/0!</v>
      </c>
      <c r="AH218" s="36"/>
      <c r="AI218" s="389" t="e">
        <f>P218*('upper bound Kenaga'!$F$96/100)</f>
        <v>#DIV/0!</v>
      </c>
      <c r="AJ218" s="36"/>
      <c r="AK218" s="36"/>
      <c r="AL218" s="36"/>
      <c r="AM218" s="36"/>
      <c r="AN218" s="36"/>
      <c r="AO218" s="36"/>
    </row>
    <row r="219" spans="10:41" s="1" customFormat="1">
      <c r="J219" s="6">
        <f>COUNTIF(K$21:K219,"=yes")</f>
        <v>1</v>
      </c>
      <c r="K219" s="533" t="str">
        <f>IF(LOOKUP(VALUE(M219),INPUTS!$G$6:$G$35)=M219,"yes","no")</f>
        <v>no</v>
      </c>
      <c r="L219" s="533">
        <f>IF(K219="yes",(LOOKUP(J219,INPUTS!$E$6:$E$35,INPUTS!$F$6:$F$35)),0)</f>
        <v>0</v>
      </c>
      <c r="M219" s="135">
        <f t="shared" ref="M219:M282" si="60">(M218+1)</f>
        <v>198</v>
      </c>
      <c r="N219" s="135">
        <f t="shared" ref="N219:N282" si="61">IF($B$9&gt;N218,IF(O218=($B$8-1),(N218+1),(N218)),(N218))</f>
        <v>1</v>
      </c>
      <c r="O219" s="135">
        <f t="shared" ref="O219:O282" si="62">IF(O218&lt;($B$8-1),(1+O218),0)</f>
        <v>0</v>
      </c>
      <c r="P219" s="536" t="e">
        <f t="shared" si="49"/>
        <v>#DIV/0!</v>
      </c>
      <c r="Q219" s="537" t="e">
        <f t="shared" si="50"/>
        <v>#DIV/0!</v>
      </c>
      <c r="R219" s="538" t="e">
        <f>IF(INPUTS!$B$15="yes",Q219,P219)</f>
        <v>#DIV/0!</v>
      </c>
      <c r="S219" s="536" t="e">
        <f t="shared" si="51"/>
        <v>#DIV/0!</v>
      </c>
      <c r="T219" s="537" t="e">
        <f t="shared" si="52"/>
        <v>#DIV/0!</v>
      </c>
      <c r="U219" s="538" t="e">
        <f>IF(INPUTS!$B$15="yes",T219,S219)</f>
        <v>#DIV/0!</v>
      </c>
      <c r="V219" s="536" t="e">
        <f t="shared" si="53"/>
        <v>#DIV/0!</v>
      </c>
      <c r="W219" s="537" t="e">
        <f t="shared" si="54"/>
        <v>#DIV/0!</v>
      </c>
      <c r="X219" s="538" t="e">
        <f>IF(INPUTS!$B$15="yes",W219,V219)</f>
        <v>#DIV/0!</v>
      </c>
      <c r="Y219" s="536" t="e">
        <f t="shared" si="55"/>
        <v>#DIV/0!</v>
      </c>
      <c r="Z219" s="537" t="e">
        <f t="shared" si="56"/>
        <v>#DIV/0!</v>
      </c>
      <c r="AA219" s="538" t="e">
        <f>IF(INPUTS!$B$15="yes",Z219,Y219)</f>
        <v>#DIV/0!</v>
      </c>
      <c r="AB219" s="536" t="e">
        <f t="shared" si="57"/>
        <v>#DIV/0!</v>
      </c>
      <c r="AC219" s="537" t="e">
        <f t="shared" si="58"/>
        <v>#DIV/0!</v>
      </c>
      <c r="AD219" s="538" t="e">
        <f>IF(INPUTS!$B$15="yes",AC219,AB219)</f>
        <v>#DIV/0!</v>
      </c>
      <c r="AE219" s="36" t="str">
        <f t="shared" si="59"/>
        <v>no</v>
      </c>
      <c r="AF219" s="36"/>
      <c r="AG219" s="389" t="e">
        <f>P219*('upper bound Kenaga'!$F$36/100)</f>
        <v>#DIV/0!</v>
      </c>
      <c r="AH219" s="36"/>
      <c r="AI219" s="389" t="e">
        <f>P219*('upper bound Kenaga'!$F$96/100)</f>
        <v>#DIV/0!</v>
      </c>
      <c r="AJ219" s="36"/>
      <c r="AK219" s="36"/>
      <c r="AL219" s="36"/>
      <c r="AM219" s="36"/>
      <c r="AN219" s="36"/>
      <c r="AO219" s="36"/>
    </row>
    <row r="220" spans="10:41" s="1" customFormat="1">
      <c r="J220" s="6">
        <f>COUNTIF(K$21:K220,"=yes")</f>
        <v>1</v>
      </c>
      <c r="K220" s="533" t="str">
        <f>IF(LOOKUP(VALUE(M220),INPUTS!$G$6:$G$35)=M220,"yes","no")</f>
        <v>no</v>
      </c>
      <c r="L220" s="533">
        <f>IF(K220="yes",(LOOKUP(J220,INPUTS!$E$6:$E$35,INPUTS!$F$6:$F$35)),0)</f>
        <v>0</v>
      </c>
      <c r="M220" s="135">
        <f t="shared" si="60"/>
        <v>199</v>
      </c>
      <c r="N220" s="135">
        <f t="shared" si="61"/>
        <v>1</v>
      </c>
      <c r="O220" s="135">
        <f t="shared" si="62"/>
        <v>0</v>
      </c>
      <c r="P220" s="536" t="e">
        <f t="shared" si="49"/>
        <v>#DIV/0!</v>
      </c>
      <c r="Q220" s="537" t="e">
        <f t="shared" si="50"/>
        <v>#DIV/0!</v>
      </c>
      <c r="R220" s="538" t="e">
        <f>IF(INPUTS!$B$15="yes",Q220,P220)</f>
        <v>#DIV/0!</v>
      </c>
      <c r="S220" s="536" t="e">
        <f t="shared" si="51"/>
        <v>#DIV/0!</v>
      </c>
      <c r="T220" s="537" t="e">
        <f t="shared" si="52"/>
        <v>#DIV/0!</v>
      </c>
      <c r="U220" s="538" t="e">
        <f>IF(INPUTS!$B$15="yes",T220,S220)</f>
        <v>#DIV/0!</v>
      </c>
      <c r="V220" s="536" t="e">
        <f t="shared" si="53"/>
        <v>#DIV/0!</v>
      </c>
      <c r="W220" s="537" t="e">
        <f t="shared" si="54"/>
        <v>#DIV/0!</v>
      </c>
      <c r="X220" s="538" t="e">
        <f>IF(INPUTS!$B$15="yes",W220,V220)</f>
        <v>#DIV/0!</v>
      </c>
      <c r="Y220" s="536" t="e">
        <f t="shared" si="55"/>
        <v>#DIV/0!</v>
      </c>
      <c r="Z220" s="537" t="e">
        <f t="shared" si="56"/>
        <v>#DIV/0!</v>
      </c>
      <c r="AA220" s="538" t="e">
        <f>IF(INPUTS!$B$15="yes",Z220,Y220)</f>
        <v>#DIV/0!</v>
      </c>
      <c r="AB220" s="536" t="e">
        <f t="shared" si="57"/>
        <v>#DIV/0!</v>
      </c>
      <c r="AC220" s="537" t="e">
        <f t="shared" si="58"/>
        <v>#DIV/0!</v>
      </c>
      <c r="AD220" s="538" t="e">
        <f>IF(INPUTS!$B$15="yes",AC220,AB220)</f>
        <v>#DIV/0!</v>
      </c>
      <c r="AE220" s="36" t="str">
        <f t="shared" si="59"/>
        <v>no</v>
      </c>
      <c r="AF220" s="36"/>
      <c r="AG220" s="389" t="e">
        <f>P220*('upper bound Kenaga'!$F$36/100)</f>
        <v>#DIV/0!</v>
      </c>
      <c r="AH220" s="36"/>
      <c r="AI220" s="389" t="e">
        <f>P220*('upper bound Kenaga'!$F$96/100)</f>
        <v>#DIV/0!</v>
      </c>
      <c r="AJ220" s="36"/>
      <c r="AK220" s="36"/>
      <c r="AL220" s="36"/>
      <c r="AM220" s="36"/>
      <c r="AN220" s="36"/>
      <c r="AO220" s="36"/>
    </row>
    <row r="221" spans="10:41" s="1" customFormat="1">
      <c r="J221" s="6">
        <f>COUNTIF(K$21:K221,"=yes")</f>
        <v>1</v>
      </c>
      <c r="K221" s="533" t="str">
        <f>IF(LOOKUP(VALUE(M221),INPUTS!$G$6:$G$35)=M221,"yes","no")</f>
        <v>no</v>
      </c>
      <c r="L221" s="533">
        <f>IF(K221="yes",(LOOKUP(J221,INPUTS!$E$6:$E$35,INPUTS!$F$6:$F$35)),0)</f>
        <v>0</v>
      </c>
      <c r="M221" s="135">
        <f t="shared" si="60"/>
        <v>200</v>
      </c>
      <c r="N221" s="135">
        <f t="shared" si="61"/>
        <v>1</v>
      </c>
      <c r="O221" s="135">
        <f t="shared" si="62"/>
        <v>0</v>
      </c>
      <c r="P221" s="536" t="e">
        <f t="shared" si="49"/>
        <v>#DIV/0!</v>
      </c>
      <c r="Q221" s="537" t="e">
        <f t="shared" si="50"/>
        <v>#DIV/0!</v>
      </c>
      <c r="R221" s="538" t="e">
        <f>IF(INPUTS!$B$15="yes",Q221,P221)</f>
        <v>#DIV/0!</v>
      </c>
      <c r="S221" s="536" t="e">
        <f t="shared" si="51"/>
        <v>#DIV/0!</v>
      </c>
      <c r="T221" s="537" t="e">
        <f t="shared" si="52"/>
        <v>#DIV/0!</v>
      </c>
      <c r="U221" s="538" t="e">
        <f>IF(INPUTS!$B$15="yes",T221,S221)</f>
        <v>#DIV/0!</v>
      </c>
      <c r="V221" s="536" t="e">
        <f t="shared" si="53"/>
        <v>#DIV/0!</v>
      </c>
      <c r="W221" s="537" t="e">
        <f t="shared" si="54"/>
        <v>#DIV/0!</v>
      </c>
      <c r="X221" s="538" t="e">
        <f>IF(INPUTS!$B$15="yes",W221,V221)</f>
        <v>#DIV/0!</v>
      </c>
      <c r="Y221" s="536" t="e">
        <f t="shared" si="55"/>
        <v>#DIV/0!</v>
      </c>
      <c r="Z221" s="537" t="e">
        <f t="shared" si="56"/>
        <v>#DIV/0!</v>
      </c>
      <c r="AA221" s="538" t="e">
        <f>IF(INPUTS!$B$15="yes",Z221,Y221)</f>
        <v>#DIV/0!</v>
      </c>
      <c r="AB221" s="536" t="e">
        <f t="shared" si="57"/>
        <v>#DIV/0!</v>
      </c>
      <c r="AC221" s="537" t="e">
        <f t="shared" si="58"/>
        <v>#DIV/0!</v>
      </c>
      <c r="AD221" s="538" t="e">
        <f>IF(INPUTS!$B$15="yes",AC221,AB221)</f>
        <v>#DIV/0!</v>
      </c>
      <c r="AE221" s="36" t="str">
        <f t="shared" si="59"/>
        <v>no</v>
      </c>
      <c r="AF221" s="36"/>
      <c r="AG221" s="389" t="e">
        <f>P221*('upper bound Kenaga'!$F$36/100)</f>
        <v>#DIV/0!</v>
      </c>
      <c r="AH221" s="36"/>
      <c r="AI221" s="389" t="e">
        <f>P221*('upper bound Kenaga'!$F$96/100)</f>
        <v>#DIV/0!</v>
      </c>
      <c r="AJ221" s="36"/>
      <c r="AK221" s="36"/>
      <c r="AL221" s="36"/>
      <c r="AM221" s="36"/>
      <c r="AN221" s="36"/>
      <c r="AO221" s="36"/>
    </row>
    <row r="222" spans="10:41" s="1" customFormat="1">
      <c r="J222" s="6">
        <f>COUNTIF(K$21:K222,"=yes")</f>
        <v>1</v>
      </c>
      <c r="K222" s="533" t="str">
        <f>IF(LOOKUP(VALUE(M222),INPUTS!$G$6:$G$35)=M222,"yes","no")</f>
        <v>no</v>
      </c>
      <c r="L222" s="533">
        <f>IF(K222="yes",(LOOKUP(J222,INPUTS!$E$6:$E$35,INPUTS!$F$6:$F$35)),0)</f>
        <v>0</v>
      </c>
      <c r="M222" s="135">
        <f t="shared" si="60"/>
        <v>201</v>
      </c>
      <c r="N222" s="135">
        <f t="shared" si="61"/>
        <v>1</v>
      </c>
      <c r="O222" s="135">
        <f t="shared" si="62"/>
        <v>0</v>
      </c>
      <c r="P222" s="536" t="e">
        <f t="shared" si="49"/>
        <v>#DIV/0!</v>
      </c>
      <c r="Q222" s="537" t="e">
        <f t="shared" si="50"/>
        <v>#DIV/0!</v>
      </c>
      <c r="R222" s="538" t="e">
        <f>IF(INPUTS!$B$15="yes",Q222,P222)</f>
        <v>#DIV/0!</v>
      </c>
      <c r="S222" s="536" t="e">
        <f t="shared" si="51"/>
        <v>#DIV/0!</v>
      </c>
      <c r="T222" s="537" t="e">
        <f t="shared" si="52"/>
        <v>#DIV/0!</v>
      </c>
      <c r="U222" s="538" t="e">
        <f>IF(INPUTS!$B$15="yes",T222,S222)</f>
        <v>#DIV/0!</v>
      </c>
      <c r="V222" s="536" t="e">
        <f t="shared" si="53"/>
        <v>#DIV/0!</v>
      </c>
      <c r="W222" s="537" t="e">
        <f t="shared" si="54"/>
        <v>#DIV/0!</v>
      </c>
      <c r="X222" s="538" t="e">
        <f>IF(INPUTS!$B$15="yes",W222,V222)</f>
        <v>#DIV/0!</v>
      </c>
      <c r="Y222" s="536" t="e">
        <f t="shared" si="55"/>
        <v>#DIV/0!</v>
      </c>
      <c r="Z222" s="537" t="e">
        <f t="shared" si="56"/>
        <v>#DIV/0!</v>
      </c>
      <c r="AA222" s="538" t="e">
        <f>IF(INPUTS!$B$15="yes",Z222,Y222)</f>
        <v>#DIV/0!</v>
      </c>
      <c r="AB222" s="536" t="e">
        <f t="shared" si="57"/>
        <v>#DIV/0!</v>
      </c>
      <c r="AC222" s="537" t="e">
        <f t="shared" si="58"/>
        <v>#DIV/0!</v>
      </c>
      <c r="AD222" s="538" t="e">
        <f>IF(INPUTS!$B$15="yes",AC222,AB222)</f>
        <v>#DIV/0!</v>
      </c>
      <c r="AE222" s="36" t="str">
        <f t="shared" si="59"/>
        <v>no</v>
      </c>
      <c r="AF222" s="36"/>
      <c r="AG222" s="389" t="e">
        <f>P222*('upper bound Kenaga'!$F$36/100)</f>
        <v>#DIV/0!</v>
      </c>
      <c r="AH222" s="36"/>
      <c r="AI222" s="389" t="e">
        <f>P222*('upper bound Kenaga'!$F$96/100)</f>
        <v>#DIV/0!</v>
      </c>
      <c r="AJ222" s="36"/>
      <c r="AK222" s="36"/>
      <c r="AL222" s="36"/>
      <c r="AM222" s="36"/>
      <c r="AN222" s="36"/>
      <c r="AO222" s="36"/>
    </row>
    <row r="223" spans="10:41" s="1" customFormat="1">
      <c r="J223" s="6">
        <f>COUNTIF(K$21:K223,"=yes")</f>
        <v>1</v>
      </c>
      <c r="K223" s="533" t="str">
        <f>IF(LOOKUP(VALUE(M223),INPUTS!$G$6:$G$35)=M223,"yes","no")</f>
        <v>no</v>
      </c>
      <c r="L223" s="533">
        <f>IF(K223="yes",(LOOKUP(J223,INPUTS!$E$6:$E$35,INPUTS!$F$6:$F$35)),0)</f>
        <v>0</v>
      </c>
      <c r="M223" s="135">
        <f t="shared" si="60"/>
        <v>202</v>
      </c>
      <c r="N223" s="135">
        <f t="shared" si="61"/>
        <v>1</v>
      </c>
      <c r="O223" s="135">
        <f t="shared" si="62"/>
        <v>0</v>
      </c>
      <c r="P223" s="536" t="e">
        <f t="shared" ref="P223:P286" si="63">IF((N223&gt;N222),(EXP(-$R$16)*(P222)+$R$11),((EXP(-$R$16)*(P222))))</f>
        <v>#DIV/0!</v>
      </c>
      <c r="Q223" s="537" t="e">
        <f t="shared" si="50"/>
        <v>#DIV/0!</v>
      </c>
      <c r="R223" s="538" t="e">
        <f>IF(INPUTS!$B$15="yes",Q223,P223)</f>
        <v>#DIV/0!</v>
      </c>
      <c r="S223" s="536" t="e">
        <f t="shared" si="51"/>
        <v>#DIV/0!</v>
      </c>
      <c r="T223" s="537" t="e">
        <f t="shared" si="52"/>
        <v>#DIV/0!</v>
      </c>
      <c r="U223" s="538" t="e">
        <f>IF(INPUTS!$B$15="yes",T223,S223)</f>
        <v>#DIV/0!</v>
      </c>
      <c r="V223" s="536" t="e">
        <f t="shared" si="53"/>
        <v>#DIV/0!</v>
      </c>
      <c r="W223" s="537" t="e">
        <f t="shared" si="54"/>
        <v>#DIV/0!</v>
      </c>
      <c r="X223" s="538" t="e">
        <f>IF(INPUTS!$B$15="yes",W223,V223)</f>
        <v>#DIV/0!</v>
      </c>
      <c r="Y223" s="536" t="e">
        <f t="shared" si="55"/>
        <v>#DIV/0!</v>
      </c>
      <c r="Z223" s="537" t="e">
        <f t="shared" si="56"/>
        <v>#DIV/0!</v>
      </c>
      <c r="AA223" s="538" t="e">
        <f>IF(INPUTS!$B$15="yes",Z223,Y223)</f>
        <v>#DIV/0!</v>
      </c>
      <c r="AB223" s="536" t="e">
        <f t="shared" si="57"/>
        <v>#DIV/0!</v>
      </c>
      <c r="AC223" s="537" t="e">
        <f t="shared" si="58"/>
        <v>#DIV/0!</v>
      </c>
      <c r="AD223" s="538" t="e">
        <f>IF(INPUTS!$B$15="yes",AC223,AB223)</f>
        <v>#DIV/0!</v>
      </c>
      <c r="AE223" s="36" t="str">
        <f t="shared" si="59"/>
        <v>no</v>
      </c>
      <c r="AF223" s="36"/>
      <c r="AG223" s="389" t="e">
        <f>P223*('upper bound Kenaga'!$F$36/100)</f>
        <v>#DIV/0!</v>
      </c>
      <c r="AH223" s="36"/>
      <c r="AI223" s="389" t="e">
        <f>P223*('upper bound Kenaga'!$F$96/100)</f>
        <v>#DIV/0!</v>
      </c>
      <c r="AJ223" s="36"/>
      <c r="AK223" s="36"/>
      <c r="AL223" s="36"/>
      <c r="AM223" s="36"/>
      <c r="AN223" s="36"/>
      <c r="AO223" s="36"/>
    </row>
    <row r="224" spans="10:41" s="1" customFormat="1">
      <c r="J224" s="6">
        <f>COUNTIF(K$21:K224,"=yes")</f>
        <v>1</v>
      </c>
      <c r="K224" s="533" t="str">
        <f>IF(LOOKUP(VALUE(M224),INPUTS!$G$6:$G$35)=M224,"yes","no")</f>
        <v>no</v>
      </c>
      <c r="L224" s="533">
        <f>IF(K224="yes",(LOOKUP(J224,INPUTS!$E$6:$E$35,INPUTS!$F$6:$F$35)),0)</f>
        <v>0</v>
      </c>
      <c r="M224" s="135">
        <f t="shared" si="60"/>
        <v>203</v>
      </c>
      <c r="N224" s="135">
        <f t="shared" si="61"/>
        <v>1</v>
      </c>
      <c r="O224" s="135">
        <f t="shared" si="62"/>
        <v>0</v>
      </c>
      <c r="P224" s="536" t="e">
        <f t="shared" si="63"/>
        <v>#DIV/0!</v>
      </c>
      <c r="Q224" s="537" t="e">
        <f t="shared" si="50"/>
        <v>#DIV/0!</v>
      </c>
      <c r="R224" s="538" t="e">
        <f>IF(INPUTS!$B$15="yes",Q224,P224)</f>
        <v>#DIV/0!</v>
      </c>
      <c r="S224" s="536" t="e">
        <f t="shared" si="51"/>
        <v>#DIV/0!</v>
      </c>
      <c r="T224" s="537" t="e">
        <f t="shared" si="52"/>
        <v>#DIV/0!</v>
      </c>
      <c r="U224" s="538" t="e">
        <f>IF(INPUTS!$B$15="yes",T224,S224)</f>
        <v>#DIV/0!</v>
      </c>
      <c r="V224" s="536" t="e">
        <f t="shared" si="53"/>
        <v>#DIV/0!</v>
      </c>
      <c r="W224" s="537" t="e">
        <f t="shared" si="54"/>
        <v>#DIV/0!</v>
      </c>
      <c r="X224" s="538" t="e">
        <f>IF(INPUTS!$B$15="yes",W224,V224)</f>
        <v>#DIV/0!</v>
      </c>
      <c r="Y224" s="536" t="e">
        <f t="shared" si="55"/>
        <v>#DIV/0!</v>
      </c>
      <c r="Z224" s="537" t="e">
        <f t="shared" si="56"/>
        <v>#DIV/0!</v>
      </c>
      <c r="AA224" s="538" t="e">
        <f>IF(INPUTS!$B$15="yes",Z224,Y224)</f>
        <v>#DIV/0!</v>
      </c>
      <c r="AB224" s="536" t="e">
        <f t="shared" si="57"/>
        <v>#DIV/0!</v>
      </c>
      <c r="AC224" s="537" t="e">
        <f t="shared" si="58"/>
        <v>#DIV/0!</v>
      </c>
      <c r="AD224" s="538" t="e">
        <f>IF(INPUTS!$B$15="yes",AC224,AB224)</f>
        <v>#DIV/0!</v>
      </c>
      <c r="AE224" s="36" t="str">
        <f t="shared" si="59"/>
        <v>no</v>
      </c>
      <c r="AF224" s="36"/>
      <c r="AG224" s="389" t="e">
        <f>P224*('upper bound Kenaga'!$F$36/100)</f>
        <v>#DIV/0!</v>
      </c>
      <c r="AH224" s="36"/>
      <c r="AI224" s="389" t="e">
        <f>P224*('upper bound Kenaga'!$F$96/100)</f>
        <v>#DIV/0!</v>
      </c>
      <c r="AJ224" s="36"/>
      <c r="AK224" s="36"/>
      <c r="AL224" s="36"/>
      <c r="AM224" s="36"/>
      <c r="AN224" s="36"/>
      <c r="AO224" s="36"/>
    </row>
    <row r="225" spans="10:41" s="1" customFormat="1">
      <c r="J225" s="6">
        <f>COUNTIF(K$21:K225,"=yes")</f>
        <v>1</v>
      </c>
      <c r="K225" s="533" t="str">
        <f>IF(LOOKUP(VALUE(M225),INPUTS!$G$6:$G$35)=M225,"yes","no")</f>
        <v>no</v>
      </c>
      <c r="L225" s="533">
        <f>IF(K225="yes",(LOOKUP(J225,INPUTS!$E$6:$E$35,INPUTS!$F$6:$F$35)),0)</f>
        <v>0</v>
      </c>
      <c r="M225" s="135">
        <f t="shared" si="60"/>
        <v>204</v>
      </c>
      <c r="N225" s="135">
        <f t="shared" si="61"/>
        <v>1</v>
      </c>
      <c r="O225" s="135">
        <f t="shared" si="62"/>
        <v>0</v>
      </c>
      <c r="P225" s="536" t="e">
        <f t="shared" si="63"/>
        <v>#DIV/0!</v>
      </c>
      <c r="Q225" s="537" t="e">
        <f t="shared" si="50"/>
        <v>#DIV/0!</v>
      </c>
      <c r="R225" s="538" t="e">
        <f>IF(INPUTS!$B$15="yes",Q225,P225)</f>
        <v>#DIV/0!</v>
      </c>
      <c r="S225" s="536" t="e">
        <f t="shared" si="51"/>
        <v>#DIV/0!</v>
      </c>
      <c r="T225" s="537" t="e">
        <f t="shared" si="52"/>
        <v>#DIV/0!</v>
      </c>
      <c r="U225" s="538" t="e">
        <f>IF(INPUTS!$B$15="yes",T225,S225)</f>
        <v>#DIV/0!</v>
      </c>
      <c r="V225" s="536" t="e">
        <f t="shared" si="53"/>
        <v>#DIV/0!</v>
      </c>
      <c r="W225" s="537" t="e">
        <f t="shared" si="54"/>
        <v>#DIV/0!</v>
      </c>
      <c r="X225" s="538" t="e">
        <f>IF(INPUTS!$B$15="yes",W225,V225)</f>
        <v>#DIV/0!</v>
      </c>
      <c r="Y225" s="536" t="e">
        <f t="shared" si="55"/>
        <v>#DIV/0!</v>
      </c>
      <c r="Z225" s="537" t="e">
        <f t="shared" si="56"/>
        <v>#DIV/0!</v>
      </c>
      <c r="AA225" s="538" t="e">
        <f>IF(INPUTS!$B$15="yes",Z225,Y225)</f>
        <v>#DIV/0!</v>
      </c>
      <c r="AB225" s="536" t="e">
        <f t="shared" si="57"/>
        <v>#DIV/0!</v>
      </c>
      <c r="AC225" s="537" t="e">
        <f t="shared" si="58"/>
        <v>#DIV/0!</v>
      </c>
      <c r="AD225" s="538" t="e">
        <f>IF(INPUTS!$B$15="yes",AC225,AB225)</f>
        <v>#DIV/0!</v>
      </c>
      <c r="AE225" s="36" t="str">
        <f t="shared" si="59"/>
        <v>no</v>
      </c>
      <c r="AF225" s="36"/>
      <c r="AG225" s="389" t="e">
        <f>P225*('upper bound Kenaga'!$F$36/100)</f>
        <v>#DIV/0!</v>
      </c>
      <c r="AH225" s="36"/>
      <c r="AI225" s="389" t="e">
        <f>P225*('upper bound Kenaga'!$F$96/100)</f>
        <v>#DIV/0!</v>
      </c>
      <c r="AJ225" s="36"/>
      <c r="AK225" s="36"/>
      <c r="AL225" s="36"/>
      <c r="AM225" s="36"/>
      <c r="AN225" s="36"/>
      <c r="AO225" s="36"/>
    </row>
    <row r="226" spans="10:41" s="1" customFormat="1">
      <c r="J226" s="6">
        <f>COUNTIF(K$21:K226,"=yes")</f>
        <v>1</v>
      </c>
      <c r="K226" s="533" t="str">
        <f>IF(LOOKUP(VALUE(M226),INPUTS!$G$6:$G$35)=M226,"yes","no")</f>
        <v>no</v>
      </c>
      <c r="L226" s="533">
        <f>IF(K226="yes",(LOOKUP(J226,INPUTS!$E$6:$E$35,INPUTS!$F$6:$F$35)),0)</f>
        <v>0</v>
      </c>
      <c r="M226" s="135">
        <f t="shared" si="60"/>
        <v>205</v>
      </c>
      <c r="N226" s="135">
        <f t="shared" si="61"/>
        <v>1</v>
      </c>
      <c r="O226" s="135">
        <f t="shared" si="62"/>
        <v>0</v>
      </c>
      <c r="P226" s="536" t="e">
        <f t="shared" si="63"/>
        <v>#DIV/0!</v>
      </c>
      <c r="Q226" s="537" t="e">
        <f t="shared" si="50"/>
        <v>#DIV/0!</v>
      </c>
      <c r="R226" s="538" t="e">
        <f>IF(INPUTS!$B$15="yes",Q226,P226)</f>
        <v>#DIV/0!</v>
      </c>
      <c r="S226" s="536" t="e">
        <f t="shared" si="51"/>
        <v>#DIV/0!</v>
      </c>
      <c r="T226" s="537" t="e">
        <f t="shared" si="52"/>
        <v>#DIV/0!</v>
      </c>
      <c r="U226" s="538" t="e">
        <f>IF(INPUTS!$B$15="yes",T226,S226)</f>
        <v>#DIV/0!</v>
      </c>
      <c r="V226" s="536" t="e">
        <f t="shared" si="53"/>
        <v>#DIV/0!</v>
      </c>
      <c r="W226" s="537" t="e">
        <f t="shared" si="54"/>
        <v>#DIV/0!</v>
      </c>
      <c r="X226" s="538" t="e">
        <f>IF(INPUTS!$B$15="yes",W226,V226)</f>
        <v>#DIV/0!</v>
      </c>
      <c r="Y226" s="536" t="e">
        <f t="shared" si="55"/>
        <v>#DIV/0!</v>
      </c>
      <c r="Z226" s="537" t="e">
        <f t="shared" si="56"/>
        <v>#DIV/0!</v>
      </c>
      <c r="AA226" s="538" t="e">
        <f>IF(INPUTS!$B$15="yes",Z226,Y226)</f>
        <v>#DIV/0!</v>
      </c>
      <c r="AB226" s="536" t="e">
        <f t="shared" si="57"/>
        <v>#DIV/0!</v>
      </c>
      <c r="AC226" s="537" t="e">
        <f t="shared" si="58"/>
        <v>#DIV/0!</v>
      </c>
      <c r="AD226" s="538" t="e">
        <f>IF(INPUTS!$B$15="yes",AC226,AB226)</f>
        <v>#DIV/0!</v>
      </c>
      <c r="AE226" s="36" t="str">
        <f t="shared" si="59"/>
        <v>no</v>
      </c>
      <c r="AF226" s="36"/>
      <c r="AG226" s="389" t="e">
        <f>P226*('upper bound Kenaga'!$F$36/100)</f>
        <v>#DIV/0!</v>
      </c>
      <c r="AH226" s="36"/>
      <c r="AI226" s="389" t="e">
        <f>P226*('upper bound Kenaga'!$F$96/100)</f>
        <v>#DIV/0!</v>
      </c>
      <c r="AJ226" s="36"/>
      <c r="AK226" s="36"/>
      <c r="AL226" s="36"/>
      <c r="AM226" s="36"/>
      <c r="AN226" s="36"/>
      <c r="AO226" s="36"/>
    </row>
    <row r="227" spans="10:41" s="1" customFormat="1">
      <c r="J227" s="6">
        <f>COUNTIF(K$21:K227,"=yes")</f>
        <v>1</v>
      </c>
      <c r="K227" s="533" t="str">
        <f>IF(LOOKUP(VALUE(M227),INPUTS!$G$6:$G$35)=M227,"yes","no")</f>
        <v>no</v>
      </c>
      <c r="L227" s="533">
        <f>IF(K227="yes",(LOOKUP(J227,INPUTS!$E$6:$E$35,INPUTS!$F$6:$F$35)),0)</f>
        <v>0</v>
      </c>
      <c r="M227" s="135">
        <f t="shared" si="60"/>
        <v>206</v>
      </c>
      <c r="N227" s="135">
        <f t="shared" si="61"/>
        <v>1</v>
      </c>
      <c r="O227" s="135">
        <f t="shared" si="62"/>
        <v>0</v>
      </c>
      <c r="P227" s="536" t="e">
        <f t="shared" si="63"/>
        <v>#DIV/0!</v>
      </c>
      <c r="Q227" s="537" t="e">
        <f t="shared" si="50"/>
        <v>#DIV/0!</v>
      </c>
      <c r="R227" s="538" t="e">
        <f>IF(INPUTS!$B$15="yes",Q227,P227)</f>
        <v>#DIV/0!</v>
      </c>
      <c r="S227" s="536" t="e">
        <f t="shared" si="51"/>
        <v>#DIV/0!</v>
      </c>
      <c r="T227" s="537" t="e">
        <f t="shared" si="52"/>
        <v>#DIV/0!</v>
      </c>
      <c r="U227" s="538" t="e">
        <f>IF(INPUTS!$B$15="yes",T227,S227)</f>
        <v>#DIV/0!</v>
      </c>
      <c r="V227" s="536" t="e">
        <f t="shared" si="53"/>
        <v>#DIV/0!</v>
      </c>
      <c r="W227" s="537" t="e">
        <f t="shared" si="54"/>
        <v>#DIV/0!</v>
      </c>
      <c r="X227" s="538" t="e">
        <f>IF(INPUTS!$B$15="yes",W227,V227)</f>
        <v>#DIV/0!</v>
      </c>
      <c r="Y227" s="536" t="e">
        <f t="shared" si="55"/>
        <v>#DIV/0!</v>
      </c>
      <c r="Z227" s="537" t="e">
        <f t="shared" si="56"/>
        <v>#DIV/0!</v>
      </c>
      <c r="AA227" s="538" t="e">
        <f>IF(INPUTS!$B$15="yes",Z227,Y227)</f>
        <v>#DIV/0!</v>
      </c>
      <c r="AB227" s="536" t="e">
        <f t="shared" si="57"/>
        <v>#DIV/0!</v>
      </c>
      <c r="AC227" s="537" t="e">
        <f t="shared" si="58"/>
        <v>#DIV/0!</v>
      </c>
      <c r="AD227" s="538" t="e">
        <f>IF(INPUTS!$B$15="yes",AC227,AB227)</f>
        <v>#DIV/0!</v>
      </c>
      <c r="AE227" s="36" t="str">
        <f t="shared" si="59"/>
        <v>no</v>
      </c>
      <c r="AF227" s="36"/>
      <c r="AG227" s="389" t="e">
        <f>P227*('upper bound Kenaga'!$F$36/100)</f>
        <v>#DIV/0!</v>
      </c>
      <c r="AH227" s="36"/>
      <c r="AI227" s="389" t="e">
        <f>P227*('upper bound Kenaga'!$F$96/100)</f>
        <v>#DIV/0!</v>
      </c>
      <c r="AJ227" s="36"/>
      <c r="AK227" s="36"/>
      <c r="AL227" s="36"/>
      <c r="AM227" s="36"/>
      <c r="AN227" s="36"/>
      <c r="AO227" s="36"/>
    </row>
    <row r="228" spans="10:41" s="1" customFormat="1">
      <c r="J228" s="6">
        <f>COUNTIF(K$21:K228,"=yes")</f>
        <v>1</v>
      </c>
      <c r="K228" s="533" t="str">
        <f>IF(LOOKUP(VALUE(M228),INPUTS!$G$6:$G$35)=M228,"yes","no")</f>
        <v>no</v>
      </c>
      <c r="L228" s="533">
        <f>IF(K228="yes",(LOOKUP(J228,INPUTS!$E$6:$E$35,INPUTS!$F$6:$F$35)),0)</f>
        <v>0</v>
      </c>
      <c r="M228" s="135">
        <f t="shared" si="60"/>
        <v>207</v>
      </c>
      <c r="N228" s="135">
        <f t="shared" si="61"/>
        <v>1</v>
      </c>
      <c r="O228" s="135">
        <f t="shared" si="62"/>
        <v>0</v>
      </c>
      <c r="P228" s="536" t="e">
        <f t="shared" si="63"/>
        <v>#DIV/0!</v>
      </c>
      <c r="Q228" s="537" t="e">
        <f t="shared" si="50"/>
        <v>#DIV/0!</v>
      </c>
      <c r="R228" s="538" t="e">
        <f>IF(INPUTS!$B$15="yes",Q228,P228)</f>
        <v>#DIV/0!</v>
      </c>
      <c r="S228" s="536" t="e">
        <f t="shared" si="51"/>
        <v>#DIV/0!</v>
      </c>
      <c r="T228" s="537" t="e">
        <f t="shared" si="52"/>
        <v>#DIV/0!</v>
      </c>
      <c r="U228" s="538" t="e">
        <f>IF(INPUTS!$B$15="yes",T228,S228)</f>
        <v>#DIV/0!</v>
      </c>
      <c r="V228" s="536" t="e">
        <f t="shared" si="53"/>
        <v>#DIV/0!</v>
      </c>
      <c r="W228" s="537" t="e">
        <f t="shared" si="54"/>
        <v>#DIV/0!</v>
      </c>
      <c r="X228" s="538" t="e">
        <f>IF(INPUTS!$B$15="yes",W228,V228)</f>
        <v>#DIV/0!</v>
      </c>
      <c r="Y228" s="536" t="e">
        <f t="shared" si="55"/>
        <v>#DIV/0!</v>
      </c>
      <c r="Z228" s="537" t="e">
        <f t="shared" si="56"/>
        <v>#DIV/0!</v>
      </c>
      <c r="AA228" s="538" t="e">
        <f>IF(INPUTS!$B$15="yes",Z228,Y228)</f>
        <v>#DIV/0!</v>
      </c>
      <c r="AB228" s="536" t="e">
        <f t="shared" si="57"/>
        <v>#DIV/0!</v>
      </c>
      <c r="AC228" s="537" t="e">
        <f t="shared" si="58"/>
        <v>#DIV/0!</v>
      </c>
      <c r="AD228" s="538" t="e">
        <f>IF(INPUTS!$B$15="yes",AC228,AB228)</f>
        <v>#DIV/0!</v>
      </c>
      <c r="AE228" s="36" t="str">
        <f t="shared" si="59"/>
        <v>no</v>
      </c>
      <c r="AF228" s="36"/>
      <c r="AG228" s="389" t="e">
        <f>P228*('upper bound Kenaga'!$F$36/100)</f>
        <v>#DIV/0!</v>
      </c>
      <c r="AH228" s="36"/>
      <c r="AI228" s="389" t="e">
        <f>P228*('upper bound Kenaga'!$F$96/100)</f>
        <v>#DIV/0!</v>
      </c>
      <c r="AJ228" s="36"/>
      <c r="AK228" s="36"/>
      <c r="AL228" s="36"/>
      <c r="AM228" s="36"/>
      <c r="AN228" s="36"/>
      <c r="AO228" s="36"/>
    </row>
    <row r="229" spans="10:41" s="1" customFormat="1">
      <c r="J229" s="6">
        <f>COUNTIF(K$21:K229,"=yes")</f>
        <v>1</v>
      </c>
      <c r="K229" s="533" t="str">
        <f>IF(LOOKUP(VALUE(M229),INPUTS!$G$6:$G$35)=M229,"yes","no")</f>
        <v>no</v>
      </c>
      <c r="L229" s="533">
        <f>IF(K229="yes",(LOOKUP(J229,INPUTS!$E$6:$E$35,INPUTS!$F$6:$F$35)),0)</f>
        <v>0</v>
      </c>
      <c r="M229" s="135">
        <f t="shared" si="60"/>
        <v>208</v>
      </c>
      <c r="N229" s="135">
        <f t="shared" si="61"/>
        <v>1</v>
      </c>
      <c r="O229" s="135">
        <f t="shared" si="62"/>
        <v>0</v>
      </c>
      <c r="P229" s="536" t="e">
        <f t="shared" si="63"/>
        <v>#DIV/0!</v>
      </c>
      <c r="Q229" s="537" t="e">
        <f t="shared" si="50"/>
        <v>#DIV/0!</v>
      </c>
      <c r="R229" s="538" t="e">
        <f>IF(INPUTS!$B$15="yes",Q229,P229)</f>
        <v>#DIV/0!</v>
      </c>
      <c r="S229" s="536" t="e">
        <f t="shared" si="51"/>
        <v>#DIV/0!</v>
      </c>
      <c r="T229" s="537" t="e">
        <f t="shared" si="52"/>
        <v>#DIV/0!</v>
      </c>
      <c r="U229" s="538" t="e">
        <f>IF(INPUTS!$B$15="yes",T229,S229)</f>
        <v>#DIV/0!</v>
      </c>
      <c r="V229" s="536" t="e">
        <f t="shared" si="53"/>
        <v>#DIV/0!</v>
      </c>
      <c r="W229" s="537" t="e">
        <f t="shared" si="54"/>
        <v>#DIV/0!</v>
      </c>
      <c r="X229" s="538" t="e">
        <f>IF(INPUTS!$B$15="yes",W229,V229)</f>
        <v>#DIV/0!</v>
      </c>
      <c r="Y229" s="536" t="e">
        <f t="shared" si="55"/>
        <v>#DIV/0!</v>
      </c>
      <c r="Z229" s="537" t="e">
        <f t="shared" si="56"/>
        <v>#DIV/0!</v>
      </c>
      <c r="AA229" s="538" t="e">
        <f>IF(INPUTS!$B$15="yes",Z229,Y229)</f>
        <v>#DIV/0!</v>
      </c>
      <c r="AB229" s="536" t="e">
        <f t="shared" si="57"/>
        <v>#DIV/0!</v>
      </c>
      <c r="AC229" s="537" t="e">
        <f t="shared" si="58"/>
        <v>#DIV/0!</v>
      </c>
      <c r="AD229" s="538" t="e">
        <f>IF(INPUTS!$B$15="yes",AC229,AB229)</f>
        <v>#DIV/0!</v>
      </c>
      <c r="AE229" s="36" t="str">
        <f t="shared" si="59"/>
        <v>no</v>
      </c>
      <c r="AF229" s="36"/>
      <c r="AG229" s="389" t="e">
        <f>P229*('upper bound Kenaga'!$F$36/100)</f>
        <v>#DIV/0!</v>
      </c>
      <c r="AH229" s="36"/>
      <c r="AI229" s="389" t="e">
        <f>P229*('upper bound Kenaga'!$F$96/100)</f>
        <v>#DIV/0!</v>
      </c>
      <c r="AJ229" s="36"/>
      <c r="AK229" s="36"/>
      <c r="AL229" s="36"/>
      <c r="AM229" s="36"/>
      <c r="AN229" s="36"/>
      <c r="AO229" s="36"/>
    </row>
    <row r="230" spans="10:41" s="1" customFormat="1">
      <c r="J230" s="6">
        <f>COUNTIF(K$21:K230,"=yes")</f>
        <v>1</v>
      </c>
      <c r="K230" s="533" t="str">
        <f>IF(LOOKUP(VALUE(M230),INPUTS!$G$6:$G$35)=M230,"yes","no")</f>
        <v>no</v>
      </c>
      <c r="L230" s="533">
        <f>IF(K230="yes",(LOOKUP(J230,INPUTS!$E$6:$E$35,INPUTS!$F$6:$F$35)),0)</f>
        <v>0</v>
      </c>
      <c r="M230" s="135">
        <f t="shared" si="60"/>
        <v>209</v>
      </c>
      <c r="N230" s="135">
        <f t="shared" si="61"/>
        <v>1</v>
      </c>
      <c r="O230" s="135">
        <f t="shared" si="62"/>
        <v>0</v>
      </c>
      <c r="P230" s="536" t="e">
        <f t="shared" si="63"/>
        <v>#DIV/0!</v>
      </c>
      <c r="Q230" s="537" t="e">
        <f t="shared" si="50"/>
        <v>#DIV/0!</v>
      </c>
      <c r="R230" s="538" t="e">
        <f>IF(INPUTS!$B$15="yes",Q230,P230)</f>
        <v>#DIV/0!</v>
      </c>
      <c r="S230" s="536" t="e">
        <f t="shared" si="51"/>
        <v>#DIV/0!</v>
      </c>
      <c r="T230" s="537" t="e">
        <f t="shared" si="52"/>
        <v>#DIV/0!</v>
      </c>
      <c r="U230" s="538" t="e">
        <f>IF(INPUTS!$B$15="yes",T230,S230)</f>
        <v>#DIV/0!</v>
      </c>
      <c r="V230" s="536" t="e">
        <f t="shared" si="53"/>
        <v>#DIV/0!</v>
      </c>
      <c r="W230" s="537" t="e">
        <f t="shared" si="54"/>
        <v>#DIV/0!</v>
      </c>
      <c r="X230" s="538" t="e">
        <f>IF(INPUTS!$B$15="yes",W230,V230)</f>
        <v>#DIV/0!</v>
      </c>
      <c r="Y230" s="536" t="e">
        <f t="shared" si="55"/>
        <v>#DIV/0!</v>
      </c>
      <c r="Z230" s="537" t="e">
        <f t="shared" si="56"/>
        <v>#DIV/0!</v>
      </c>
      <c r="AA230" s="538" t="e">
        <f>IF(INPUTS!$B$15="yes",Z230,Y230)</f>
        <v>#DIV/0!</v>
      </c>
      <c r="AB230" s="536" t="e">
        <f t="shared" si="57"/>
        <v>#DIV/0!</v>
      </c>
      <c r="AC230" s="537" t="e">
        <f t="shared" si="58"/>
        <v>#DIV/0!</v>
      </c>
      <c r="AD230" s="538" t="e">
        <f>IF(INPUTS!$B$15="yes",AC230,AB230)</f>
        <v>#DIV/0!</v>
      </c>
      <c r="AE230" s="36" t="str">
        <f t="shared" si="59"/>
        <v>no</v>
      </c>
      <c r="AF230" s="36"/>
      <c r="AG230" s="389" t="e">
        <f>P230*('upper bound Kenaga'!$F$36/100)</f>
        <v>#DIV/0!</v>
      </c>
      <c r="AH230" s="36"/>
      <c r="AI230" s="389" t="e">
        <f>P230*('upper bound Kenaga'!$F$96/100)</f>
        <v>#DIV/0!</v>
      </c>
      <c r="AJ230" s="36"/>
      <c r="AK230" s="36"/>
      <c r="AL230" s="36"/>
      <c r="AM230" s="36"/>
      <c r="AN230" s="36"/>
      <c r="AO230" s="36"/>
    </row>
    <row r="231" spans="10:41" s="1" customFormat="1">
      <c r="J231" s="6">
        <f>COUNTIF(K$21:K231,"=yes")</f>
        <v>1</v>
      </c>
      <c r="K231" s="533" t="str">
        <f>IF(LOOKUP(VALUE(M231),INPUTS!$G$6:$G$35)=M231,"yes","no")</f>
        <v>no</v>
      </c>
      <c r="L231" s="533">
        <f>IF(K231="yes",(LOOKUP(J231,INPUTS!$E$6:$E$35,INPUTS!$F$6:$F$35)),0)</f>
        <v>0</v>
      </c>
      <c r="M231" s="135">
        <f t="shared" si="60"/>
        <v>210</v>
      </c>
      <c r="N231" s="135">
        <f t="shared" si="61"/>
        <v>1</v>
      </c>
      <c r="O231" s="135">
        <f t="shared" si="62"/>
        <v>0</v>
      </c>
      <c r="P231" s="536" t="e">
        <f t="shared" si="63"/>
        <v>#DIV/0!</v>
      </c>
      <c r="Q231" s="537" t="e">
        <f t="shared" si="50"/>
        <v>#DIV/0!</v>
      </c>
      <c r="R231" s="538" t="e">
        <f>IF(INPUTS!$B$15="yes",Q231,P231)</f>
        <v>#DIV/0!</v>
      </c>
      <c r="S231" s="536" t="e">
        <f t="shared" si="51"/>
        <v>#DIV/0!</v>
      </c>
      <c r="T231" s="537" t="e">
        <f t="shared" si="52"/>
        <v>#DIV/0!</v>
      </c>
      <c r="U231" s="538" t="e">
        <f>IF(INPUTS!$B$15="yes",T231,S231)</f>
        <v>#DIV/0!</v>
      </c>
      <c r="V231" s="536" t="e">
        <f t="shared" si="53"/>
        <v>#DIV/0!</v>
      </c>
      <c r="W231" s="537" t="e">
        <f t="shared" si="54"/>
        <v>#DIV/0!</v>
      </c>
      <c r="X231" s="538" t="e">
        <f>IF(INPUTS!$B$15="yes",W231,V231)</f>
        <v>#DIV/0!</v>
      </c>
      <c r="Y231" s="536" t="e">
        <f t="shared" si="55"/>
        <v>#DIV/0!</v>
      </c>
      <c r="Z231" s="537" t="e">
        <f t="shared" si="56"/>
        <v>#DIV/0!</v>
      </c>
      <c r="AA231" s="538" t="e">
        <f>IF(INPUTS!$B$15="yes",Z231,Y231)</f>
        <v>#DIV/0!</v>
      </c>
      <c r="AB231" s="536" t="e">
        <f t="shared" si="57"/>
        <v>#DIV/0!</v>
      </c>
      <c r="AC231" s="537" t="e">
        <f t="shared" si="58"/>
        <v>#DIV/0!</v>
      </c>
      <c r="AD231" s="538" t="e">
        <f>IF(INPUTS!$B$15="yes",AC231,AB231)</f>
        <v>#DIV/0!</v>
      </c>
      <c r="AE231" s="36" t="str">
        <f t="shared" si="59"/>
        <v>no</v>
      </c>
      <c r="AF231" s="36"/>
      <c r="AG231" s="389" t="e">
        <f>P231*('upper bound Kenaga'!$F$36/100)</f>
        <v>#DIV/0!</v>
      </c>
      <c r="AH231" s="36"/>
      <c r="AI231" s="389" t="e">
        <f>P231*('upper bound Kenaga'!$F$96/100)</f>
        <v>#DIV/0!</v>
      </c>
      <c r="AJ231" s="36"/>
      <c r="AK231" s="36"/>
      <c r="AL231" s="36"/>
      <c r="AM231" s="36"/>
      <c r="AN231" s="36"/>
      <c r="AO231" s="36"/>
    </row>
    <row r="232" spans="10:41" s="1" customFormat="1">
      <c r="J232" s="6">
        <f>COUNTIF(K$21:K232,"=yes")</f>
        <v>1</v>
      </c>
      <c r="K232" s="533" t="str">
        <f>IF(LOOKUP(VALUE(M232),INPUTS!$G$6:$G$35)=M232,"yes","no")</f>
        <v>no</v>
      </c>
      <c r="L232" s="533">
        <f>IF(K232="yes",(LOOKUP(J232,INPUTS!$E$6:$E$35,INPUTS!$F$6:$F$35)),0)</f>
        <v>0</v>
      </c>
      <c r="M232" s="135">
        <f t="shared" si="60"/>
        <v>211</v>
      </c>
      <c r="N232" s="135">
        <f t="shared" si="61"/>
        <v>1</v>
      </c>
      <c r="O232" s="135">
        <f t="shared" si="62"/>
        <v>0</v>
      </c>
      <c r="P232" s="536" t="e">
        <f t="shared" si="63"/>
        <v>#DIV/0!</v>
      </c>
      <c r="Q232" s="537" t="e">
        <f t="shared" si="50"/>
        <v>#DIV/0!</v>
      </c>
      <c r="R232" s="538" t="e">
        <f>IF(INPUTS!$B$15="yes",Q232,P232)</f>
        <v>#DIV/0!</v>
      </c>
      <c r="S232" s="536" t="e">
        <f t="shared" si="51"/>
        <v>#DIV/0!</v>
      </c>
      <c r="T232" s="537" t="e">
        <f t="shared" si="52"/>
        <v>#DIV/0!</v>
      </c>
      <c r="U232" s="538" t="e">
        <f>IF(INPUTS!$B$15="yes",T232,S232)</f>
        <v>#DIV/0!</v>
      </c>
      <c r="V232" s="536" t="e">
        <f t="shared" si="53"/>
        <v>#DIV/0!</v>
      </c>
      <c r="W232" s="537" t="e">
        <f t="shared" si="54"/>
        <v>#DIV/0!</v>
      </c>
      <c r="X232" s="538" t="e">
        <f>IF(INPUTS!$B$15="yes",W232,V232)</f>
        <v>#DIV/0!</v>
      </c>
      <c r="Y232" s="536" t="e">
        <f t="shared" si="55"/>
        <v>#DIV/0!</v>
      </c>
      <c r="Z232" s="537" t="e">
        <f t="shared" si="56"/>
        <v>#DIV/0!</v>
      </c>
      <c r="AA232" s="538" t="e">
        <f>IF(INPUTS!$B$15="yes",Z232,Y232)</f>
        <v>#DIV/0!</v>
      </c>
      <c r="AB232" s="536" t="e">
        <f t="shared" si="57"/>
        <v>#DIV/0!</v>
      </c>
      <c r="AC232" s="537" t="e">
        <f t="shared" si="58"/>
        <v>#DIV/0!</v>
      </c>
      <c r="AD232" s="538" t="e">
        <f>IF(INPUTS!$B$15="yes",AC232,AB232)</f>
        <v>#DIV/0!</v>
      </c>
      <c r="AE232" s="36" t="str">
        <f t="shared" si="59"/>
        <v>no</v>
      </c>
      <c r="AF232" s="36"/>
      <c r="AG232" s="389" t="e">
        <f>P232*('upper bound Kenaga'!$F$36/100)</f>
        <v>#DIV/0!</v>
      </c>
      <c r="AH232" s="36"/>
      <c r="AI232" s="389" t="e">
        <f>P232*('upper bound Kenaga'!$F$96/100)</f>
        <v>#DIV/0!</v>
      </c>
      <c r="AJ232" s="36"/>
      <c r="AK232" s="36"/>
      <c r="AL232" s="36"/>
      <c r="AM232" s="36"/>
      <c r="AN232" s="36"/>
      <c r="AO232" s="36"/>
    </row>
    <row r="233" spans="10:41" s="1" customFormat="1">
      <c r="J233" s="6">
        <f>COUNTIF(K$21:K233,"=yes")</f>
        <v>1</v>
      </c>
      <c r="K233" s="533" t="str">
        <f>IF(LOOKUP(VALUE(M233),INPUTS!$G$6:$G$35)=M233,"yes","no")</f>
        <v>no</v>
      </c>
      <c r="L233" s="533">
        <f>IF(K233="yes",(LOOKUP(J233,INPUTS!$E$6:$E$35,INPUTS!$F$6:$F$35)),0)</f>
        <v>0</v>
      </c>
      <c r="M233" s="135">
        <f t="shared" si="60"/>
        <v>212</v>
      </c>
      <c r="N233" s="135">
        <f t="shared" si="61"/>
        <v>1</v>
      </c>
      <c r="O233" s="135">
        <f t="shared" si="62"/>
        <v>0</v>
      </c>
      <c r="P233" s="536" t="e">
        <f t="shared" si="63"/>
        <v>#DIV/0!</v>
      </c>
      <c r="Q233" s="537" t="e">
        <f t="shared" si="50"/>
        <v>#DIV/0!</v>
      </c>
      <c r="R233" s="538" t="e">
        <f>IF(INPUTS!$B$15="yes",Q233,P233)</f>
        <v>#DIV/0!</v>
      </c>
      <c r="S233" s="536" t="e">
        <f t="shared" si="51"/>
        <v>#DIV/0!</v>
      </c>
      <c r="T233" s="537" t="e">
        <f t="shared" si="52"/>
        <v>#DIV/0!</v>
      </c>
      <c r="U233" s="538" t="e">
        <f>IF(INPUTS!$B$15="yes",T233,S233)</f>
        <v>#DIV/0!</v>
      </c>
      <c r="V233" s="536" t="e">
        <f t="shared" si="53"/>
        <v>#DIV/0!</v>
      </c>
      <c r="W233" s="537" t="e">
        <f t="shared" si="54"/>
        <v>#DIV/0!</v>
      </c>
      <c r="X233" s="538" t="e">
        <f>IF(INPUTS!$B$15="yes",W233,V233)</f>
        <v>#DIV/0!</v>
      </c>
      <c r="Y233" s="536" t="e">
        <f t="shared" si="55"/>
        <v>#DIV/0!</v>
      </c>
      <c r="Z233" s="537" t="e">
        <f t="shared" si="56"/>
        <v>#DIV/0!</v>
      </c>
      <c r="AA233" s="538" t="e">
        <f>IF(INPUTS!$B$15="yes",Z233,Y233)</f>
        <v>#DIV/0!</v>
      </c>
      <c r="AB233" s="536" t="e">
        <f t="shared" si="57"/>
        <v>#DIV/0!</v>
      </c>
      <c r="AC233" s="537" t="e">
        <f t="shared" si="58"/>
        <v>#DIV/0!</v>
      </c>
      <c r="AD233" s="538" t="e">
        <f>IF(INPUTS!$B$15="yes",AC233,AB233)</f>
        <v>#DIV/0!</v>
      </c>
      <c r="AE233" s="36" t="str">
        <f t="shared" si="59"/>
        <v>no</v>
      </c>
      <c r="AF233" s="36"/>
      <c r="AG233" s="389" t="e">
        <f>P233*('upper bound Kenaga'!$F$36/100)</f>
        <v>#DIV/0!</v>
      </c>
      <c r="AH233" s="36"/>
      <c r="AI233" s="389" t="e">
        <f>P233*('upper bound Kenaga'!$F$96/100)</f>
        <v>#DIV/0!</v>
      </c>
      <c r="AJ233" s="36"/>
      <c r="AK233" s="36"/>
      <c r="AL233" s="36"/>
      <c r="AM233" s="36"/>
      <c r="AN233" s="36"/>
      <c r="AO233" s="36"/>
    </row>
    <row r="234" spans="10:41" s="1" customFormat="1">
      <c r="J234" s="6">
        <f>COUNTIF(K$21:K234,"=yes")</f>
        <v>1</v>
      </c>
      <c r="K234" s="533" t="str">
        <f>IF(LOOKUP(VALUE(M234),INPUTS!$G$6:$G$35)=M234,"yes","no")</f>
        <v>no</v>
      </c>
      <c r="L234" s="533">
        <f>IF(K234="yes",(LOOKUP(J234,INPUTS!$E$6:$E$35,INPUTS!$F$6:$F$35)),0)</f>
        <v>0</v>
      </c>
      <c r="M234" s="135">
        <f t="shared" si="60"/>
        <v>213</v>
      </c>
      <c r="N234" s="135">
        <f t="shared" si="61"/>
        <v>1</v>
      </c>
      <c r="O234" s="135">
        <f t="shared" si="62"/>
        <v>0</v>
      </c>
      <c r="P234" s="536" t="e">
        <f t="shared" si="63"/>
        <v>#DIV/0!</v>
      </c>
      <c r="Q234" s="537" t="e">
        <f t="shared" si="50"/>
        <v>#DIV/0!</v>
      </c>
      <c r="R234" s="538" t="e">
        <f>IF(INPUTS!$B$15="yes",Q234,P234)</f>
        <v>#DIV/0!</v>
      </c>
      <c r="S234" s="536" t="e">
        <f t="shared" si="51"/>
        <v>#DIV/0!</v>
      </c>
      <c r="T234" s="537" t="e">
        <f t="shared" si="52"/>
        <v>#DIV/0!</v>
      </c>
      <c r="U234" s="538" t="e">
        <f>IF(INPUTS!$B$15="yes",T234,S234)</f>
        <v>#DIV/0!</v>
      </c>
      <c r="V234" s="536" t="e">
        <f t="shared" si="53"/>
        <v>#DIV/0!</v>
      </c>
      <c r="W234" s="537" t="e">
        <f t="shared" si="54"/>
        <v>#DIV/0!</v>
      </c>
      <c r="X234" s="538" t="e">
        <f>IF(INPUTS!$B$15="yes",W234,V234)</f>
        <v>#DIV/0!</v>
      </c>
      <c r="Y234" s="536" t="e">
        <f t="shared" si="55"/>
        <v>#DIV/0!</v>
      </c>
      <c r="Z234" s="537" t="e">
        <f t="shared" si="56"/>
        <v>#DIV/0!</v>
      </c>
      <c r="AA234" s="538" t="e">
        <f>IF(INPUTS!$B$15="yes",Z234,Y234)</f>
        <v>#DIV/0!</v>
      </c>
      <c r="AB234" s="536" t="e">
        <f t="shared" si="57"/>
        <v>#DIV/0!</v>
      </c>
      <c r="AC234" s="537" t="e">
        <f t="shared" si="58"/>
        <v>#DIV/0!</v>
      </c>
      <c r="AD234" s="538" t="e">
        <f>IF(INPUTS!$B$15="yes",AC234,AB234)</f>
        <v>#DIV/0!</v>
      </c>
      <c r="AE234" s="36" t="str">
        <f t="shared" si="59"/>
        <v>no</v>
      </c>
      <c r="AF234" s="36"/>
      <c r="AG234" s="389" t="e">
        <f>P234*('upper bound Kenaga'!$F$36/100)</f>
        <v>#DIV/0!</v>
      </c>
      <c r="AH234" s="36"/>
      <c r="AI234" s="389" t="e">
        <f>P234*('upper bound Kenaga'!$F$96/100)</f>
        <v>#DIV/0!</v>
      </c>
      <c r="AJ234" s="36"/>
      <c r="AK234" s="36"/>
      <c r="AL234" s="36"/>
      <c r="AM234" s="36"/>
      <c r="AN234" s="36"/>
      <c r="AO234" s="36"/>
    </row>
    <row r="235" spans="10:41" s="1" customFormat="1">
      <c r="J235" s="6">
        <f>COUNTIF(K$21:K235,"=yes")</f>
        <v>1</v>
      </c>
      <c r="K235" s="533" t="str">
        <f>IF(LOOKUP(VALUE(M235),INPUTS!$G$6:$G$35)=M235,"yes","no")</f>
        <v>no</v>
      </c>
      <c r="L235" s="533">
        <f>IF(K235="yes",(LOOKUP(J235,INPUTS!$E$6:$E$35,INPUTS!$F$6:$F$35)),0)</f>
        <v>0</v>
      </c>
      <c r="M235" s="135">
        <f t="shared" si="60"/>
        <v>214</v>
      </c>
      <c r="N235" s="135">
        <f t="shared" si="61"/>
        <v>1</v>
      </c>
      <c r="O235" s="135">
        <f t="shared" si="62"/>
        <v>0</v>
      </c>
      <c r="P235" s="536" t="e">
        <f t="shared" si="63"/>
        <v>#DIV/0!</v>
      </c>
      <c r="Q235" s="537" t="e">
        <f t="shared" si="50"/>
        <v>#DIV/0!</v>
      </c>
      <c r="R235" s="538" t="e">
        <f>IF(INPUTS!$B$15="yes",Q235,P235)</f>
        <v>#DIV/0!</v>
      </c>
      <c r="S235" s="536" t="e">
        <f t="shared" si="51"/>
        <v>#DIV/0!</v>
      </c>
      <c r="T235" s="537" t="e">
        <f t="shared" si="52"/>
        <v>#DIV/0!</v>
      </c>
      <c r="U235" s="538" t="e">
        <f>IF(INPUTS!$B$15="yes",T235,S235)</f>
        <v>#DIV/0!</v>
      </c>
      <c r="V235" s="536" t="e">
        <f t="shared" si="53"/>
        <v>#DIV/0!</v>
      </c>
      <c r="W235" s="537" t="e">
        <f t="shared" si="54"/>
        <v>#DIV/0!</v>
      </c>
      <c r="X235" s="538" t="e">
        <f>IF(INPUTS!$B$15="yes",W235,V235)</f>
        <v>#DIV/0!</v>
      </c>
      <c r="Y235" s="536" t="e">
        <f t="shared" si="55"/>
        <v>#DIV/0!</v>
      </c>
      <c r="Z235" s="537" t="e">
        <f t="shared" si="56"/>
        <v>#DIV/0!</v>
      </c>
      <c r="AA235" s="538" t="e">
        <f>IF(INPUTS!$B$15="yes",Z235,Y235)</f>
        <v>#DIV/0!</v>
      </c>
      <c r="AB235" s="536" t="e">
        <f t="shared" si="57"/>
        <v>#DIV/0!</v>
      </c>
      <c r="AC235" s="537" t="e">
        <f t="shared" si="58"/>
        <v>#DIV/0!</v>
      </c>
      <c r="AD235" s="538" t="e">
        <f>IF(INPUTS!$B$15="yes",AC235,AB235)</f>
        <v>#DIV/0!</v>
      </c>
      <c r="AE235" s="36" t="str">
        <f t="shared" si="59"/>
        <v>no</v>
      </c>
      <c r="AF235" s="36"/>
      <c r="AG235" s="389" t="e">
        <f>P235*('upper bound Kenaga'!$F$36/100)</f>
        <v>#DIV/0!</v>
      </c>
      <c r="AH235" s="36"/>
      <c r="AI235" s="389" t="e">
        <f>P235*('upper bound Kenaga'!$F$96/100)</f>
        <v>#DIV/0!</v>
      </c>
      <c r="AJ235" s="36"/>
      <c r="AK235" s="36"/>
      <c r="AL235" s="36"/>
      <c r="AM235" s="36"/>
      <c r="AN235" s="36"/>
      <c r="AO235" s="36"/>
    </row>
    <row r="236" spans="10:41" s="1" customFormat="1">
      <c r="J236" s="6">
        <f>COUNTIF(K$21:K236,"=yes")</f>
        <v>1</v>
      </c>
      <c r="K236" s="533" t="str">
        <f>IF(LOOKUP(VALUE(M236),INPUTS!$G$6:$G$35)=M236,"yes","no")</f>
        <v>no</v>
      </c>
      <c r="L236" s="533">
        <f>IF(K236="yes",(LOOKUP(J236,INPUTS!$E$6:$E$35,INPUTS!$F$6:$F$35)),0)</f>
        <v>0</v>
      </c>
      <c r="M236" s="135">
        <f t="shared" si="60"/>
        <v>215</v>
      </c>
      <c r="N236" s="135">
        <f t="shared" si="61"/>
        <v>1</v>
      </c>
      <c r="O236" s="135">
        <f t="shared" si="62"/>
        <v>0</v>
      </c>
      <c r="P236" s="536" t="e">
        <f t="shared" si="63"/>
        <v>#DIV/0!</v>
      </c>
      <c r="Q236" s="537" t="e">
        <f t="shared" si="50"/>
        <v>#DIV/0!</v>
      </c>
      <c r="R236" s="538" t="e">
        <f>IF(INPUTS!$B$15="yes",Q236,P236)</f>
        <v>#DIV/0!</v>
      </c>
      <c r="S236" s="536" t="e">
        <f t="shared" si="51"/>
        <v>#DIV/0!</v>
      </c>
      <c r="T236" s="537" t="e">
        <f t="shared" si="52"/>
        <v>#DIV/0!</v>
      </c>
      <c r="U236" s="538" t="e">
        <f>IF(INPUTS!$B$15="yes",T236,S236)</f>
        <v>#DIV/0!</v>
      </c>
      <c r="V236" s="536" t="e">
        <f t="shared" si="53"/>
        <v>#DIV/0!</v>
      </c>
      <c r="W236" s="537" t="e">
        <f t="shared" si="54"/>
        <v>#DIV/0!</v>
      </c>
      <c r="X236" s="538" t="e">
        <f>IF(INPUTS!$B$15="yes",W236,V236)</f>
        <v>#DIV/0!</v>
      </c>
      <c r="Y236" s="536" t="e">
        <f t="shared" si="55"/>
        <v>#DIV/0!</v>
      </c>
      <c r="Z236" s="537" t="e">
        <f t="shared" si="56"/>
        <v>#DIV/0!</v>
      </c>
      <c r="AA236" s="538" t="e">
        <f>IF(INPUTS!$B$15="yes",Z236,Y236)</f>
        <v>#DIV/0!</v>
      </c>
      <c r="AB236" s="536" t="e">
        <f t="shared" si="57"/>
        <v>#DIV/0!</v>
      </c>
      <c r="AC236" s="537" t="e">
        <f t="shared" si="58"/>
        <v>#DIV/0!</v>
      </c>
      <c r="AD236" s="538" t="e">
        <f>IF(INPUTS!$B$15="yes",AC236,AB236)</f>
        <v>#DIV/0!</v>
      </c>
      <c r="AE236" s="36" t="str">
        <f t="shared" si="59"/>
        <v>no</v>
      </c>
      <c r="AF236" s="36"/>
      <c r="AG236" s="389" t="e">
        <f>P236*('upper bound Kenaga'!$F$36/100)</f>
        <v>#DIV/0!</v>
      </c>
      <c r="AH236" s="36"/>
      <c r="AI236" s="389" t="e">
        <f>P236*('upper bound Kenaga'!$F$96/100)</f>
        <v>#DIV/0!</v>
      </c>
      <c r="AJ236" s="36"/>
      <c r="AK236" s="36"/>
      <c r="AL236" s="36"/>
      <c r="AM236" s="36"/>
      <c r="AN236" s="36"/>
      <c r="AO236" s="36"/>
    </row>
    <row r="237" spans="10:41" s="1" customFormat="1">
      <c r="J237" s="6">
        <f>COUNTIF(K$21:K237,"=yes")</f>
        <v>1</v>
      </c>
      <c r="K237" s="533" t="str">
        <f>IF(LOOKUP(VALUE(M237),INPUTS!$G$6:$G$35)=M237,"yes","no")</f>
        <v>no</v>
      </c>
      <c r="L237" s="533">
        <f>IF(K237="yes",(LOOKUP(J237,INPUTS!$E$6:$E$35,INPUTS!$F$6:$F$35)),0)</f>
        <v>0</v>
      </c>
      <c r="M237" s="135">
        <f t="shared" si="60"/>
        <v>216</v>
      </c>
      <c r="N237" s="135">
        <f t="shared" si="61"/>
        <v>1</v>
      </c>
      <c r="O237" s="135">
        <f t="shared" si="62"/>
        <v>0</v>
      </c>
      <c r="P237" s="536" t="e">
        <f t="shared" si="63"/>
        <v>#DIV/0!</v>
      </c>
      <c r="Q237" s="537" t="e">
        <f t="shared" si="50"/>
        <v>#DIV/0!</v>
      </c>
      <c r="R237" s="538" t="e">
        <f>IF(INPUTS!$B$15="yes",Q237,P237)</f>
        <v>#DIV/0!</v>
      </c>
      <c r="S237" s="536" t="e">
        <f t="shared" si="51"/>
        <v>#DIV/0!</v>
      </c>
      <c r="T237" s="537" t="e">
        <f t="shared" si="52"/>
        <v>#DIV/0!</v>
      </c>
      <c r="U237" s="538" t="e">
        <f>IF(INPUTS!$B$15="yes",T237,S237)</f>
        <v>#DIV/0!</v>
      </c>
      <c r="V237" s="536" t="e">
        <f t="shared" si="53"/>
        <v>#DIV/0!</v>
      </c>
      <c r="W237" s="537" t="e">
        <f t="shared" si="54"/>
        <v>#DIV/0!</v>
      </c>
      <c r="X237" s="538" t="e">
        <f>IF(INPUTS!$B$15="yes",W237,V237)</f>
        <v>#DIV/0!</v>
      </c>
      <c r="Y237" s="536" t="e">
        <f t="shared" si="55"/>
        <v>#DIV/0!</v>
      </c>
      <c r="Z237" s="537" t="e">
        <f t="shared" si="56"/>
        <v>#DIV/0!</v>
      </c>
      <c r="AA237" s="538" t="e">
        <f>IF(INPUTS!$B$15="yes",Z237,Y237)</f>
        <v>#DIV/0!</v>
      </c>
      <c r="AB237" s="536" t="e">
        <f t="shared" si="57"/>
        <v>#DIV/0!</v>
      </c>
      <c r="AC237" s="537" t="e">
        <f t="shared" si="58"/>
        <v>#DIV/0!</v>
      </c>
      <c r="AD237" s="538" t="e">
        <f>IF(INPUTS!$B$15="yes",AC237,AB237)</f>
        <v>#DIV/0!</v>
      </c>
      <c r="AE237" s="36" t="str">
        <f t="shared" si="59"/>
        <v>no</v>
      </c>
      <c r="AF237" s="36"/>
      <c r="AG237" s="389" t="e">
        <f>P237*('upper bound Kenaga'!$F$36/100)</f>
        <v>#DIV/0!</v>
      </c>
      <c r="AH237" s="36"/>
      <c r="AI237" s="389" t="e">
        <f>P237*('upper bound Kenaga'!$F$96/100)</f>
        <v>#DIV/0!</v>
      </c>
      <c r="AJ237" s="36"/>
      <c r="AK237" s="36"/>
      <c r="AL237" s="36"/>
      <c r="AM237" s="36"/>
      <c r="AN237" s="36"/>
      <c r="AO237" s="36"/>
    </row>
    <row r="238" spans="10:41" s="1" customFormat="1">
      <c r="J238" s="6">
        <f>COUNTIF(K$21:K238,"=yes")</f>
        <v>1</v>
      </c>
      <c r="K238" s="533" t="str">
        <f>IF(LOOKUP(VALUE(M238),INPUTS!$G$6:$G$35)=M238,"yes","no")</f>
        <v>no</v>
      </c>
      <c r="L238" s="533">
        <f>IF(K238="yes",(LOOKUP(J238,INPUTS!$E$6:$E$35,INPUTS!$F$6:$F$35)),0)</f>
        <v>0</v>
      </c>
      <c r="M238" s="135">
        <f t="shared" si="60"/>
        <v>217</v>
      </c>
      <c r="N238" s="135">
        <f t="shared" si="61"/>
        <v>1</v>
      </c>
      <c r="O238" s="135">
        <f t="shared" si="62"/>
        <v>0</v>
      </c>
      <c r="P238" s="536" t="e">
        <f t="shared" si="63"/>
        <v>#DIV/0!</v>
      </c>
      <c r="Q238" s="537" t="e">
        <f t="shared" si="50"/>
        <v>#DIV/0!</v>
      </c>
      <c r="R238" s="538" t="e">
        <f>IF(INPUTS!$B$15="yes",Q238,P238)</f>
        <v>#DIV/0!</v>
      </c>
      <c r="S238" s="536" t="e">
        <f t="shared" si="51"/>
        <v>#DIV/0!</v>
      </c>
      <c r="T238" s="537" t="e">
        <f t="shared" si="52"/>
        <v>#DIV/0!</v>
      </c>
      <c r="U238" s="538" t="e">
        <f>IF(INPUTS!$B$15="yes",T238,S238)</f>
        <v>#DIV/0!</v>
      </c>
      <c r="V238" s="536" t="e">
        <f t="shared" si="53"/>
        <v>#DIV/0!</v>
      </c>
      <c r="W238" s="537" t="e">
        <f t="shared" si="54"/>
        <v>#DIV/0!</v>
      </c>
      <c r="X238" s="538" t="e">
        <f>IF(INPUTS!$B$15="yes",W238,V238)</f>
        <v>#DIV/0!</v>
      </c>
      <c r="Y238" s="536" t="e">
        <f t="shared" si="55"/>
        <v>#DIV/0!</v>
      </c>
      <c r="Z238" s="537" t="e">
        <f t="shared" si="56"/>
        <v>#DIV/0!</v>
      </c>
      <c r="AA238" s="538" t="e">
        <f>IF(INPUTS!$B$15="yes",Z238,Y238)</f>
        <v>#DIV/0!</v>
      </c>
      <c r="AB238" s="536" t="e">
        <f t="shared" si="57"/>
        <v>#DIV/0!</v>
      </c>
      <c r="AC238" s="537" t="e">
        <f t="shared" si="58"/>
        <v>#DIV/0!</v>
      </c>
      <c r="AD238" s="538" t="e">
        <f>IF(INPUTS!$B$15="yes",AC238,AB238)</f>
        <v>#DIV/0!</v>
      </c>
      <c r="AE238" s="36" t="str">
        <f t="shared" si="59"/>
        <v>no</v>
      </c>
      <c r="AF238" s="36"/>
      <c r="AG238" s="389" t="e">
        <f>P238*('upper bound Kenaga'!$F$36/100)</f>
        <v>#DIV/0!</v>
      </c>
      <c r="AH238" s="36"/>
      <c r="AI238" s="389" t="e">
        <f>P238*('upper bound Kenaga'!$F$96/100)</f>
        <v>#DIV/0!</v>
      </c>
      <c r="AJ238" s="36"/>
      <c r="AK238" s="36"/>
      <c r="AL238" s="36"/>
      <c r="AM238" s="36"/>
      <c r="AN238" s="36"/>
      <c r="AO238" s="36"/>
    </row>
    <row r="239" spans="10:41" s="1" customFormat="1">
      <c r="J239" s="6">
        <f>COUNTIF(K$21:K239,"=yes")</f>
        <v>1</v>
      </c>
      <c r="K239" s="533" t="str">
        <f>IF(LOOKUP(VALUE(M239),INPUTS!$G$6:$G$35)=M239,"yes","no")</f>
        <v>no</v>
      </c>
      <c r="L239" s="533">
        <f>IF(K239="yes",(LOOKUP(J239,INPUTS!$E$6:$E$35,INPUTS!$F$6:$F$35)),0)</f>
        <v>0</v>
      </c>
      <c r="M239" s="135">
        <f t="shared" si="60"/>
        <v>218</v>
      </c>
      <c r="N239" s="135">
        <f t="shared" si="61"/>
        <v>1</v>
      </c>
      <c r="O239" s="135">
        <f t="shared" si="62"/>
        <v>0</v>
      </c>
      <c r="P239" s="536" t="e">
        <f t="shared" si="63"/>
        <v>#DIV/0!</v>
      </c>
      <c r="Q239" s="537" t="e">
        <f t="shared" si="50"/>
        <v>#DIV/0!</v>
      </c>
      <c r="R239" s="538" t="e">
        <f>IF(INPUTS!$B$15="yes",Q239,P239)</f>
        <v>#DIV/0!</v>
      </c>
      <c r="S239" s="536" t="e">
        <f t="shared" si="51"/>
        <v>#DIV/0!</v>
      </c>
      <c r="T239" s="537" t="e">
        <f t="shared" si="52"/>
        <v>#DIV/0!</v>
      </c>
      <c r="U239" s="538" t="e">
        <f>IF(INPUTS!$B$15="yes",T239,S239)</f>
        <v>#DIV/0!</v>
      </c>
      <c r="V239" s="536" t="e">
        <f t="shared" si="53"/>
        <v>#DIV/0!</v>
      </c>
      <c r="W239" s="537" t="e">
        <f t="shared" si="54"/>
        <v>#DIV/0!</v>
      </c>
      <c r="X239" s="538" t="e">
        <f>IF(INPUTS!$B$15="yes",W239,V239)</f>
        <v>#DIV/0!</v>
      </c>
      <c r="Y239" s="536" t="e">
        <f t="shared" si="55"/>
        <v>#DIV/0!</v>
      </c>
      <c r="Z239" s="537" t="e">
        <f t="shared" si="56"/>
        <v>#DIV/0!</v>
      </c>
      <c r="AA239" s="538" t="e">
        <f>IF(INPUTS!$B$15="yes",Z239,Y239)</f>
        <v>#DIV/0!</v>
      </c>
      <c r="AB239" s="536" t="e">
        <f t="shared" si="57"/>
        <v>#DIV/0!</v>
      </c>
      <c r="AC239" s="537" t="e">
        <f t="shared" si="58"/>
        <v>#DIV/0!</v>
      </c>
      <c r="AD239" s="538" t="e">
        <f>IF(INPUTS!$B$15="yes",AC239,AB239)</f>
        <v>#DIV/0!</v>
      </c>
      <c r="AE239" s="36" t="str">
        <f t="shared" si="59"/>
        <v>no</v>
      </c>
      <c r="AF239" s="36"/>
      <c r="AG239" s="389" t="e">
        <f>P239*('upper bound Kenaga'!$F$36/100)</f>
        <v>#DIV/0!</v>
      </c>
      <c r="AH239" s="36"/>
      <c r="AI239" s="389" t="e">
        <f>P239*('upper bound Kenaga'!$F$96/100)</f>
        <v>#DIV/0!</v>
      </c>
      <c r="AJ239" s="36"/>
      <c r="AK239" s="36"/>
      <c r="AL239" s="36"/>
      <c r="AM239" s="36"/>
      <c r="AN239" s="36"/>
      <c r="AO239" s="36"/>
    </row>
    <row r="240" spans="10:41" s="1" customFormat="1">
      <c r="J240" s="6">
        <f>COUNTIF(K$21:K240,"=yes")</f>
        <v>1</v>
      </c>
      <c r="K240" s="533" t="str">
        <f>IF(LOOKUP(VALUE(M240),INPUTS!$G$6:$G$35)=M240,"yes","no")</f>
        <v>no</v>
      </c>
      <c r="L240" s="533">
        <f>IF(K240="yes",(LOOKUP(J240,INPUTS!$E$6:$E$35,INPUTS!$F$6:$F$35)),0)</f>
        <v>0</v>
      </c>
      <c r="M240" s="135">
        <f t="shared" si="60"/>
        <v>219</v>
      </c>
      <c r="N240" s="135">
        <f t="shared" si="61"/>
        <v>1</v>
      </c>
      <c r="O240" s="135">
        <f t="shared" si="62"/>
        <v>0</v>
      </c>
      <c r="P240" s="536" t="e">
        <f t="shared" si="63"/>
        <v>#DIV/0!</v>
      </c>
      <c r="Q240" s="537" t="e">
        <f t="shared" si="50"/>
        <v>#DIV/0!</v>
      </c>
      <c r="R240" s="538" t="e">
        <f>IF(INPUTS!$B$15="yes",Q240,P240)</f>
        <v>#DIV/0!</v>
      </c>
      <c r="S240" s="536" t="e">
        <f t="shared" si="51"/>
        <v>#DIV/0!</v>
      </c>
      <c r="T240" s="537" t="e">
        <f t="shared" si="52"/>
        <v>#DIV/0!</v>
      </c>
      <c r="U240" s="538" t="e">
        <f>IF(INPUTS!$B$15="yes",T240,S240)</f>
        <v>#DIV/0!</v>
      </c>
      <c r="V240" s="536" t="e">
        <f t="shared" si="53"/>
        <v>#DIV/0!</v>
      </c>
      <c r="W240" s="537" t="e">
        <f t="shared" si="54"/>
        <v>#DIV/0!</v>
      </c>
      <c r="X240" s="538" t="e">
        <f>IF(INPUTS!$B$15="yes",W240,V240)</f>
        <v>#DIV/0!</v>
      </c>
      <c r="Y240" s="536" t="e">
        <f t="shared" si="55"/>
        <v>#DIV/0!</v>
      </c>
      <c r="Z240" s="537" t="e">
        <f t="shared" si="56"/>
        <v>#DIV/0!</v>
      </c>
      <c r="AA240" s="538" t="e">
        <f>IF(INPUTS!$B$15="yes",Z240,Y240)</f>
        <v>#DIV/0!</v>
      </c>
      <c r="AB240" s="536" t="e">
        <f t="shared" si="57"/>
        <v>#DIV/0!</v>
      </c>
      <c r="AC240" s="537" t="e">
        <f t="shared" si="58"/>
        <v>#DIV/0!</v>
      </c>
      <c r="AD240" s="538" t="e">
        <f>IF(INPUTS!$B$15="yes",AC240,AB240)</f>
        <v>#DIV/0!</v>
      </c>
      <c r="AE240" s="36" t="str">
        <f t="shared" si="59"/>
        <v>no</v>
      </c>
      <c r="AF240" s="36"/>
      <c r="AG240" s="389" t="e">
        <f>P240*('upper bound Kenaga'!$F$36/100)</f>
        <v>#DIV/0!</v>
      </c>
      <c r="AH240" s="36"/>
      <c r="AI240" s="389" t="e">
        <f>P240*('upper bound Kenaga'!$F$96/100)</f>
        <v>#DIV/0!</v>
      </c>
      <c r="AJ240" s="36"/>
      <c r="AK240" s="36"/>
      <c r="AL240" s="36"/>
      <c r="AM240" s="36"/>
      <c r="AN240" s="36"/>
      <c r="AO240" s="36"/>
    </row>
    <row r="241" spans="10:41" s="1" customFormat="1">
      <c r="J241" s="6">
        <f>COUNTIF(K$21:K241,"=yes")</f>
        <v>1</v>
      </c>
      <c r="K241" s="533" t="str">
        <f>IF(LOOKUP(VALUE(M241),INPUTS!$G$6:$G$35)=M241,"yes","no")</f>
        <v>no</v>
      </c>
      <c r="L241" s="533">
        <f>IF(K241="yes",(LOOKUP(J241,INPUTS!$E$6:$E$35,INPUTS!$F$6:$F$35)),0)</f>
        <v>0</v>
      </c>
      <c r="M241" s="135">
        <f t="shared" si="60"/>
        <v>220</v>
      </c>
      <c r="N241" s="135">
        <f t="shared" si="61"/>
        <v>1</v>
      </c>
      <c r="O241" s="135">
        <f t="shared" si="62"/>
        <v>0</v>
      </c>
      <c r="P241" s="536" t="e">
        <f t="shared" si="63"/>
        <v>#DIV/0!</v>
      </c>
      <c r="Q241" s="537" t="e">
        <f t="shared" si="50"/>
        <v>#DIV/0!</v>
      </c>
      <c r="R241" s="538" t="e">
        <f>IF(INPUTS!$B$15="yes",Q241,P241)</f>
        <v>#DIV/0!</v>
      </c>
      <c r="S241" s="536" t="e">
        <f t="shared" si="51"/>
        <v>#DIV/0!</v>
      </c>
      <c r="T241" s="537" t="e">
        <f t="shared" si="52"/>
        <v>#DIV/0!</v>
      </c>
      <c r="U241" s="538" t="e">
        <f>IF(INPUTS!$B$15="yes",T241,S241)</f>
        <v>#DIV/0!</v>
      </c>
      <c r="V241" s="536" t="e">
        <f t="shared" si="53"/>
        <v>#DIV/0!</v>
      </c>
      <c r="W241" s="537" t="e">
        <f t="shared" si="54"/>
        <v>#DIV/0!</v>
      </c>
      <c r="X241" s="538" t="e">
        <f>IF(INPUTS!$B$15="yes",W241,V241)</f>
        <v>#DIV/0!</v>
      </c>
      <c r="Y241" s="536" t="e">
        <f t="shared" si="55"/>
        <v>#DIV/0!</v>
      </c>
      <c r="Z241" s="537" t="e">
        <f t="shared" si="56"/>
        <v>#DIV/0!</v>
      </c>
      <c r="AA241" s="538" t="e">
        <f>IF(INPUTS!$B$15="yes",Z241,Y241)</f>
        <v>#DIV/0!</v>
      </c>
      <c r="AB241" s="536" t="e">
        <f t="shared" si="57"/>
        <v>#DIV/0!</v>
      </c>
      <c r="AC241" s="537" t="e">
        <f t="shared" si="58"/>
        <v>#DIV/0!</v>
      </c>
      <c r="AD241" s="538" t="e">
        <f>IF(INPUTS!$B$15="yes",AC241,AB241)</f>
        <v>#DIV/0!</v>
      </c>
      <c r="AE241" s="36" t="str">
        <f t="shared" si="59"/>
        <v>no</v>
      </c>
      <c r="AF241" s="36"/>
      <c r="AG241" s="389" t="e">
        <f>P241*('upper bound Kenaga'!$F$36/100)</f>
        <v>#DIV/0!</v>
      </c>
      <c r="AH241" s="36"/>
      <c r="AI241" s="389" t="e">
        <f>P241*('upper bound Kenaga'!$F$96/100)</f>
        <v>#DIV/0!</v>
      </c>
      <c r="AJ241" s="36"/>
      <c r="AK241" s="36"/>
      <c r="AL241" s="36"/>
      <c r="AM241" s="36"/>
      <c r="AN241" s="36"/>
      <c r="AO241" s="36"/>
    </row>
    <row r="242" spans="10:41" s="1" customFormat="1">
      <c r="J242" s="6">
        <f>COUNTIF(K$21:K242,"=yes")</f>
        <v>1</v>
      </c>
      <c r="K242" s="533" t="str">
        <f>IF(LOOKUP(VALUE(M242),INPUTS!$G$6:$G$35)=M242,"yes","no")</f>
        <v>no</v>
      </c>
      <c r="L242" s="533">
        <f>IF(K242="yes",(LOOKUP(J242,INPUTS!$E$6:$E$35,INPUTS!$F$6:$F$35)),0)</f>
        <v>0</v>
      </c>
      <c r="M242" s="135">
        <f t="shared" si="60"/>
        <v>221</v>
      </c>
      <c r="N242" s="135">
        <f t="shared" si="61"/>
        <v>1</v>
      </c>
      <c r="O242" s="135">
        <f t="shared" si="62"/>
        <v>0</v>
      </c>
      <c r="P242" s="536" t="e">
        <f t="shared" si="63"/>
        <v>#DIV/0!</v>
      </c>
      <c r="Q242" s="537" t="e">
        <f t="shared" si="50"/>
        <v>#DIV/0!</v>
      </c>
      <c r="R242" s="538" t="e">
        <f>IF(INPUTS!$B$15="yes",Q242,P242)</f>
        <v>#DIV/0!</v>
      </c>
      <c r="S242" s="536" t="e">
        <f t="shared" si="51"/>
        <v>#DIV/0!</v>
      </c>
      <c r="T242" s="537" t="e">
        <f t="shared" si="52"/>
        <v>#DIV/0!</v>
      </c>
      <c r="U242" s="538" t="e">
        <f>IF(INPUTS!$B$15="yes",T242,S242)</f>
        <v>#DIV/0!</v>
      </c>
      <c r="V242" s="536" t="e">
        <f t="shared" si="53"/>
        <v>#DIV/0!</v>
      </c>
      <c r="W242" s="537" t="e">
        <f t="shared" si="54"/>
        <v>#DIV/0!</v>
      </c>
      <c r="X242" s="538" t="e">
        <f>IF(INPUTS!$B$15="yes",W242,V242)</f>
        <v>#DIV/0!</v>
      </c>
      <c r="Y242" s="536" t="e">
        <f t="shared" si="55"/>
        <v>#DIV/0!</v>
      </c>
      <c r="Z242" s="537" t="e">
        <f t="shared" si="56"/>
        <v>#DIV/0!</v>
      </c>
      <c r="AA242" s="538" t="e">
        <f>IF(INPUTS!$B$15="yes",Z242,Y242)</f>
        <v>#DIV/0!</v>
      </c>
      <c r="AB242" s="536" t="e">
        <f t="shared" si="57"/>
        <v>#DIV/0!</v>
      </c>
      <c r="AC242" s="537" t="e">
        <f t="shared" si="58"/>
        <v>#DIV/0!</v>
      </c>
      <c r="AD242" s="538" t="e">
        <f>IF(INPUTS!$B$15="yes",AC242,AB242)</f>
        <v>#DIV/0!</v>
      </c>
      <c r="AE242" s="36" t="str">
        <f t="shared" si="59"/>
        <v>no</v>
      </c>
      <c r="AF242" s="36"/>
      <c r="AG242" s="389" t="e">
        <f>P242*('upper bound Kenaga'!$F$36/100)</f>
        <v>#DIV/0!</v>
      </c>
      <c r="AH242" s="36"/>
      <c r="AI242" s="389" t="e">
        <f>P242*('upper bound Kenaga'!$F$96/100)</f>
        <v>#DIV/0!</v>
      </c>
      <c r="AJ242" s="36"/>
      <c r="AK242" s="36"/>
      <c r="AL242" s="36"/>
      <c r="AM242" s="36"/>
      <c r="AN242" s="36"/>
      <c r="AO242" s="36"/>
    </row>
    <row r="243" spans="10:41" s="1" customFormat="1">
      <c r="J243" s="6">
        <f>COUNTIF(K$21:K243,"=yes")</f>
        <v>1</v>
      </c>
      <c r="K243" s="533" t="str">
        <f>IF(LOOKUP(VALUE(M243),INPUTS!$G$6:$G$35)=M243,"yes","no")</f>
        <v>no</v>
      </c>
      <c r="L243" s="533">
        <f>IF(K243="yes",(LOOKUP(J243,INPUTS!$E$6:$E$35,INPUTS!$F$6:$F$35)),0)</f>
        <v>0</v>
      </c>
      <c r="M243" s="135">
        <f t="shared" si="60"/>
        <v>222</v>
      </c>
      <c r="N243" s="135">
        <f t="shared" si="61"/>
        <v>1</v>
      </c>
      <c r="O243" s="135">
        <f t="shared" si="62"/>
        <v>0</v>
      </c>
      <c r="P243" s="536" t="e">
        <f t="shared" si="63"/>
        <v>#DIV/0!</v>
      </c>
      <c r="Q243" s="537" t="e">
        <f t="shared" si="50"/>
        <v>#DIV/0!</v>
      </c>
      <c r="R243" s="538" t="e">
        <f>IF(INPUTS!$B$15="yes",Q243,P243)</f>
        <v>#DIV/0!</v>
      </c>
      <c r="S243" s="536" t="e">
        <f t="shared" si="51"/>
        <v>#DIV/0!</v>
      </c>
      <c r="T243" s="537" t="e">
        <f t="shared" si="52"/>
        <v>#DIV/0!</v>
      </c>
      <c r="U243" s="538" t="e">
        <f>IF(INPUTS!$B$15="yes",T243,S243)</f>
        <v>#DIV/0!</v>
      </c>
      <c r="V243" s="536" t="e">
        <f t="shared" si="53"/>
        <v>#DIV/0!</v>
      </c>
      <c r="W243" s="537" t="e">
        <f t="shared" si="54"/>
        <v>#DIV/0!</v>
      </c>
      <c r="X243" s="538" t="e">
        <f>IF(INPUTS!$B$15="yes",W243,V243)</f>
        <v>#DIV/0!</v>
      </c>
      <c r="Y243" s="536" t="e">
        <f t="shared" si="55"/>
        <v>#DIV/0!</v>
      </c>
      <c r="Z243" s="537" t="e">
        <f t="shared" si="56"/>
        <v>#DIV/0!</v>
      </c>
      <c r="AA243" s="538" t="e">
        <f>IF(INPUTS!$B$15="yes",Z243,Y243)</f>
        <v>#DIV/0!</v>
      </c>
      <c r="AB243" s="536" t="e">
        <f t="shared" si="57"/>
        <v>#DIV/0!</v>
      </c>
      <c r="AC243" s="537" t="e">
        <f t="shared" si="58"/>
        <v>#DIV/0!</v>
      </c>
      <c r="AD243" s="538" t="e">
        <f>IF(INPUTS!$B$15="yes",AC243,AB243)</f>
        <v>#DIV/0!</v>
      </c>
      <c r="AE243" s="36" t="str">
        <f t="shared" si="59"/>
        <v>no</v>
      </c>
      <c r="AF243" s="36"/>
      <c r="AG243" s="389" t="e">
        <f>P243*('upper bound Kenaga'!$F$36/100)</f>
        <v>#DIV/0!</v>
      </c>
      <c r="AH243" s="36"/>
      <c r="AI243" s="389" t="e">
        <f>P243*('upper bound Kenaga'!$F$96/100)</f>
        <v>#DIV/0!</v>
      </c>
      <c r="AJ243" s="36"/>
      <c r="AK243" s="36"/>
      <c r="AL243" s="36"/>
      <c r="AM243" s="36"/>
      <c r="AN243" s="36"/>
      <c r="AO243" s="36"/>
    </row>
    <row r="244" spans="10:41" s="1" customFormat="1">
      <c r="J244" s="6">
        <f>COUNTIF(K$21:K244,"=yes")</f>
        <v>1</v>
      </c>
      <c r="K244" s="533" t="str">
        <f>IF(LOOKUP(VALUE(M244),INPUTS!$G$6:$G$35)=M244,"yes","no")</f>
        <v>no</v>
      </c>
      <c r="L244" s="533">
        <f>IF(K244="yes",(LOOKUP(J244,INPUTS!$E$6:$E$35,INPUTS!$F$6:$F$35)),0)</f>
        <v>0</v>
      </c>
      <c r="M244" s="135">
        <f t="shared" si="60"/>
        <v>223</v>
      </c>
      <c r="N244" s="135">
        <f t="shared" si="61"/>
        <v>1</v>
      </c>
      <c r="O244" s="135">
        <f t="shared" si="62"/>
        <v>0</v>
      </c>
      <c r="P244" s="536" t="e">
        <f t="shared" si="63"/>
        <v>#DIV/0!</v>
      </c>
      <c r="Q244" s="537" t="e">
        <f t="shared" si="50"/>
        <v>#DIV/0!</v>
      </c>
      <c r="R244" s="538" t="e">
        <f>IF(INPUTS!$B$15="yes",Q244,P244)</f>
        <v>#DIV/0!</v>
      </c>
      <c r="S244" s="536" t="e">
        <f t="shared" si="51"/>
        <v>#DIV/0!</v>
      </c>
      <c r="T244" s="537" t="e">
        <f t="shared" si="52"/>
        <v>#DIV/0!</v>
      </c>
      <c r="U244" s="538" t="e">
        <f>IF(INPUTS!$B$15="yes",T244,S244)</f>
        <v>#DIV/0!</v>
      </c>
      <c r="V244" s="536" t="e">
        <f t="shared" si="53"/>
        <v>#DIV/0!</v>
      </c>
      <c r="W244" s="537" t="e">
        <f t="shared" si="54"/>
        <v>#DIV/0!</v>
      </c>
      <c r="X244" s="538" t="e">
        <f>IF(INPUTS!$B$15="yes",W244,V244)</f>
        <v>#DIV/0!</v>
      </c>
      <c r="Y244" s="536" t="e">
        <f t="shared" si="55"/>
        <v>#DIV/0!</v>
      </c>
      <c r="Z244" s="537" t="e">
        <f t="shared" si="56"/>
        <v>#DIV/0!</v>
      </c>
      <c r="AA244" s="538" t="e">
        <f>IF(INPUTS!$B$15="yes",Z244,Y244)</f>
        <v>#DIV/0!</v>
      </c>
      <c r="AB244" s="536" t="e">
        <f t="shared" si="57"/>
        <v>#DIV/0!</v>
      </c>
      <c r="AC244" s="537" t="e">
        <f t="shared" si="58"/>
        <v>#DIV/0!</v>
      </c>
      <c r="AD244" s="538" t="e">
        <f>IF(INPUTS!$B$15="yes",AC244,AB244)</f>
        <v>#DIV/0!</v>
      </c>
      <c r="AE244" s="36" t="str">
        <f t="shared" si="59"/>
        <v>no</v>
      </c>
      <c r="AF244" s="36"/>
      <c r="AG244" s="389" t="e">
        <f>P244*('upper bound Kenaga'!$F$36/100)</f>
        <v>#DIV/0!</v>
      </c>
      <c r="AH244" s="36"/>
      <c r="AI244" s="389" t="e">
        <f>P244*('upper bound Kenaga'!$F$96/100)</f>
        <v>#DIV/0!</v>
      </c>
      <c r="AJ244" s="36"/>
      <c r="AK244" s="36"/>
      <c r="AL244" s="36"/>
      <c r="AM244" s="36"/>
      <c r="AN244" s="36"/>
      <c r="AO244" s="36"/>
    </row>
    <row r="245" spans="10:41" s="1" customFormat="1">
      <c r="J245" s="6">
        <f>COUNTIF(K$21:K245,"=yes")</f>
        <v>1</v>
      </c>
      <c r="K245" s="533" t="str">
        <f>IF(LOOKUP(VALUE(M245),INPUTS!$G$6:$G$35)=M245,"yes","no")</f>
        <v>no</v>
      </c>
      <c r="L245" s="533">
        <f>IF(K245="yes",(LOOKUP(J245,INPUTS!$E$6:$E$35,INPUTS!$F$6:$F$35)),0)</f>
        <v>0</v>
      </c>
      <c r="M245" s="135">
        <f t="shared" si="60"/>
        <v>224</v>
      </c>
      <c r="N245" s="135">
        <f t="shared" si="61"/>
        <v>1</v>
      </c>
      <c r="O245" s="135">
        <f t="shared" si="62"/>
        <v>0</v>
      </c>
      <c r="P245" s="536" t="e">
        <f t="shared" si="63"/>
        <v>#DIV/0!</v>
      </c>
      <c r="Q245" s="537" t="e">
        <f t="shared" si="50"/>
        <v>#DIV/0!</v>
      </c>
      <c r="R245" s="538" t="e">
        <f>IF(INPUTS!$B$15="yes",Q245,P245)</f>
        <v>#DIV/0!</v>
      </c>
      <c r="S245" s="536" t="e">
        <f t="shared" si="51"/>
        <v>#DIV/0!</v>
      </c>
      <c r="T245" s="537" t="e">
        <f t="shared" si="52"/>
        <v>#DIV/0!</v>
      </c>
      <c r="U245" s="538" t="e">
        <f>IF(INPUTS!$B$15="yes",T245,S245)</f>
        <v>#DIV/0!</v>
      </c>
      <c r="V245" s="536" t="e">
        <f t="shared" si="53"/>
        <v>#DIV/0!</v>
      </c>
      <c r="W245" s="537" t="e">
        <f t="shared" si="54"/>
        <v>#DIV/0!</v>
      </c>
      <c r="X245" s="538" t="e">
        <f>IF(INPUTS!$B$15="yes",W245,V245)</f>
        <v>#DIV/0!</v>
      </c>
      <c r="Y245" s="536" t="e">
        <f t="shared" si="55"/>
        <v>#DIV/0!</v>
      </c>
      <c r="Z245" s="537" t="e">
        <f t="shared" si="56"/>
        <v>#DIV/0!</v>
      </c>
      <c r="AA245" s="538" t="e">
        <f>IF(INPUTS!$B$15="yes",Z245,Y245)</f>
        <v>#DIV/0!</v>
      </c>
      <c r="AB245" s="536" t="e">
        <f t="shared" si="57"/>
        <v>#DIV/0!</v>
      </c>
      <c r="AC245" s="537" t="e">
        <f t="shared" si="58"/>
        <v>#DIV/0!</v>
      </c>
      <c r="AD245" s="538" t="e">
        <f>IF(INPUTS!$B$15="yes",AC245,AB245)</f>
        <v>#DIV/0!</v>
      </c>
      <c r="AE245" s="36" t="str">
        <f t="shared" si="59"/>
        <v>no</v>
      </c>
      <c r="AF245" s="36"/>
      <c r="AG245" s="389" t="e">
        <f>P245*('upper bound Kenaga'!$F$36/100)</f>
        <v>#DIV/0!</v>
      </c>
      <c r="AH245" s="36"/>
      <c r="AI245" s="389" t="e">
        <f>P245*('upper bound Kenaga'!$F$96/100)</f>
        <v>#DIV/0!</v>
      </c>
      <c r="AJ245" s="36"/>
      <c r="AK245" s="36"/>
      <c r="AL245" s="36"/>
      <c r="AM245" s="36"/>
      <c r="AN245" s="36"/>
      <c r="AO245" s="36"/>
    </row>
    <row r="246" spans="10:41" s="1" customFormat="1">
      <c r="J246" s="6">
        <f>COUNTIF(K$21:K246,"=yes")</f>
        <v>1</v>
      </c>
      <c r="K246" s="533" t="str">
        <f>IF(LOOKUP(VALUE(M246),INPUTS!$G$6:$G$35)=M246,"yes","no")</f>
        <v>no</v>
      </c>
      <c r="L246" s="533">
        <f>IF(K246="yes",(LOOKUP(J246,INPUTS!$E$6:$E$35,INPUTS!$F$6:$F$35)),0)</f>
        <v>0</v>
      </c>
      <c r="M246" s="135">
        <f t="shared" si="60"/>
        <v>225</v>
      </c>
      <c r="N246" s="135">
        <f t="shared" si="61"/>
        <v>1</v>
      </c>
      <c r="O246" s="135">
        <f t="shared" si="62"/>
        <v>0</v>
      </c>
      <c r="P246" s="536" t="e">
        <f t="shared" si="63"/>
        <v>#DIV/0!</v>
      </c>
      <c r="Q246" s="537" t="e">
        <f t="shared" si="50"/>
        <v>#DIV/0!</v>
      </c>
      <c r="R246" s="538" t="e">
        <f>IF(INPUTS!$B$15="yes",Q246,P246)</f>
        <v>#DIV/0!</v>
      </c>
      <c r="S246" s="536" t="e">
        <f t="shared" si="51"/>
        <v>#DIV/0!</v>
      </c>
      <c r="T246" s="537" t="e">
        <f t="shared" si="52"/>
        <v>#DIV/0!</v>
      </c>
      <c r="U246" s="538" t="e">
        <f>IF(INPUTS!$B$15="yes",T246,S246)</f>
        <v>#DIV/0!</v>
      </c>
      <c r="V246" s="536" t="e">
        <f t="shared" si="53"/>
        <v>#DIV/0!</v>
      </c>
      <c r="W246" s="537" t="e">
        <f t="shared" si="54"/>
        <v>#DIV/0!</v>
      </c>
      <c r="X246" s="538" t="e">
        <f>IF(INPUTS!$B$15="yes",W246,V246)</f>
        <v>#DIV/0!</v>
      </c>
      <c r="Y246" s="536" t="e">
        <f t="shared" si="55"/>
        <v>#DIV/0!</v>
      </c>
      <c r="Z246" s="537" t="e">
        <f t="shared" si="56"/>
        <v>#DIV/0!</v>
      </c>
      <c r="AA246" s="538" t="e">
        <f>IF(INPUTS!$B$15="yes",Z246,Y246)</f>
        <v>#DIV/0!</v>
      </c>
      <c r="AB246" s="536" t="e">
        <f t="shared" si="57"/>
        <v>#DIV/0!</v>
      </c>
      <c r="AC246" s="537" t="e">
        <f t="shared" si="58"/>
        <v>#DIV/0!</v>
      </c>
      <c r="AD246" s="538" t="e">
        <f>IF(INPUTS!$B$15="yes",AC246,AB246)</f>
        <v>#DIV/0!</v>
      </c>
      <c r="AE246" s="36" t="str">
        <f t="shared" si="59"/>
        <v>no</v>
      </c>
      <c r="AF246" s="36"/>
      <c r="AG246" s="389" t="e">
        <f>P246*('upper bound Kenaga'!$F$36/100)</f>
        <v>#DIV/0!</v>
      </c>
      <c r="AH246" s="36"/>
      <c r="AI246" s="389" t="e">
        <f>P246*('upper bound Kenaga'!$F$96/100)</f>
        <v>#DIV/0!</v>
      </c>
      <c r="AJ246" s="36"/>
      <c r="AK246" s="36"/>
      <c r="AL246" s="36"/>
      <c r="AM246" s="36"/>
      <c r="AN246" s="36"/>
      <c r="AO246" s="36"/>
    </row>
    <row r="247" spans="10:41" s="1" customFormat="1">
      <c r="J247" s="6">
        <f>COUNTIF(K$21:K247,"=yes")</f>
        <v>1</v>
      </c>
      <c r="K247" s="533" t="str">
        <f>IF(LOOKUP(VALUE(M247),INPUTS!$G$6:$G$35)=M247,"yes","no")</f>
        <v>no</v>
      </c>
      <c r="L247" s="533">
        <f>IF(K247="yes",(LOOKUP(J247,INPUTS!$E$6:$E$35,INPUTS!$F$6:$F$35)),0)</f>
        <v>0</v>
      </c>
      <c r="M247" s="135">
        <f t="shared" si="60"/>
        <v>226</v>
      </c>
      <c r="N247" s="135">
        <f t="shared" si="61"/>
        <v>1</v>
      </c>
      <c r="O247" s="135">
        <f t="shared" si="62"/>
        <v>0</v>
      </c>
      <c r="P247" s="536" t="e">
        <f t="shared" si="63"/>
        <v>#DIV/0!</v>
      </c>
      <c r="Q247" s="537" t="e">
        <f t="shared" si="50"/>
        <v>#DIV/0!</v>
      </c>
      <c r="R247" s="538" t="e">
        <f>IF(INPUTS!$B$15="yes",Q247,P247)</f>
        <v>#DIV/0!</v>
      </c>
      <c r="S247" s="536" t="e">
        <f t="shared" si="51"/>
        <v>#DIV/0!</v>
      </c>
      <c r="T247" s="537" t="e">
        <f t="shared" si="52"/>
        <v>#DIV/0!</v>
      </c>
      <c r="U247" s="538" t="e">
        <f>IF(INPUTS!$B$15="yes",T247,S247)</f>
        <v>#DIV/0!</v>
      </c>
      <c r="V247" s="536" t="e">
        <f t="shared" si="53"/>
        <v>#DIV/0!</v>
      </c>
      <c r="W247" s="537" t="e">
        <f t="shared" si="54"/>
        <v>#DIV/0!</v>
      </c>
      <c r="X247" s="538" t="e">
        <f>IF(INPUTS!$B$15="yes",W247,V247)</f>
        <v>#DIV/0!</v>
      </c>
      <c r="Y247" s="536" t="e">
        <f t="shared" si="55"/>
        <v>#DIV/0!</v>
      </c>
      <c r="Z247" s="537" t="e">
        <f t="shared" si="56"/>
        <v>#DIV/0!</v>
      </c>
      <c r="AA247" s="538" t="e">
        <f>IF(INPUTS!$B$15="yes",Z247,Y247)</f>
        <v>#DIV/0!</v>
      </c>
      <c r="AB247" s="536" t="e">
        <f t="shared" si="57"/>
        <v>#DIV/0!</v>
      </c>
      <c r="AC247" s="537" t="e">
        <f t="shared" si="58"/>
        <v>#DIV/0!</v>
      </c>
      <c r="AD247" s="538" t="e">
        <f>IF(INPUTS!$B$15="yes",AC247,AB247)</f>
        <v>#DIV/0!</v>
      </c>
      <c r="AE247" s="36" t="str">
        <f t="shared" si="59"/>
        <v>no</v>
      </c>
      <c r="AF247" s="36"/>
      <c r="AG247" s="389" t="e">
        <f>P247*('upper bound Kenaga'!$F$36/100)</f>
        <v>#DIV/0!</v>
      </c>
      <c r="AH247" s="36"/>
      <c r="AI247" s="389" t="e">
        <f>P247*('upper bound Kenaga'!$F$96/100)</f>
        <v>#DIV/0!</v>
      </c>
      <c r="AJ247" s="36"/>
      <c r="AK247" s="36"/>
      <c r="AL247" s="36"/>
      <c r="AM247" s="36"/>
      <c r="AN247" s="36"/>
      <c r="AO247" s="36"/>
    </row>
    <row r="248" spans="10:41" s="1" customFormat="1">
      <c r="J248" s="6">
        <f>COUNTIF(K$21:K248,"=yes")</f>
        <v>1</v>
      </c>
      <c r="K248" s="533" t="str">
        <f>IF(LOOKUP(VALUE(M248),INPUTS!$G$6:$G$35)=M248,"yes","no")</f>
        <v>no</v>
      </c>
      <c r="L248" s="533">
        <f>IF(K248="yes",(LOOKUP(J248,INPUTS!$E$6:$E$35,INPUTS!$F$6:$F$35)),0)</f>
        <v>0</v>
      </c>
      <c r="M248" s="135">
        <f t="shared" si="60"/>
        <v>227</v>
      </c>
      <c r="N248" s="135">
        <f t="shared" si="61"/>
        <v>1</v>
      </c>
      <c r="O248" s="135">
        <f t="shared" si="62"/>
        <v>0</v>
      </c>
      <c r="P248" s="536" t="e">
        <f t="shared" si="63"/>
        <v>#DIV/0!</v>
      </c>
      <c r="Q248" s="537" t="e">
        <f t="shared" si="50"/>
        <v>#DIV/0!</v>
      </c>
      <c r="R248" s="538" t="e">
        <f>IF(INPUTS!$B$15="yes",Q248,P248)</f>
        <v>#DIV/0!</v>
      </c>
      <c r="S248" s="536" t="e">
        <f t="shared" si="51"/>
        <v>#DIV/0!</v>
      </c>
      <c r="T248" s="537" t="e">
        <f t="shared" si="52"/>
        <v>#DIV/0!</v>
      </c>
      <c r="U248" s="538" t="e">
        <f>IF(INPUTS!$B$15="yes",T248,S248)</f>
        <v>#DIV/0!</v>
      </c>
      <c r="V248" s="536" t="e">
        <f t="shared" si="53"/>
        <v>#DIV/0!</v>
      </c>
      <c r="W248" s="537" t="e">
        <f t="shared" si="54"/>
        <v>#DIV/0!</v>
      </c>
      <c r="X248" s="538" t="e">
        <f>IF(INPUTS!$B$15="yes",W248,V248)</f>
        <v>#DIV/0!</v>
      </c>
      <c r="Y248" s="536" t="e">
        <f t="shared" si="55"/>
        <v>#DIV/0!</v>
      </c>
      <c r="Z248" s="537" t="e">
        <f t="shared" si="56"/>
        <v>#DIV/0!</v>
      </c>
      <c r="AA248" s="538" t="e">
        <f>IF(INPUTS!$B$15="yes",Z248,Y248)</f>
        <v>#DIV/0!</v>
      </c>
      <c r="AB248" s="536" t="e">
        <f t="shared" si="57"/>
        <v>#DIV/0!</v>
      </c>
      <c r="AC248" s="537" t="e">
        <f t="shared" si="58"/>
        <v>#DIV/0!</v>
      </c>
      <c r="AD248" s="538" t="e">
        <f>IF(INPUTS!$B$15="yes",AC248,AB248)</f>
        <v>#DIV/0!</v>
      </c>
      <c r="AE248" s="36" t="str">
        <f t="shared" si="59"/>
        <v>no</v>
      </c>
      <c r="AF248" s="36"/>
      <c r="AG248" s="389" t="e">
        <f>P248*('upper bound Kenaga'!$F$36/100)</f>
        <v>#DIV/0!</v>
      </c>
      <c r="AH248" s="36"/>
      <c r="AI248" s="389" t="e">
        <f>P248*('upper bound Kenaga'!$F$96/100)</f>
        <v>#DIV/0!</v>
      </c>
      <c r="AJ248" s="36"/>
      <c r="AK248" s="36"/>
      <c r="AL248" s="36"/>
      <c r="AM248" s="36"/>
      <c r="AN248" s="36"/>
      <c r="AO248" s="36"/>
    </row>
    <row r="249" spans="10:41" s="1" customFormat="1">
      <c r="J249" s="6">
        <f>COUNTIF(K$21:K249,"=yes")</f>
        <v>1</v>
      </c>
      <c r="K249" s="533" t="str">
        <f>IF(LOOKUP(VALUE(M249),INPUTS!$G$6:$G$35)=M249,"yes","no")</f>
        <v>no</v>
      </c>
      <c r="L249" s="533">
        <f>IF(K249="yes",(LOOKUP(J249,INPUTS!$E$6:$E$35,INPUTS!$F$6:$F$35)),0)</f>
        <v>0</v>
      </c>
      <c r="M249" s="135">
        <f t="shared" si="60"/>
        <v>228</v>
      </c>
      <c r="N249" s="135">
        <f t="shared" si="61"/>
        <v>1</v>
      </c>
      <c r="O249" s="135">
        <f t="shared" si="62"/>
        <v>0</v>
      </c>
      <c r="P249" s="536" t="e">
        <f t="shared" si="63"/>
        <v>#DIV/0!</v>
      </c>
      <c r="Q249" s="537" t="e">
        <f t="shared" si="50"/>
        <v>#DIV/0!</v>
      </c>
      <c r="R249" s="538" t="e">
        <f>IF(INPUTS!$B$15="yes",Q249,P249)</f>
        <v>#DIV/0!</v>
      </c>
      <c r="S249" s="536" t="e">
        <f t="shared" si="51"/>
        <v>#DIV/0!</v>
      </c>
      <c r="T249" s="537" t="e">
        <f t="shared" si="52"/>
        <v>#DIV/0!</v>
      </c>
      <c r="U249" s="538" t="e">
        <f>IF(INPUTS!$B$15="yes",T249,S249)</f>
        <v>#DIV/0!</v>
      </c>
      <c r="V249" s="536" t="e">
        <f t="shared" si="53"/>
        <v>#DIV/0!</v>
      </c>
      <c r="W249" s="537" t="e">
        <f t="shared" si="54"/>
        <v>#DIV/0!</v>
      </c>
      <c r="X249" s="538" t="e">
        <f>IF(INPUTS!$B$15="yes",W249,V249)</f>
        <v>#DIV/0!</v>
      </c>
      <c r="Y249" s="536" t="e">
        <f t="shared" si="55"/>
        <v>#DIV/0!</v>
      </c>
      <c r="Z249" s="537" t="e">
        <f t="shared" si="56"/>
        <v>#DIV/0!</v>
      </c>
      <c r="AA249" s="538" t="e">
        <f>IF(INPUTS!$B$15="yes",Z249,Y249)</f>
        <v>#DIV/0!</v>
      </c>
      <c r="AB249" s="536" t="e">
        <f t="shared" si="57"/>
        <v>#DIV/0!</v>
      </c>
      <c r="AC249" s="537" t="e">
        <f t="shared" si="58"/>
        <v>#DIV/0!</v>
      </c>
      <c r="AD249" s="538" t="e">
        <f>IF(INPUTS!$B$15="yes",AC249,AB249)</f>
        <v>#DIV/0!</v>
      </c>
      <c r="AE249" s="36" t="str">
        <f t="shared" si="59"/>
        <v>no</v>
      </c>
      <c r="AF249" s="36"/>
      <c r="AG249" s="389" t="e">
        <f>P249*('upper bound Kenaga'!$F$36/100)</f>
        <v>#DIV/0!</v>
      </c>
      <c r="AH249" s="36"/>
      <c r="AI249" s="389" t="e">
        <f>P249*('upper bound Kenaga'!$F$96/100)</f>
        <v>#DIV/0!</v>
      </c>
      <c r="AJ249" s="36"/>
      <c r="AK249" s="36"/>
      <c r="AL249" s="36"/>
      <c r="AM249" s="36"/>
      <c r="AN249" s="36"/>
      <c r="AO249" s="36"/>
    </row>
    <row r="250" spans="10:41" s="1" customFormat="1">
      <c r="J250" s="6">
        <f>COUNTIF(K$21:K250,"=yes")</f>
        <v>1</v>
      </c>
      <c r="K250" s="533" t="str">
        <f>IF(LOOKUP(VALUE(M250),INPUTS!$G$6:$G$35)=M250,"yes","no")</f>
        <v>no</v>
      </c>
      <c r="L250" s="533">
        <f>IF(K250="yes",(LOOKUP(J250,INPUTS!$E$6:$E$35,INPUTS!$F$6:$F$35)),0)</f>
        <v>0</v>
      </c>
      <c r="M250" s="135">
        <f t="shared" si="60"/>
        <v>229</v>
      </c>
      <c r="N250" s="135">
        <f t="shared" si="61"/>
        <v>1</v>
      </c>
      <c r="O250" s="135">
        <f t="shared" si="62"/>
        <v>0</v>
      </c>
      <c r="P250" s="536" t="e">
        <f t="shared" si="63"/>
        <v>#DIV/0!</v>
      </c>
      <c r="Q250" s="537" t="e">
        <f t="shared" si="50"/>
        <v>#DIV/0!</v>
      </c>
      <c r="R250" s="538" t="e">
        <f>IF(INPUTS!$B$15="yes",Q250,P250)</f>
        <v>#DIV/0!</v>
      </c>
      <c r="S250" s="536" t="e">
        <f t="shared" si="51"/>
        <v>#DIV/0!</v>
      </c>
      <c r="T250" s="537" t="e">
        <f t="shared" si="52"/>
        <v>#DIV/0!</v>
      </c>
      <c r="U250" s="538" t="e">
        <f>IF(INPUTS!$B$15="yes",T250,S250)</f>
        <v>#DIV/0!</v>
      </c>
      <c r="V250" s="536" t="e">
        <f t="shared" si="53"/>
        <v>#DIV/0!</v>
      </c>
      <c r="W250" s="537" t="e">
        <f t="shared" si="54"/>
        <v>#DIV/0!</v>
      </c>
      <c r="X250" s="538" t="e">
        <f>IF(INPUTS!$B$15="yes",W250,V250)</f>
        <v>#DIV/0!</v>
      </c>
      <c r="Y250" s="536" t="e">
        <f t="shared" si="55"/>
        <v>#DIV/0!</v>
      </c>
      <c r="Z250" s="537" t="e">
        <f t="shared" si="56"/>
        <v>#DIV/0!</v>
      </c>
      <c r="AA250" s="538" t="e">
        <f>IF(INPUTS!$B$15="yes",Z250,Y250)</f>
        <v>#DIV/0!</v>
      </c>
      <c r="AB250" s="536" t="e">
        <f t="shared" si="57"/>
        <v>#DIV/0!</v>
      </c>
      <c r="AC250" s="537" t="e">
        <f t="shared" si="58"/>
        <v>#DIV/0!</v>
      </c>
      <c r="AD250" s="538" t="e">
        <f>IF(INPUTS!$B$15="yes",AC250,AB250)</f>
        <v>#DIV/0!</v>
      </c>
      <c r="AE250" s="36" t="str">
        <f t="shared" si="59"/>
        <v>no</v>
      </c>
      <c r="AF250" s="36"/>
      <c r="AG250" s="389" t="e">
        <f>P250*('upper bound Kenaga'!$F$36/100)</f>
        <v>#DIV/0!</v>
      </c>
      <c r="AH250" s="36"/>
      <c r="AI250" s="389" t="e">
        <f>P250*('upper bound Kenaga'!$F$96/100)</f>
        <v>#DIV/0!</v>
      </c>
      <c r="AJ250" s="36"/>
      <c r="AK250" s="36"/>
      <c r="AL250" s="36"/>
      <c r="AM250" s="36"/>
      <c r="AN250" s="36"/>
      <c r="AO250" s="36"/>
    </row>
    <row r="251" spans="10:41" s="1" customFormat="1">
      <c r="J251" s="6">
        <f>COUNTIF(K$21:K251,"=yes")</f>
        <v>1</v>
      </c>
      <c r="K251" s="533" t="str">
        <f>IF(LOOKUP(VALUE(M251),INPUTS!$G$6:$G$35)=M251,"yes","no")</f>
        <v>no</v>
      </c>
      <c r="L251" s="533">
        <f>IF(K251="yes",(LOOKUP(J251,INPUTS!$E$6:$E$35,INPUTS!$F$6:$F$35)),0)</f>
        <v>0</v>
      </c>
      <c r="M251" s="135">
        <f t="shared" si="60"/>
        <v>230</v>
      </c>
      <c r="N251" s="135">
        <f t="shared" si="61"/>
        <v>1</v>
      </c>
      <c r="O251" s="135">
        <f t="shared" si="62"/>
        <v>0</v>
      </c>
      <c r="P251" s="536" t="e">
        <f t="shared" si="63"/>
        <v>#DIV/0!</v>
      </c>
      <c r="Q251" s="537" t="e">
        <f t="shared" si="50"/>
        <v>#DIV/0!</v>
      </c>
      <c r="R251" s="538" t="e">
        <f>IF(INPUTS!$B$15="yes",Q251,P251)</f>
        <v>#DIV/0!</v>
      </c>
      <c r="S251" s="536" t="e">
        <f t="shared" si="51"/>
        <v>#DIV/0!</v>
      </c>
      <c r="T251" s="537" t="e">
        <f t="shared" si="52"/>
        <v>#DIV/0!</v>
      </c>
      <c r="U251" s="538" t="e">
        <f>IF(INPUTS!$B$15="yes",T251,S251)</f>
        <v>#DIV/0!</v>
      </c>
      <c r="V251" s="536" t="e">
        <f t="shared" si="53"/>
        <v>#DIV/0!</v>
      </c>
      <c r="W251" s="537" t="e">
        <f t="shared" si="54"/>
        <v>#DIV/0!</v>
      </c>
      <c r="X251" s="538" t="e">
        <f>IF(INPUTS!$B$15="yes",W251,V251)</f>
        <v>#DIV/0!</v>
      </c>
      <c r="Y251" s="536" t="e">
        <f t="shared" si="55"/>
        <v>#DIV/0!</v>
      </c>
      <c r="Z251" s="537" t="e">
        <f t="shared" si="56"/>
        <v>#DIV/0!</v>
      </c>
      <c r="AA251" s="538" t="e">
        <f>IF(INPUTS!$B$15="yes",Z251,Y251)</f>
        <v>#DIV/0!</v>
      </c>
      <c r="AB251" s="536" t="e">
        <f t="shared" si="57"/>
        <v>#DIV/0!</v>
      </c>
      <c r="AC251" s="537" t="e">
        <f t="shared" si="58"/>
        <v>#DIV/0!</v>
      </c>
      <c r="AD251" s="538" t="e">
        <f>IF(INPUTS!$B$15="yes",AC251,AB251)</f>
        <v>#DIV/0!</v>
      </c>
      <c r="AE251" s="36" t="str">
        <f t="shared" si="59"/>
        <v>no</v>
      </c>
      <c r="AF251" s="36"/>
      <c r="AG251" s="389" t="e">
        <f>P251*('upper bound Kenaga'!$F$36/100)</f>
        <v>#DIV/0!</v>
      </c>
      <c r="AH251" s="36"/>
      <c r="AI251" s="389" t="e">
        <f>P251*('upper bound Kenaga'!$F$96/100)</f>
        <v>#DIV/0!</v>
      </c>
      <c r="AJ251" s="36"/>
      <c r="AK251" s="36"/>
      <c r="AL251" s="36"/>
      <c r="AM251" s="36"/>
      <c r="AN251" s="36"/>
      <c r="AO251" s="36"/>
    </row>
    <row r="252" spans="10:41" s="1" customFormat="1">
      <c r="J252" s="6">
        <f>COUNTIF(K$21:K252,"=yes")</f>
        <v>1</v>
      </c>
      <c r="K252" s="533" t="str">
        <f>IF(LOOKUP(VALUE(M252),INPUTS!$G$6:$G$35)=M252,"yes","no")</f>
        <v>no</v>
      </c>
      <c r="L252" s="533">
        <f>IF(K252="yes",(LOOKUP(J252,INPUTS!$E$6:$E$35,INPUTS!$F$6:$F$35)),0)</f>
        <v>0</v>
      </c>
      <c r="M252" s="135">
        <f t="shared" si="60"/>
        <v>231</v>
      </c>
      <c r="N252" s="135">
        <f t="shared" si="61"/>
        <v>1</v>
      </c>
      <c r="O252" s="135">
        <f t="shared" si="62"/>
        <v>0</v>
      </c>
      <c r="P252" s="536" t="e">
        <f t="shared" si="63"/>
        <v>#DIV/0!</v>
      </c>
      <c r="Q252" s="537" t="e">
        <f t="shared" si="50"/>
        <v>#DIV/0!</v>
      </c>
      <c r="R252" s="538" t="e">
        <f>IF(INPUTS!$B$15="yes",Q252,P252)</f>
        <v>#DIV/0!</v>
      </c>
      <c r="S252" s="536" t="e">
        <f t="shared" si="51"/>
        <v>#DIV/0!</v>
      </c>
      <c r="T252" s="537" t="e">
        <f t="shared" si="52"/>
        <v>#DIV/0!</v>
      </c>
      <c r="U252" s="538" t="e">
        <f>IF(INPUTS!$B$15="yes",T252,S252)</f>
        <v>#DIV/0!</v>
      </c>
      <c r="V252" s="536" t="e">
        <f t="shared" si="53"/>
        <v>#DIV/0!</v>
      </c>
      <c r="W252" s="537" t="e">
        <f t="shared" si="54"/>
        <v>#DIV/0!</v>
      </c>
      <c r="X252" s="538" t="e">
        <f>IF(INPUTS!$B$15="yes",W252,V252)</f>
        <v>#DIV/0!</v>
      </c>
      <c r="Y252" s="536" t="e">
        <f t="shared" si="55"/>
        <v>#DIV/0!</v>
      </c>
      <c r="Z252" s="537" t="e">
        <f t="shared" si="56"/>
        <v>#DIV/0!</v>
      </c>
      <c r="AA252" s="538" t="e">
        <f>IF(INPUTS!$B$15="yes",Z252,Y252)</f>
        <v>#DIV/0!</v>
      </c>
      <c r="AB252" s="536" t="e">
        <f t="shared" si="57"/>
        <v>#DIV/0!</v>
      </c>
      <c r="AC252" s="537" t="e">
        <f t="shared" si="58"/>
        <v>#DIV/0!</v>
      </c>
      <c r="AD252" s="538" t="e">
        <f>IF(INPUTS!$B$15="yes",AC252,AB252)</f>
        <v>#DIV/0!</v>
      </c>
      <c r="AE252" s="36" t="str">
        <f t="shared" si="59"/>
        <v>no</v>
      </c>
      <c r="AF252" s="36"/>
      <c r="AG252" s="389" t="e">
        <f>P252*('upper bound Kenaga'!$F$36/100)</f>
        <v>#DIV/0!</v>
      </c>
      <c r="AH252" s="36"/>
      <c r="AI252" s="389" t="e">
        <f>P252*('upper bound Kenaga'!$F$96/100)</f>
        <v>#DIV/0!</v>
      </c>
      <c r="AJ252" s="36"/>
      <c r="AK252" s="36"/>
      <c r="AL252" s="36"/>
      <c r="AM252" s="36"/>
      <c r="AN252" s="36"/>
      <c r="AO252" s="36"/>
    </row>
    <row r="253" spans="10:41" s="1" customFormat="1">
      <c r="J253" s="6">
        <f>COUNTIF(K$21:K253,"=yes")</f>
        <v>1</v>
      </c>
      <c r="K253" s="533" t="str">
        <f>IF(LOOKUP(VALUE(M253),INPUTS!$G$6:$G$35)=M253,"yes","no")</f>
        <v>no</v>
      </c>
      <c r="L253" s="533">
        <f>IF(K253="yes",(LOOKUP(J253,INPUTS!$E$6:$E$35,INPUTS!$F$6:$F$35)),0)</f>
        <v>0</v>
      </c>
      <c r="M253" s="135">
        <f t="shared" si="60"/>
        <v>232</v>
      </c>
      <c r="N253" s="135">
        <f t="shared" si="61"/>
        <v>1</v>
      </c>
      <c r="O253" s="135">
        <f t="shared" si="62"/>
        <v>0</v>
      </c>
      <c r="P253" s="536" t="e">
        <f t="shared" si="63"/>
        <v>#DIV/0!</v>
      </c>
      <c r="Q253" s="537" t="e">
        <f t="shared" si="50"/>
        <v>#DIV/0!</v>
      </c>
      <c r="R253" s="538" t="e">
        <f>IF(INPUTS!$B$15="yes",Q253,P253)</f>
        <v>#DIV/0!</v>
      </c>
      <c r="S253" s="536" t="e">
        <f t="shared" si="51"/>
        <v>#DIV/0!</v>
      </c>
      <c r="T253" s="537" t="e">
        <f t="shared" si="52"/>
        <v>#DIV/0!</v>
      </c>
      <c r="U253" s="538" t="e">
        <f>IF(INPUTS!$B$15="yes",T253,S253)</f>
        <v>#DIV/0!</v>
      </c>
      <c r="V253" s="536" t="e">
        <f t="shared" si="53"/>
        <v>#DIV/0!</v>
      </c>
      <c r="W253" s="537" t="e">
        <f t="shared" si="54"/>
        <v>#DIV/0!</v>
      </c>
      <c r="X253" s="538" t="e">
        <f>IF(INPUTS!$B$15="yes",W253,V253)</f>
        <v>#DIV/0!</v>
      </c>
      <c r="Y253" s="536" t="e">
        <f t="shared" si="55"/>
        <v>#DIV/0!</v>
      </c>
      <c r="Z253" s="537" t="e">
        <f t="shared" si="56"/>
        <v>#DIV/0!</v>
      </c>
      <c r="AA253" s="538" t="e">
        <f>IF(INPUTS!$B$15="yes",Z253,Y253)</f>
        <v>#DIV/0!</v>
      </c>
      <c r="AB253" s="536" t="e">
        <f t="shared" si="57"/>
        <v>#DIV/0!</v>
      </c>
      <c r="AC253" s="537" t="e">
        <f t="shared" si="58"/>
        <v>#DIV/0!</v>
      </c>
      <c r="AD253" s="538" t="e">
        <f>IF(INPUTS!$B$15="yes",AC253,AB253)</f>
        <v>#DIV/0!</v>
      </c>
      <c r="AE253" s="36" t="str">
        <f t="shared" si="59"/>
        <v>no</v>
      </c>
      <c r="AF253" s="36"/>
      <c r="AG253" s="389" t="e">
        <f>P253*('upper bound Kenaga'!$F$36/100)</f>
        <v>#DIV/0!</v>
      </c>
      <c r="AH253" s="36"/>
      <c r="AI253" s="389" t="e">
        <f>P253*('upper bound Kenaga'!$F$96/100)</f>
        <v>#DIV/0!</v>
      </c>
      <c r="AJ253" s="36"/>
      <c r="AK253" s="36"/>
      <c r="AL253" s="36"/>
      <c r="AM253" s="36"/>
      <c r="AN253" s="36"/>
      <c r="AO253" s="36"/>
    </row>
    <row r="254" spans="10:41" s="1" customFormat="1">
      <c r="J254" s="6">
        <f>COUNTIF(K$21:K254,"=yes")</f>
        <v>1</v>
      </c>
      <c r="K254" s="533" t="str">
        <f>IF(LOOKUP(VALUE(M254),INPUTS!$G$6:$G$35)=M254,"yes","no")</f>
        <v>no</v>
      </c>
      <c r="L254" s="533">
        <f>IF(K254="yes",(LOOKUP(J254,INPUTS!$E$6:$E$35,INPUTS!$F$6:$F$35)),0)</f>
        <v>0</v>
      </c>
      <c r="M254" s="135">
        <f t="shared" si="60"/>
        <v>233</v>
      </c>
      <c r="N254" s="135">
        <f t="shared" si="61"/>
        <v>1</v>
      </c>
      <c r="O254" s="135">
        <f t="shared" si="62"/>
        <v>0</v>
      </c>
      <c r="P254" s="536" t="e">
        <f t="shared" si="63"/>
        <v>#DIV/0!</v>
      </c>
      <c r="Q254" s="537" t="e">
        <f t="shared" si="50"/>
        <v>#DIV/0!</v>
      </c>
      <c r="R254" s="538" t="e">
        <f>IF(INPUTS!$B$15="yes",Q254,P254)</f>
        <v>#DIV/0!</v>
      </c>
      <c r="S254" s="536" t="e">
        <f t="shared" si="51"/>
        <v>#DIV/0!</v>
      </c>
      <c r="T254" s="537" t="e">
        <f t="shared" si="52"/>
        <v>#DIV/0!</v>
      </c>
      <c r="U254" s="538" t="e">
        <f>IF(INPUTS!$B$15="yes",T254,S254)</f>
        <v>#DIV/0!</v>
      </c>
      <c r="V254" s="536" t="e">
        <f t="shared" si="53"/>
        <v>#DIV/0!</v>
      </c>
      <c r="W254" s="537" t="e">
        <f t="shared" si="54"/>
        <v>#DIV/0!</v>
      </c>
      <c r="X254" s="538" t="e">
        <f>IF(INPUTS!$B$15="yes",W254,V254)</f>
        <v>#DIV/0!</v>
      </c>
      <c r="Y254" s="536" t="e">
        <f t="shared" si="55"/>
        <v>#DIV/0!</v>
      </c>
      <c r="Z254" s="537" t="e">
        <f t="shared" si="56"/>
        <v>#DIV/0!</v>
      </c>
      <c r="AA254" s="538" t="e">
        <f>IF(INPUTS!$B$15="yes",Z254,Y254)</f>
        <v>#DIV/0!</v>
      </c>
      <c r="AB254" s="536" t="e">
        <f t="shared" si="57"/>
        <v>#DIV/0!</v>
      </c>
      <c r="AC254" s="537" t="e">
        <f t="shared" si="58"/>
        <v>#DIV/0!</v>
      </c>
      <c r="AD254" s="538" t="e">
        <f>IF(INPUTS!$B$15="yes",AC254,AB254)</f>
        <v>#DIV/0!</v>
      </c>
      <c r="AE254" s="36" t="str">
        <f t="shared" si="59"/>
        <v>no</v>
      </c>
      <c r="AF254" s="36"/>
      <c r="AG254" s="389" t="e">
        <f>P254*('upper bound Kenaga'!$F$36/100)</f>
        <v>#DIV/0!</v>
      </c>
      <c r="AH254" s="36"/>
      <c r="AI254" s="389" t="e">
        <f>P254*('upper bound Kenaga'!$F$96/100)</f>
        <v>#DIV/0!</v>
      </c>
      <c r="AJ254" s="36"/>
      <c r="AK254" s="36"/>
      <c r="AL254" s="36"/>
      <c r="AM254" s="36"/>
      <c r="AN254" s="36"/>
      <c r="AO254" s="36"/>
    </row>
    <row r="255" spans="10:41" s="1" customFormat="1">
      <c r="J255" s="6">
        <f>COUNTIF(K$21:K255,"=yes")</f>
        <v>1</v>
      </c>
      <c r="K255" s="533" t="str">
        <f>IF(LOOKUP(VALUE(M255),INPUTS!$G$6:$G$35)=M255,"yes","no")</f>
        <v>no</v>
      </c>
      <c r="L255" s="533">
        <f>IF(K255="yes",(LOOKUP(J255,INPUTS!$E$6:$E$35,INPUTS!$F$6:$F$35)),0)</f>
        <v>0</v>
      </c>
      <c r="M255" s="135">
        <f t="shared" si="60"/>
        <v>234</v>
      </c>
      <c r="N255" s="135">
        <f t="shared" si="61"/>
        <v>1</v>
      </c>
      <c r="O255" s="135">
        <f t="shared" si="62"/>
        <v>0</v>
      </c>
      <c r="P255" s="536" t="e">
        <f t="shared" si="63"/>
        <v>#DIV/0!</v>
      </c>
      <c r="Q255" s="537" t="e">
        <f t="shared" si="50"/>
        <v>#DIV/0!</v>
      </c>
      <c r="R255" s="538" t="e">
        <f>IF(INPUTS!$B$15="yes",Q255,P255)</f>
        <v>#DIV/0!</v>
      </c>
      <c r="S255" s="536" t="e">
        <f t="shared" si="51"/>
        <v>#DIV/0!</v>
      </c>
      <c r="T255" s="537" t="e">
        <f t="shared" si="52"/>
        <v>#DIV/0!</v>
      </c>
      <c r="U255" s="538" t="e">
        <f>IF(INPUTS!$B$15="yes",T255,S255)</f>
        <v>#DIV/0!</v>
      </c>
      <c r="V255" s="536" t="e">
        <f t="shared" si="53"/>
        <v>#DIV/0!</v>
      </c>
      <c r="W255" s="537" t="e">
        <f t="shared" si="54"/>
        <v>#DIV/0!</v>
      </c>
      <c r="X255" s="538" t="e">
        <f>IF(INPUTS!$B$15="yes",W255,V255)</f>
        <v>#DIV/0!</v>
      </c>
      <c r="Y255" s="536" t="e">
        <f t="shared" si="55"/>
        <v>#DIV/0!</v>
      </c>
      <c r="Z255" s="537" t="e">
        <f t="shared" si="56"/>
        <v>#DIV/0!</v>
      </c>
      <c r="AA255" s="538" t="e">
        <f>IF(INPUTS!$B$15="yes",Z255,Y255)</f>
        <v>#DIV/0!</v>
      </c>
      <c r="AB255" s="536" t="e">
        <f t="shared" si="57"/>
        <v>#DIV/0!</v>
      </c>
      <c r="AC255" s="537" t="e">
        <f t="shared" si="58"/>
        <v>#DIV/0!</v>
      </c>
      <c r="AD255" s="538" t="e">
        <f>IF(INPUTS!$B$15="yes",AC255,AB255)</f>
        <v>#DIV/0!</v>
      </c>
      <c r="AE255" s="36" t="str">
        <f t="shared" si="59"/>
        <v>no</v>
      </c>
      <c r="AF255" s="36"/>
      <c r="AG255" s="389" t="e">
        <f>P255*('upper bound Kenaga'!$F$36/100)</f>
        <v>#DIV/0!</v>
      </c>
      <c r="AH255" s="36"/>
      <c r="AI255" s="389" t="e">
        <f>P255*('upper bound Kenaga'!$F$96/100)</f>
        <v>#DIV/0!</v>
      </c>
      <c r="AJ255" s="36"/>
      <c r="AK255" s="36"/>
      <c r="AL255" s="36"/>
      <c r="AM255" s="36"/>
      <c r="AN255" s="36"/>
      <c r="AO255" s="36"/>
    </row>
    <row r="256" spans="10:41" s="1" customFormat="1">
      <c r="J256" s="6">
        <f>COUNTIF(K$21:K256,"=yes")</f>
        <v>1</v>
      </c>
      <c r="K256" s="533" t="str">
        <f>IF(LOOKUP(VALUE(M256),INPUTS!$G$6:$G$35)=M256,"yes","no")</f>
        <v>no</v>
      </c>
      <c r="L256" s="533">
        <f>IF(K256="yes",(LOOKUP(J256,INPUTS!$E$6:$E$35,INPUTS!$F$6:$F$35)),0)</f>
        <v>0</v>
      </c>
      <c r="M256" s="135">
        <f t="shared" si="60"/>
        <v>235</v>
      </c>
      <c r="N256" s="135">
        <f t="shared" si="61"/>
        <v>1</v>
      </c>
      <c r="O256" s="135">
        <f t="shared" si="62"/>
        <v>0</v>
      </c>
      <c r="P256" s="536" t="e">
        <f t="shared" si="63"/>
        <v>#DIV/0!</v>
      </c>
      <c r="Q256" s="537" t="e">
        <f t="shared" si="50"/>
        <v>#DIV/0!</v>
      </c>
      <c r="R256" s="538" t="e">
        <f>IF(INPUTS!$B$15="yes",Q256,P256)</f>
        <v>#DIV/0!</v>
      </c>
      <c r="S256" s="536" t="e">
        <f t="shared" si="51"/>
        <v>#DIV/0!</v>
      </c>
      <c r="T256" s="537" t="e">
        <f t="shared" si="52"/>
        <v>#DIV/0!</v>
      </c>
      <c r="U256" s="538" t="e">
        <f>IF(INPUTS!$B$15="yes",T256,S256)</f>
        <v>#DIV/0!</v>
      </c>
      <c r="V256" s="536" t="e">
        <f t="shared" si="53"/>
        <v>#DIV/0!</v>
      </c>
      <c r="W256" s="537" t="e">
        <f t="shared" si="54"/>
        <v>#DIV/0!</v>
      </c>
      <c r="X256" s="538" t="e">
        <f>IF(INPUTS!$B$15="yes",W256,V256)</f>
        <v>#DIV/0!</v>
      </c>
      <c r="Y256" s="536" t="e">
        <f t="shared" si="55"/>
        <v>#DIV/0!</v>
      </c>
      <c r="Z256" s="537" t="e">
        <f t="shared" si="56"/>
        <v>#DIV/0!</v>
      </c>
      <c r="AA256" s="538" t="e">
        <f>IF(INPUTS!$B$15="yes",Z256,Y256)</f>
        <v>#DIV/0!</v>
      </c>
      <c r="AB256" s="536" t="e">
        <f t="shared" si="57"/>
        <v>#DIV/0!</v>
      </c>
      <c r="AC256" s="537" t="e">
        <f t="shared" si="58"/>
        <v>#DIV/0!</v>
      </c>
      <c r="AD256" s="538" t="e">
        <f>IF(INPUTS!$B$15="yes",AC256,AB256)</f>
        <v>#DIV/0!</v>
      </c>
      <c r="AE256" s="36" t="str">
        <f t="shared" si="59"/>
        <v>no</v>
      </c>
      <c r="AF256" s="36"/>
      <c r="AG256" s="389" t="e">
        <f>P256*('upper bound Kenaga'!$F$36/100)</f>
        <v>#DIV/0!</v>
      </c>
      <c r="AH256" s="36"/>
      <c r="AI256" s="389" t="e">
        <f>P256*('upper bound Kenaga'!$F$96/100)</f>
        <v>#DIV/0!</v>
      </c>
      <c r="AJ256" s="36"/>
      <c r="AK256" s="36"/>
      <c r="AL256" s="36"/>
      <c r="AM256" s="36"/>
      <c r="AN256" s="36"/>
      <c r="AO256" s="36"/>
    </row>
    <row r="257" spans="10:41" s="1" customFormat="1">
      <c r="J257" s="6">
        <f>COUNTIF(K$21:K257,"=yes")</f>
        <v>1</v>
      </c>
      <c r="K257" s="533" t="str">
        <f>IF(LOOKUP(VALUE(M257),INPUTS!$G$6:$G$35)=M257,"yes","no")</f>
        <v>no</v>
      </c>
      <c r="L257" s="533">
        <f>IF(K257="yes",(LOOKUP(J257,INPUTS!$E$6:$E$35,INPUTS!$F$6:$F$35)),0)</f>
        <v>0</v>
      </c>
      <c r="M257" s="135">
        <f t="shared" si="60"/>
        <v>236</v>
      </c>
      <c r="N257" s="135">
        <f t="shared" si="61"/>
        <v>1</v>
      </c>
      <c r="O257" s="135">
        <f t="shared" si="62"/>
        <v>0</v>
      </c>
      <c r="P257" s="536" t="e">
        <f t="shared" si="63"/>
        <v>#DIV/0!</v>
      </c>
      <c r="Q257" s="537" t="e">
        <f t="shared" si="50"/>
        <v>#DIV/0!</v>
      </c>
      <c r="R257" s="538" t="e">
        <f>IF(INPUTS!$B$15="yes",Q257,P257)</f>
        <v>#DIV/0!</v>
      </c>
      <c r="S257" s="536" t="e">
        <f t="shared" si="51"/>
        <v>#DIV/0!</v>
      </c>
      <c r="T257" s="537" t="e">
        <f t="shared" si="52"/>
        <v>#DIV/0!</v>
      </c>
      <c r="U257" s="538" t="e">
        <f>IF(INPUTS!$B$15="yes",T257,S257)</f>
        <v>#DIV/0!</v>
      </c>
      <c r="V257" s="536" t="e">
        <f t="shared" si="53"/>
        <v>#DIV/0!</v>
      </c>
      <c r="W257" s="537" t="e">
        <f t="shared" si="54"/>
        <v>#DIV/0!</v>
      </c>
      <c r="X257" s="538" t="e">
        <f>IF(INPUTS!$B$15="yes",W257,V257)</f>
        <v>#DIV/0!</v>
      </c>
      <c r="Y257" s="536" t="e">
        <f t="shared" si="55"/>
        <v>#DIV/0!</v>
      </c>
      <c r="Z257" s="537" t="e">
        <f t="shared" si="56"/>
        <v>#DIV/0!</v>
      </c>
      <c r="AA257" s="538" t="e">
        <f>IF(INPUTS!$B$15="yes",Z257,Y257)</f>
        <v>#DIV/0!</v>
      </c>
      <c r="AB257" s="536" t="e">
        <f t="shared" si="57"/>
        <v>#DIV/0!</v>
      </c>
      <c r="AC257" s="537" t="e">
        <f t="shared" si="58"/>
        <v>#DIV/0!</v>
      </c>
      <c r="AD257" s="538" t="e">
        <f>IF(INPUTS!$B$15="yes",AC257,AB257)</f>
        <v>#DIV/0!</v>
      </c>
      <c r="AE257" s="36" t="str">
        <f t="shared" si="59"/>
        <v>no</v>
      </c>
      <c r="AF257" s="36"/>
      <c r="AG257" s="389" t="e">
        <f>P257*('upper bound Kenaga'!$F$36/100)</f>
        <v>#DIV/0!</v>
      </c>
      <c r="AH257" s="36"/>
      <c r="AI257" s="389" t="e">
        <f>P257*('upper bound Kenaga'!$F$96/100)</f>
        <v>#DIV/0!</v>
      </c>
      <c r="AJ257" s="36"/>
      <c r="AK257" s="36"/>
      <c r="AL257" s="36"/>
      <c r="AM257" s="36"/>
      <c r="AN257" s="36"/>
      <c r="AO257" s="36"/>
    </row>
    <row r="258" spans="10:41" s="1" customFormat="1">
      <c r="J258" s="6">
        <f>COUNTIF(K$21:K258,"=yes")</f>
        <v>1</v>
      </c>
      <c r="K258" s="533" t="str">
        <f>IF(LOOKUP(VALUE(M258),INPUTS!$G$6:$G$35)=M258,"yes","no")</f>
        <v>no</v>
      </c>
      <c r="L258" s="533">
        <f>IF(K258="yes",(LOOKUP(J258,INPUTS!$E$6:$E$35,INPUTS!$F$6:$F$35)),0)</f>
        <v>0</v>
      </c>
      <c r="M258" s="135">
        <f t="shared" si="60"/>
        <v>237</v>
      </c>
      <c r="N258" s="135">
        <f t="shared" si="61"/>
        <v>1</v>
      </c>
      <c r="O258" s="135">
        <f t="shared" si="62"/>
        <v>0</v>
      </c>
      <c r="P258" s="536" t="e">
        <f t="shared" si="63"/>
        <v>#DIV/0!</v>
      </c>
      <c r="Q258" s="537" t="e">
        <f t="shared" si="50"/>
        <v>#DIV/0!</v>
      </c>
      <c r="R258" s="538" t="e">
        <f>IF(INPUTS!$B$15="yes",Q258,P258)</f>
        <v>#DIV/0!</v>
      </c>
      <c r="S258" s="536" t="e">
        <f t="shared" si="51"/>
        <v>#DIV/0!</v>
      </c>
      <c r="T258" s="537" t="e">
        <f t="shared" si="52"/>
        <v>#DIV/0!</v>
      </c>
      <c r="U258" s="538" t="e">
        <f>IF(INPUTS!$B$15="yes",T258,S258)</f>
        <v>#DIV/0!</v>
      </c>
      <c r="V258" s="536" t="e">
        <f t="shared" si="53"/>
        <v>#DIV/0!</v>
      </c>
      <c r="W258" s="537" t="e">
        <f t="shared" si="54"/>
        <v>#DIV/0!</v>
      </c>
      <c r="X258" s="538" t="e">
        <f>IF(INPUTS!$B$15="yes",W258,V258)</f>
        <v>#DIV/0!</v>
      </c>
      <c r="Y258" s="536" t="e">
        <f t="shared" si="55"/>
        <v>#DIV/0!</v>
      </c>
      <c r="Z258" s="537" t="e">
        <f t="shared" si="56"/>
        <v>#DIV/0!</v>
      </c>
      <c r="AA258" s="538" t="e">
        <f>IF(INPUTS!$B$15="yes",Z258,Y258)</f>
        <v>#DIV/0!</v>
      </c>
      <c r="AB258" s="536" t="e">
        <f t="shared" si="57"/>
        <v>#DIV/0!</v>
      </c>
      <c r="AC258" s="537" t="e">
        <f t="shared" si="58"/>
        <v>#DIV/0!</v>
      </c>
      <c r="AD258" s="538" t="e">
        <f>IF(INPUTS!$B$15="yes",AC258,AB258)</f>
        <v>#DIV/0!</v>
      </c>
      <c r="AE258" s="36" t="str">
        <f t="shared" si="59"/>
        <v>no</v>
      </c>
      <c r="AF258" s="36"/>
      <c r="AG258" s="389" t="e">
        <f>P258*('upper bound Kenaga'!$F$36/100)</f>
        <v>#DIV/0!</v>
      </c>
      <c r="AH258" s="36"/>
      <c r="AI258" s="389" t="e">
        <f>P258*('upper bound Kenaga'!$F$96/100)</f>
        <v>#DIV/0!</v>
      </c>
      <c r="AJ258" s="36"/>
      <c r="AK258" s="36"/>
      <c r="AL258" s="36"/>
      <c r="AM258" s="36"/>
      <c r="AN258" s="36"/>
      <c r="AO258" s="36"/>
    </row>
    <row r="259" spans="10:41" s="1" customFormat="1">
      <c r="J259" s="6">
        <f>COUNTIF(K$21:K259,"=yes")</f>
        <v>1</v>
      </c>
      <c r="K259" s="533" t="str">
        <f>IF(LOOKUP(VALUE(M259),INPUTS!$G$6:$G$35)=M259,"yes","no")</f>
        <v>no</v>
      </c>
      <c r="L259" s="533">
        <f>IF(K259="yes",(LOOKUP(J259,INPUTS!$E$6:$E$35,INPUTS!$F$6:$F$35)),0)</f>
        <v>0</v>
      </c>
      <c r="M259" s="135">
        <f t="shared" si="60"/>
        <v>238</v>
      </c>
      <c r="N259" s="135">
        <f t="shared" si="61"/>
        <v>1</v>
      </c>
      <c r="O259" s="135">
        <f t="shared" si="62"/>
        <v>0</v>
      </c>
      <c r="P259" s="536" t="e">
        <f t="shared" si="63"/>
        <v>#DIV/0!</v>
      </c>
      <c r="Q259" s="537" t="e">
        <f t="shared" si="50"/>
        <v>#DIV/0!</v>
      </c>
      <c r="R259" s="538" t="e">
        <f>IF(INPUTS!$B$15="yes",Q259,P259)</f>
        <v>#DIV/0!</v>
      </c>
      <c r="S259" s="536" t="e">
        <f t="shared" si="51"/>
        <v>#DIV/0!</v>
      </c>
      <c r="T259" s="537" t="e">
        <f t="shared" si="52"/>
        <v>#DIV/0!</v>
      </c>
      <c r="U259" s="538" t="e">
        <f>IF(INPUTS!$B$15="yes",T259,S259)</f>
        <v>#DIV/0!</v>
      </c>
      <c r="V259" s="536" t="e">
        <f t="shared" si="53"/>
        <v>#DIV/0!</v>
      </c>
      <c r="W259" s="537" t="e">
        <f t="shared" si="54"/>
        <v>#DIV/0!</v>
      </c>
      <c r="X259" s="538" t="e">
        <f>IF(INPUTS!$B$15="yes",W259,V259)</f>
        <v>#DIV/0!</v>
      </c>
      <c r="Y259" s="536" t="e">
        <f t="shared" si="55"/>
        <v>#DIV/0!</v>
      </c>
      <c r="Z259" s="537" t="e">
        <f t="shared" si="56"/>
        <v>#DIV/0!</v>
      </c>
      <c r="AA259" s="538" t="e">
        <f>IF(INPUTS!$B$15="yes",Z259,Y259)</f>
        <v>#DIV/0!</v>
      </c>
      <c r="AB259" s="536" t="e">
        <f t="shared" si="57"/>
        <v>#DIV/0!</v>
      </c>
      <c r="AC259" s="537" t="e">
        <f t="shared" si="58"/>
        <v>#DIV/0!</v>
      </c>
      <c r="AD259" s="538" t="e">
        <f>IF(INPUTS!$B$15="yes",AC259,AB259)</f>
        <v>#DIV/0!</v>
      </c>
      <c r="AE259" s="36" t="str">
        <f t="shared" si="59"/>
        <v>no</v>
      </c>
      <c r="AF259" s="36"/>
      <c r="AG259" s="389" t="e">
        <f>P259*('upper bound Kenaga'!$F$36/100)</f>
        <v>#DIV/0!</v>
      </c>
      <c r="AH259" s="36"/>
      <c r="AI259" s="389" t="e">
        <f>P259*('upper bound Kenaga'!$F$96/100)</f>
        <v>#DIV/0!</v>
      </c>
      <c r="AJ259" s="36"/>
      <c r="AK259" s="36"/>
      <c r="AL259" s="36"/>
      <c r="AM259" s="36"/>
      <c r="AN259" s="36"/>
      <c r="AO259" s="36"/>
    </row>
    <row r="260" spans="10:41" s="1" customFormat="1">
      <c r="J260" s="6">
        <f>COUNTIF(K$21:K260,"=yes")</f>
        <v>1</v>
      </c>
      <c r="K260" s="533" t="str">
        <f>IF(LOOKUP(VALUE(M260),INPUTS!$G$6:$G$35)=M260,"yes","no")</f>
        <v>no</v>
      </c>
      <c r="L260" s="533">
        <f>IF(K260="yes",(LOOKUP(J260,INPUTS!$E$6:$E$35,INPUTS!$F$6:$F$35)),0)</f>
        <v>0</v>
      </c>
      <c r="M260" s="135">
        <f t="shared" si="60"/>
        <v>239</v>
      </c>
      <c r="N260" s="135">
        <f t="shared" si="61"/>
        <v>1</v>
      </c>
      <c r="O260" s="135">
        <f t="shared" si="62"/>
        <v>0</v>
      </c>
      <c r="P260" s="536" t="e">
        <f t="shared" si="63"/>
        <v>#DIV/0!</v>
      </c>
      <c r="Q260" s="537" t="e">
        <f t="shared" si="50"/>
        <v>#DIV/0!</v>
      </c>
      <c r="R260" s="538" t="e">
        <f>IF(INPUTS!$B$15="yes",Q260,P260)</f>
        <v>#DIV/0!</v>
      </c>
      <c r="S260" s="536" t="e">
        <f t="shared" si="51"/>
        <v>#DIV/0!</v>
      </c>
      <c r="T260" s="537" t="e">
        <f t="shared" si="52"/>
        <v>#DIV/0!</v>
      </c>
      <c r="U260" s="538" t="e">
        <f>IF(INPUTS!$B$15="yes",T260,S260)</f>
        <v>#DIV/0!</v>
      </c>
      <c r="V260" s="536" t="e">
        <f t="shared" si="53"/>
        <v>#DIV/0!</v>
      </c>
      <c r="W260" s="537" t="e">
        <f t="shared" si="54"/>
        <v>#DIV/0!</v>
      </c>
      <c r="X260" s="538" t="e">
        <f>IF(INPUTS!$B$15="yes",W260,V260)</f>
        <v>#DIV/0!</v>
      </c>
      <c r="Y260" s="536" t="e">
        <f t="shared" si="55"/>
        <v>#DIV/0!</v>
      </c>
      <c r="Z260" s="537" t="e">
        <f t="shared" si="56"/>
        <v>#DIV/0!</v>
      </c>
      <c r="AA260" s="538" t="e">
        <f>IF(INPUTS!$B$15="yes",Z260,Y260)</f>
        <v>#DIV/0!</v>
      </c>
      <c r="AB260" s="536" t="e">
        <f t="shared" si="57"/>
        <v>#DIV/0!</v>
      </c>
      <c r="AC260" s="537" t="e">
        <f t="shared" si="58"/>
        <v>#DIV/0!</v>
      </c>
      <c r="AD260" s="538" t="e">
        <f>IF(INPUTS!$B$15="yes",AC260,AB260)</f>
        <v>#DIV/0!</v>
      </c>
      <c r="AE260" s="36" t="str">
        <f t="shared" si="59"/>
        <v>no</v>
      </c>
      <c r="AF260" s="36"/>
      <c r="AG260" s="389" t="e">
        <f>P260*('upper bound Kenaga'!$F$36/100)</f>
        <v>#DIV/0!</v>
      </c>
      <c r="AH260" s="36"/>
      <c r="AI260" s="389" t="e">
        <f>P260*('upper bound Kenaga'!$F$96/100)</f>
        <v>#DIV/0!</v>
      </c>
      <c r="AJ260" s="36"/>
      <c r="AK260" s="36"/>
      <c r="AL260" s="36"/>
      <c r="AM260" s="36"/>
      <c r="AN260" s="36"/>
      <c r="AO260" s="36"/>
    </row>
    <row r="261" spans="10:41" s="1" customFormat="1">
      <c r="J261" s="6">
        <f>COUNTIF(K$21:K261,"=yes")</f>
        <v>1</v>
      </c>
      <c r="K261" s="533" t="str">
        <f>IF(LOOKUP(VALUE(M261),INPUTS!$G$6:$G$35)=M261,"yes","no")</f>
        <v>no</v>
      </c>
      <c r="L261" s="533">
        <f>IF(K261="yes",(LOOKUP(J261,INPUTS!$E$6:$E$35,INPUTS!$F$6:$F$35)),0)</f>
        <v>0</v>
      </c>
      <c r="M261" s="135">
        <f t="shared" si="60"/>
        <v>240</v>
      </c>
      <c r="N261" s="135">
        <f t="shared" si="61"/>
        <v>1</v>
      </c>
      <c r="O261" s="135">
        <f t="shared" si="62"/>
        <v>0</v>
      </c>
      <c r="P261" s="536" t="e">
        <f t="shared" si="63"/>
        <v>#DIV/0!</v>
      </c>
      <c r="Q261" s="537" t="e">
        <f t="shared" si="50"/>
        <v>#DIV/0!</v>
      </c>
      <c r="R261" s="538" t="e">
        <f>IF(INPUTS!$B$15="yes",Q261,P261)</f>
        <v>#DIV/0!</v>
      </c>
      <c r="S261" s="536" t="e">
        <f t="shared" si="51"/>
        <v>#DIV/0!</v>
      </c>
      <c r="T261" s="537" t="e">
        <f t="shared" si="52"/>
        <v>#DIV/0!</v>
      </c>
      <c r="U261" s="538" t="e">
        <f>IF(INPUTS!$B$15="yes",T261,S261)</f>
        <v>#DIV/0!</v>
      </c>
      <c r="V261" s="536" t="e">
        <f t="shared" si="53"/>
        <v>#DIV/0!</v>
      </c>
      <c r="W261" s="537" t="e">
        <f t="shared" si="54"/>
        <v>#DIV/0!</v>
      </c>
      <c r="X261" s="538" t="e">
        <f>IF(INPUTS!$B$15="yes",W261,V261)</f>
        <v>#DIV/0!</v>
      </c>
      <c r="Y261" s="536" t="e">
        <f t="shared" si="55"/>
        <v>#DIV/0!</v>
      </c>
      <c r="Z261" s="537" t="e">
        <f t="shared" si="56"/>
        <v>#DIV/0!</v>
      </c>
      <c r="AA261" s="538" t="e">
        <f>IF(INPUTS!$B$15="yes",Z261,Y261)</f>
        <v>#DIV/0!</v>
      </c>
      <c r="AB261" s="536" t="e">
        <f t="shared" si="57"/>
        <v>#DIV/0!</v>
      </c>
      <c r="AC261" s="537" t="e">
        <f t="shared" si="58"/>
        <v>#DIV/0!</v>
      </c>
      <c r="AD261" s="538" t="e">
        <f>IF(INPUTS!$B$15="yes",AC261,AB261)</f>
        <v>#DIV/0!</v>
      </c>
      <c r="AE261" s="36" t="str">
        <f t="shared" si="59"/>
        <v>no</v>
      </c>
      <c r="AF261" s="36"/>
      <c r="AG261" s="389" t="e">
        <f>P261*('upper bound Kenaga'!$F$36/100)</f>
        <v>#DIV/0!</v>
      </c>
      <c r="AH261" s="36"/>
      <c r="AI261" s="389" t="e">
        <f>P261*('upper bound Kenaga'!$F$96/100)</f>
        <v>#DIV/0!</v>
      </c>
      <c r="AJ261" s="36"/>
      <c r="AK261" s="36"/>
      <c r="AL261" s="36"/>
      <c r="AM261" s="36"/>
      <c r="AN261" s="36"/>
      <c r="AO261" s="36"/>
    </row>
    <row r="262" spans="10:41" s="1" customFormat="1">
      <c r="J262" s="6">
        <f>COUNTIF(K$21:K262,"=yes")</f>
        <v>1</v>
      </c>
      <c r="K262" s="533" t="str">
        <f>IF(LOOKUP(VALUE(M262),INPUTS!$G$6:$G$35)=M262,"yes","no")</f>
        <v>no</v>
      </c>
      <c r="L262" s="533">
        <f>IF(K262="yes",(LOOKUP(J262,INPUTS!$E$6:$E$35,INPUTS!$F$6:$F$35)),0)</f>
        <v>0</v>
      </c>
      <c r="M262" s="135">
        <f t="shared" si="60"/>
        <v>241</v>
      </c>
      <c r="N262" s="135">
        <f t="shared" si="61"/>
        <v>1</v>
      </c>
      <c r="O262" s="135">
        <f t="shared" si="62"/>
        <v>0</v>
      </c>
      <c r="P262" s="536" t="e">
        <f t="shared" si="63"/>
        <v>#DIV/0!</v>
      </c>
      <c r="Q262" s="537" t="e">
        <f t="shared" si="50"/>
        <v>#DIV/0!</v>
      </c>
      <c r="R262" s="538" t="e">
        <f>IF(INPUTS!$B$15="yes",Q262,P262)</f>
        <v>#DIV/0!</v>
      </c>
      <c r="S262" s="536" t="e">
        <f t="shared" si="51"/>
        <v>#DIV/0!</v>
      </c>
      <c r="T262" s="537" t="e">
        <f t="shared" si="52"/>
        <v>#DIV/0!</v>
      </c>
      <c r="U262" s="538" t="e">
        <f>IF(INPUTS!$B$15="yes",T262,S262)</f>
        <v>#DIV/0!</v>
      </c>
      <c r="V262" s="536" t="e">
        <f t="shared" si="53"/>
        <v>#DIV/0!</v>
      </c>
      <c r="W262" s="537" t="e">
        <f t="shared" si="54"/>
        <v>#DIV/0!</v>
      </c>
      <c r="X262" s="538" t="e">
        <f>IF(INPUTS!$B$15="yes",W262,V262)</f>
        <v>#DIV/0!</v>
      </c>
      <c r="Y262" s="536" t="e">
        <f t="shared" si="55"/>
        <v>#DIV/0!</v>
      </c>
      <c r="Z262" s="537" t="e">
        <f t="shared" si="56"/>
        <v>#DIV/0!</v>
      </c>
      <c r="AA262" s="538" t="e">
        <f>IF(INPUTS!$B$15="yes",Z262,Y262)</f>
        <v>#DIV/0!</v>
      </c>
      <c r="AB262" s="536" t="e">
        <f t="shared" si="57"/>
        <v>#DIV/0!</v>
      </c>
      <c r="AC262" s="537" t="e">
        <f t="shared" si="58"/>
        <v>#DIV/0!</v>
      </c>
      <c r="AD262" s="538" t="e">
        <f>IF(INPUTS!$B$15="yes",AC262,AB262)</f>
        <v>#DIV/0!</v>
      </c>
      <c r="AE262" s="36" t="str">
        <f t="shared" si="59"/>
        <v>no</v>
      </c>
      <c r="AF262" s="36"/>
      <c r="AG262" s="389" t="e">
        <f>P262*('upper bound Kenaga'!$F$36/100)</f>
        <v>#DIV/0!</v>
      </c>
      <c r="AH262" s="36"/>
      <c r="AI262" s="389" t="e">
        <f>P262*('upper bound Kenaga'!$F$96/100)</f>
        <v>#DIV/0!</v>
      </c>
      <c r="AJ262" s="36"/>
      <c r="AK262" s="36"/>
      <c r="AL262" s="36"/>
      <c r="AM262" s="36"/>
      <c r="AN262" s="36"/>
      <c r="AO262" s="36"/>
    </row>
    <row r="263" spans="10:41" s="1" customFormat="1">
      <c r="J263" s="6">
        <f>COUNTIF(K$21:K263,"=yes")</f>
        <v>1</v>
      </c>
      <c r="K263" s="533" t="str">
        <f>IF(LOOKUP(VALUE(M263),INPUTS!$G$6:$G$35)=M263,"yes","no")</f>
        <v>no</v>
      </c>
      <c r="L263" s="533">
        <f>IF(K263="yes",(LOOKUP(J263,INPUTS!$E$6:$E$35,INPUTS!$F$6:$F$35)),0)</f>
        <v>0</v>
      </c>
      <c r="M263" s="135">
        <f t="shared" si="60"/>
        <v>242</v>
      </c>
      <c r="N263" s="135">
        <f t="shared" si="61"/>
        <v>1</v>
      </c>
      <c r="O263" s="135">
        <f t="shared" si="62"/>
        <v>0</v>
      </c>
      <c r="P263" s="536" t="e">
        <f t="shared" si="63"/>
        <v>#DIV/0!</v>
      </c>
      <c r="Q263" s="537" t="e">
        <f t="shared" si="50"/>
        <v>#DIV/0!</v>
      </c>
      <c r="R263" s="538" t="e">
        <f>IF(INPUTS!$B$15="yes",Q263,P263)</f>
        <v>#DIV/0!</v>
      </c>
      <c r="S263" s="536" t="e">
        <f t="shared" si="51"/>
        <v>#DIV/0!</v>
      </c>
      <c r="T263" s="537" t="e">
        <f t="shared" si="52"/>
        <v>#DIV/0!</v>
      </c>
      <c r="U263" s="538" t="e">
        <f>IF(INPUTS!$B$15="yes",T263,S263)</f>
        <v>#DIV/0!</v>
      </c>
      <c r="V263" s="536" t="e">
        <f t="shared" si="53"/>
        <v>#DIV/0!</v>
      </c>
      <c r="W263" s="537" t="e">
        <f t="shared" si="54"/>
        <v>#DIV/0!</v>
      </c>
      <c r="X263" s="538" t="e">
        <f>IF(INPUTS!$B$15="yes",W263,V263)</f>
        <v>#DIV/0!</v>
      </c>
      <c r="Y263" s="536" t="e">
        <f t="shared" si="55"/>
        <v>#DIV/0!</v>
      </c>
      <c r="Z263" s="537" t="e">
        <f t="shared" si="56"/>
        <v>#DIV/0!</v>
      </c>
      <c r="AA263" s="538" t="e">
        <f>IF(INPUTS!$B$15="yes",Z263,Y263)</f>
        <v>#DIV/0!</v>
      </c>
      <c r="AB263" s="536" t="e">
        <f t="shared" si="57"/>
        <v>#DIV/0!</v>
      </c>
      <c r="AC263" s="537" t="e">
        <f t="shared" si="58"/>
        <v>#DIV/0!</v>
      </c>
      <c r="AD263" s="538" t="e">
        <f>IF(INPUTS!$B$15="yes",AC263,AB263)</f>
        <v>#DIV/0!</v>
      </c>
      <c r="AE263" s="36" t="str">
        <f t="shared" si="59"/>
        <v>no</v>
      </c>
      <c r="AF263" s="36"/>
      <c r="AG263" s="389" t="e">
        <f>P263*('upper bound Kenaga'!$F$36/100)</f>
        <v>#DIV/0!</v>
      </c>
      <c r="AH263" s="36"/>
      <c r="AI263" s="389" t="e">
        <f>P263*('upper bound Kenaga'!$F$96/100)</f>
        <v>#DIV/0!</v>
      </c>
      <c r="AJ263" s="36"/>
      <c r="AK263" s="36"/>
      <c r="AL263" s="36"/>
      <c r="AM263" s="36"/>
      <c r="AN263" s="36"/>
      <c r="AO263" s="36"/>
    </row>
    <row r="264" spans="10:41" s="1" customFormat="1">
      <c r="J264" s="6">
        <f>COUNTIF(K$21:K264,"=yes")</f>
        <v>1</v>
      </c>
      <c r="K264" s="533" t="str">
        <f>IF(LOOKUP(VALUE(M264),INPUTS!$G$6:$G$35)=M264,"yes","no")</f>
        <v>no</v>
      </c>
      <c r="L264" s="533">
        <f>IF(K264="yes",(LOOKUP(J264,INPUTS!$E$6:$E$35,INPUTS!$F$6:$F$35)),0)</f>
        <v>0</v>
      </c>
      <c r="M264" s="135">
        <f t="shared" si="60"/>
        <v>243</v>
      </c>
      <c r="N264" s="135">
        <f t="shared" si="61"/>
        <v>1</v>
      </c>
      <c r="O264" s="135">
        <f t="shared" si="62"/>
        <v>0</v>
      </c>
      <c r="P264" s="536" t="e">
        <f t="shared" si="63"/>
        <v>#DIV/0!</v>
      </c>
      <c r="Q264" s="537" t="e">
        <f t="shared" si="50"/>
        <v>#DIV/0!</v>
      </c>
      <c r="R264" s="538" t="e">
        <f>IF(INPUTS!$B$15="yes",Q264,P264)</f>
        <v>#DIV/0!</v>
      </c>
      <c r="S264" s="536" t="e">
        <f t="shared" si="51"/>
        <v>#DIV/0!</v>
      </c>
      <c r="T264" s="537" t="e">
        <f t="shared" si="52"/>
        <v>#DIV/0!</v>
      </c>
      <c r="U264" s="538" t="e">
        <f>IF(INPUTS!$B$15="yes",T264,S264)</f>
        <v>#DIV/0!</v>
      </c>
      <c r="V264" s="536" t="e">
        <f t="shared" si="53"/>
        <v>#DIV/0!</v>
      </c>
      <c r="W264" s="537" t="e">
        <f t="shared" si="54"/>
        <v>#DIV/0!</v>
      </c>
      <c r="X264" s="538" t="e">
        <f>IF(INPUTS!$B$15="yes",W264,V264)</f>
        <v>#DIV/0!</v>
      </c>
      <c r="Y264" s="536" t="e">
        <f t="shared" si="55"/>
        <v>#DIV/0!</v>
      </c>
      <c r="Z264" s="537" t="e">
        <f t="shared" si="56"/>
        <v>#DIV/0!</v>
      </c>
      <c r="AA264" s="538" t="e">
        <f>IF(INPUTS!$B$15="yes",Z264,Y264)</f>
        <v>#DIV/0!</v>
      </c>
      <c r="AB264" s="536" t="e">
        <f t="shared" si="57"/>
        <v>#DIV/0!</v>
      </c>
      <c r="AC264" s="537" t="e">
        <f t="shared" si="58"/>
        <v>#DIV/0!</v>
      </c>
      <c r="AD264" s="538" t="e">
        <f>IF(INPUTS!$B$15="yes",AC264,AB264)</f>
        <v>#DIV/0!</v>
      </c>
      <c r="AE264" s="36" t="str">
        <f t="shared" si="59"/>
        <v>no</v>
      </c>
      <c r="AF264" s="36"/>
      <c r="AG264" s="389" t="e">
        <f>P264*('upper bound Kenaga'!$F$36/100)</f>
        <v>#DIV/0!</v>
      </c>
      <c r="AH264" s="36"/>
      <c r="AI264" s="389" t="e">
        <f>P264*('upper bound Kenaga'!$F$96/100)</f>
        <v>#DIV/0!</v>
      </c>
      <c r="AJ264" s="36"/>
      <c r="AK264" s="36"/>
      <c r="AL264" s="36"/>
      <c r="AM264" s="36"/>
      <c r="AN264" s="36"/>
      <c r="AO264" s="36"/>
    </row>
    <row r="265" spans="10:41" s="1" customFormat="1">
      <c r="J265" s="6">
        <f>COUNTIF(K$21:K265,"=yes")</f>
        <v>1</v>
      </c>
      <c r="K265" s="533" t="str">
        <f>IF(LOOKUP(VALUE(M265),INPUTS!$G$6:$G$35)=M265,"yes","no")</f>
        <v>no</v>
      </c>
      <c r="L265" s="533">
        <f>IF(K265="yes",(LOOKUP(J265,INPUTS!$E$6:$E$35,INPUTS!$F$6:$F$35)),0)</f>
        <v>0</v>
      </c>
      <c r="M265" s="135">
        <f t="shared" si="60"/>
        <v>244</v>
      </c>
      <c r="N265" s="135">
        <f t="shared" si="61"/>
        <v>1</v>
      </c>
      <c r="O265" s="135">
        <f t="shared" si="62"/>
        <v>0</v>
      </c>
      <c r="P265" s="536" t="e">
        <f t="shared" si="63"/>
        <v>#DIV/0!</v>
      </c>
      <c r="Q265" s="537" t="e">
        <f t="shared" si="50"/>
        <v>#DIV/0!</v>
      </c>
      <c r="R265" s="538" t="e">
        <f>IF(INPUTS!$B$15="yes",Q265,P265)</f>
        <v>#DIV/0!</v>
      </c>
      <c r="S265" s="536" t="e">
        <f t="shared" si="51"/>
        <v>#DIV/0!</v>
      </c>
      <c r="T265" s="537" t="e">
        <f t="shared" si="52"/>
        <v>#DIV/0!</v>
      </c>
      <c r="U265" s="538" t="e">
        <f>IF(INPUTS!$B$15="yes",T265,S265)</f>
        <v>#DIV/0!</v>
      </c>
      <c r="V265" s="536" t="e">
        <f t="shared" si="53"/>
        <v>#DIV/0!</v>
      </c>
      <c r="W265" s="537" t="e">
        <f t="shared" si="54"/>
        <v>#DIV/0!</v>
      </c>
      <c r="X265" s="538" t="e">
        <f>IF(INPUTS!$B$15="yes",W265,V265)</f>
        <v>#DIV/0!</v>
      </c>
      <c r="Y265" s="536" t="e">
        <f t="shared" si="55"/>
        <v>#DIV/0!</v>
      </c>
      <c r="Z265" s="537" t="e">
        <f t="shared" si="56"/>
        <v>#DIV/0!</v>
      </c>
      <c r="AA265" s="538" t="e">
        <f>IF(INPUTS!$B$15="yes",Z265,Y265)</f>
        <v>#DIV/0!</v>
      </c>
      <c r="AB265" s="536" t="e">
        <f t="shared" si="57"/>
        <v>#DIV/0!</v>
      </c>
      <c r="AC265" s="537" t="e">
        <f t="shared" si="58"/>
        <v>#DIV/0!</v>
      </c>
      <c r="AD265" s="538" t="e">
        <f>IF(INPUTS!$B$15="yes",AC265,AB265)</f>
        <v>#DIV/0!</v>
      </c>
      <c r="AE265" s="36" t="str">
        <f t="shared" si="59"/>
        <v>no</v>
      </c>
      <c r="AF265" s="36"/>
      <c r="AG265" s="389" t="e">
        <f>P265*('upper bound Kenaga'!$F$36/100)</f>
        <v>#DIV/0!</v>
      </c>
      <c r="AH265" s="36"/>
      <c r="AI265" s="389" t="e">
        <f>P265*('upper bound Kenaga'!$F$96/100)</f>
        <v>#DIV/0!</v>
      </c>
      <c r="AJ265" s="36"/>
      <c r="AK265" s="36"/>
      <c r="AL265" s="36"/>
      <c r="AM265" s="36"/>
      <c r="AN265" s="36"/>
      <c r="AO265" s="36"/>
    </row>
    <row r="266" spans="10:41" s="1" customFormat="1">
      <c r="J266" s="6">
        <f>COUNTIF(K$21:K266,"=yes")</f>
        <v>1</v>
      </c>
      <c r="K266" s="533" t="str">
        <f>IF(LOOKUP(VALUE(M266),INPUTS!$G$6:$G$35)=M266,"yes","no")</f>
        <v>no</v>
      </c>
      <c r="L266" s="533">
        <f>IF(K266="yes",(LOOKUP(J266,INPUTS!$E$6:$E$35,INPUTS!$F$6:$F$35)),0)</f>
        <v>0</v>
      </c>
      <c r="M266" s="135">
        <f t="shared" si="60"/>
        <v>245</v>
      </c>
      <c r="N266" s="135">
        <f t="shared" si="61"/>
        <v>1</v>
      </c>
      <c r="O266" s="135">
        <f t="shared" si="62"/>
        <v>0</v>
      </c>
      <c r="P266" s="536" t="e">
        <f t="shared" si="63"/>
        <v>#DIV/0!</v>
      </c>
      <c r="Q266" s="537" t="e">
        <f t="shared" si="50"/>
        <v>#DIV/0!</v>
      </c>
      <c r="R266" s="538" t="e">
        <f>IF(INPUTS!$B$15="yes",Q266,P266)</f>
        <v>#DIV/0!</v>
      </c>
      <c r="S266" s="536" t="e">
        <f t="shared" si="51"/>
        <v>#DIV/0!</v>
      </c>
      <c r="T266" s="537" t="e">
        <f t="shared" si="52"/>
        <v>#DIV/0!</v>
      </c>
      <c r="U266" s="538" t="e">
        <f>IF(INPUTS!$B$15="yes",T266,S266)</f>
        <v>#DIV/0!</v>
      </c>
      <c r="V266" s="536" t="e">
        <f t="shared" si="53"/>
        <v>#DIV/0!</v>
      </c>
      <c r="W266" s="537" t="e">
        <f t="shared" si="54"/>
        <v>#DIV/0!</v>
      </c>
      <c r="X266" s="538" t="e">
        <f>IF(INPUTS!$B$15="yes",W266,V266)</f>
        <v>#DIV/0!</v>
      </c>
      <c r="Y266" s="536" t="e">
        <f t="shared" si="55"/>
        <v>#DIV/0!</v>
      </c>
      <c r="Z266" s="537" t="e">
        <f t="shared" si="56"/>
        <v>#DIV/0!</v>
      </c>
      <c r="AA266" s="538" t="e">
        <f>IF(INPUTS!$B$15="yes",Z266,Y266)</f>
        <v>#DIV/0!</v>
      </c>
      <c r="AB266" s="536" t="e">
        <f t="shared" si="57"/>
        <v>#DIV/0!</v>
      </c>
      <c r="AC266" s="537" t="e">
        <f t="shared" si="58"/>
        <v>#DIV/0!</v>
      </c>
      <c r="AD266" s="538" t="e">
        <f>IF(INPUTS!$B$15="yes",AC266,AB266)</f>
        <v>#DIV/0!</v>
      </c>
      <c r="AE266" s="36" t="str">
        <f t="shared" si="59"/>
        <v>no</v>
      </c>
      <c r="AF266" s="36"/>
      <c r="AG266" s="389" t="e">
        <f>P266*('upper bound Kenaga'!$F$36/100)</f>
        <v>#DIV/0!</v>
      </c>
      <c r="AH266" s="36"/>
      <c r="AI266" s="389" t="e">
        <f>P266*('upper bound Kenaga'!$F$96/100)</f>
        <v>#DIV/0!</v>
      </c>
      <c r="AJ266" s="36"/>
      <c r="AK266" s="36"/>
      <c r="AL266" s="36"/>
      <c r="AM266" s="36"/>
      <c r="AN266" s="36"/>
      <c r="AO266" s="36"/>
    </row>
    <row r="267" spans="10:41" s="1" customFormat="1">
      <c r="J267" s="6">
        <f>COUNTIF(K$21:K267,"=yes")</f>
        <v>1</v>
      </c>
      <c r="K267" s="533" t="str">
        <f>IF(LOOKUP(VALUE(M267),INPUTS!$G$6:$G$35)=M267,"yes","no")</f>
        <v>no</v>
      </c>
      <c r="L267" s="533">
        <f>IF(K267="yes",(LOOKUP(J267,INPUTS!$E$6:$E$35,INPUTS!$F$6:$F$35)),0)</f>
        <v>0</v>
      </c>
      <c r="M267" s="135">
        <f t="shared" si="60"/>
        <v>246</v>
      </c>
      <c r="N267" s="135">
        <f t="shared" si="61"/>
        <v>1</v>
      </c>
      <c r="O267" s="135">
        <f t="shared" si="62"/>
        <v>0</v>
      </c>
      <c r="P267" s="536" t="e">
        <f t="shared" si="63"/>
        <v>#DIV/0!</v>
      </c>
      <c r="Q267" s="537" t="e">
        <f t="shared" si="50"/>
        <v>#DIV/0!</v>
      </c>
      <c r="R267" s="538" t="e">
        <f>IF(INPUTS!$B$15="yes",Q267,P267)</f>
        <v>#DIV/0!</v>
      </c>
      <c r="S267" s="536" t="e">
        <f t="shared" si="51"/>
        <v>#DIV/0!</v>
      </c>
      <c r="T267" s="537" t="e">
        <f t="shared" si="52"/>
        <v>#DIV/0!</v>
      </c>
      <c r="U267" s="538" t="e">
        <f>IF(INPUTS!$B$15="yes",T267,S267)</f>
        <v>#DIV/0!</v>
      </c>
      <c r="V267" s="536" t="e">
        <f t="shared" si="53"/>
        <v>#DIV/0!</v>
      </c>
      <c r="W267" s="537" t="e">
        <f t="shared" si="54"/>
        <v>#DIV/0!</v>
      </c>
      <c r="X267" s="538" t="e">
        <f>IF(INPUTS!$B$15="yes",W267,V267)</f>
        <v>#DIV/0!</v>
      </c>
      <c r="Y267" s="536" t="e">
        <f t="shared" si="55"/>
        <v>#DIV/0!</v>
      </c>
      <c r="Z267" s="537" t="e">
        <f t="shared" si="56"/>
        <v>#DIV/0!</v>
      </c>
      <c r="AA267" s="538" t="e">
        <f>IF(INPUTS!$B$15="yes",Z267,Y267)</f>
        <v>#DIV/0!</v>
      </c>
      <c r="AB267" s="536" t="e">
        <f t="shared" si="57"/>
        <v>#DIV/0!</v>
      </c>
      <c r="AC267" s="537" t="e">
        <f t="shared" si="58"/>
        <v>#DIV/0!</v>
      </c>
      <c r="AD267" s="538" t="e">
        <f>IF(INPUTS!$B$15="yes",AC267,AB267)</f>
        <v>#DIV/0!</v>
      </c>
      <c r="AE267" s="36" t="str">
        <f t="shared" si="59"/>
        <v>no</v>
      </c>
      <c r="AF267" s="36"/>
      <c r="AG267" s="389" t="e">
        <f>P267*('upper bound Kenaga'!$F$36/100)</f>
        <v>#DIV/0!</v>
      </c>
      <c r="AH267" s="36"/>
      <c r="AI267" s="389" t="e">
        <f>P267*('upper bound Kenaga'!$F$96/100)</f>
        <v>#DIV/0!</v>
      </c>
      <c r="AJ267" s="36"/>
      <c r="AK267" s="36"/>
      <c r="AL267" s="36"/>
      <c r="AM267" s="36"/>
      <c r="AN267" s="36"/>
      <c r="AO267" s="36"/>
    </row>
    <row r="268" spans="10:41" s="1" customFormat="1">
      <c r="J268" s="6">
        <f>COUNTIF(K$21:K268,"=yes")</f>
        <v>1</v>
      </c>
      <c r="K268" s="533" t="str">
        <f>IF(LOOKUP(VALUE(M268),INPUTS!$G$6:$G$35)=M268,"yes","no")</f>
        <v>no</v>
      </c>
      <c r="L268" s="533">
        <f>IF(K268="yes",(LOOKUP(J268,INPUTS!$E$6:$E$35,INPUTS!$F$6:$F$35)),0)</f>
        <v>0</v>
      </c>
      <c r="M268" s="135">
        <f t="shared" si="60"/>
        <v>247</v>
      </c>
      <c r="N268" s="135">
        <f t="shared" si="61"/>
        <v>1</v>
      </c>
      <c r="O268" s="135">
        <f t="shared" si="62"/>
        <v>0</v>
      </c>
      <c r="P268" s="536" t="e">
        <f t="shared" si="63"/>
        <v>#DIV/0!</v>
      </c>
      <c r="Q268" s="537" t="e">
        <f t="shared" si="50"/>
        <v>#DIV/0!</v>
      </c>
      <c r="R268" s="538" t="e">
        <f>IF(INPUTS!$B$15="yes",Q268,P268)</f>
        <v>#DIV/0!</v>
      </c>
      <c r="S268" s="536" t="e">
        <f t="shared" si="51"/>
        <v>#DIV/0!</v>
      </c>
      <c r="T268" s="537" t="e">
        <f t="shared" si="52"/>
        <v>#DIV/0!</v>
      </c>
      <c r="U268" s="538" t="e">
        <f>IF(INPUTS!$B$15="yes",T268,S268)</f>
        <v>#DIV/0!</v>
      </c>
      <c r="V268" s="536" t="e">
        <f t="shared" si="53"/>
        <v>#DIV/0!</v>
      </c>
      <c r="W268" s="537" t="e">
        <f t="shared" si="54"/>
        <v>#DIV/0!</v>
      </c>
      <c r="X268" s="538" t="e">
        <f>IF(INPUTS!$B$15="yes",W268,V268)</f>
        <v>#DIV/0!</v>
      </c>
      <c r="Y268" s="536" t="e">
        <f t="shared" si="55"/>
        <v>#DIV/0!</v>
      </c>
      <c r="Z268" s="537" t="e">
        <f t="shared" si="56"/>
        <v>#DIV/0!</v>
      </c>
      <c r="AA268" s="538" t="e">
        <f>IF(INPUTS!$B$15="yes",Z268,Y268)</f>
        <v>#DIV/0!</v>
      </c>
      <c r="AB268" s="536" t="e">
        <f t="shared" si="57"/>
        <v>#DIV/0!</v>
      </c>
      <c r="AC268" s="537" t="e">
        <f t="shared" si="58"/>
        <v>#DIV/0!</v>
      </c>
      <c r="AD268" s="538" t="e">
        <f>IF(INPUTS!$B$15="yes",AC268,AB268)</f>
        <v>#DIV/0!</v>
      </c>
      <c r="AE268" s="36" t="str">
        <f t="shared" si="59"/>
        <v>no</v>
      </c>
      <c r="AF268" s="36"/>
      <c r="AG268" s="389" t="e">
        <f>P268*('upper bound Kenaga'!$F$36/100)</f>
        <v>#DIV/0!</v>
      </c>
      <c r="AH268" s="36"/>
      <c r="AI268" s="389" t="e">
        <f>P268*('upper bound Kenaga'!$F$96/100)</f>
        <v>#DIV/0!</v>
      </c>
      <c r="AJ268" s="36"/>
      <c r="AK268" s="36"/>
      <c r="AL268" s="36"/>
      <c r="AM268" s="36"/>
      <c r="AN268" s="36"/>
      <c r="AO268" s="36"/>
    </row>
    <row r="269" spans="10:41" s="1" customFormat="1">
      <c r="J269" s="6">
        <f>COUNTIF(K$21:K269,"=yes")</f>
        <v>1</v>
      </c>
      <c r="K269" s="533" t="str">
        <f>IF(LOOKUP(VALUE(M269),INPUTS!$G$6:$G$35)=M269,"yes","no")</f>
        <v>no</v>
      </c>
      <c r="L269" s="533">
        <f>IF(K269="yes",(LOOKUP(J269,INPUTS!$E$6:$E$35,INPUTS!$F$6:$F$35)),0)</f>
        <v>0</v>
      </c>
      <c r="M269" s="135">
        <f t="shared" si="60"/>
        <v>248</v>
      </c>
      <c r="N269" s="135">
        <f t="shared" si="61"/>
        <v>1</v>
      </c>
      <c r="O269" s="135">
        <f t="shared" si="62"/>
        <v>0</v>
      </c>
      <c r="P269" s="536" t="e">
        <f t="shared" si="63"/>
        <v>#DIV/0!</v>
      </c>
      <c r="Q269" s="537" t="e">
        <f t="shared" si="50"/>
        <v>#DIV/0!</v>
      </c>
      <c r="R269" s="538" t="e">
        <f>IF(INPUTS!$B$15="yes",Q269,P269)</f>
        <v>#DIV/0!</v>
      </c>
      <c r="S269" s="536" t="e">
        <f t="shared" si="51"/>
        <v>#DIV/0!</v>
      </c>
      <c r="T269" s="537" t="e">
        <f t="shared" si="52"/>
        <v>#DIV/0!</v>
      </c>
      <c r="U269" s="538" t="e">
        <f>IF(INPUTS!$B$15="yes",T269,S269)</f>
        <v>#DIV/0!</v>
      </c>
      <c r="V269" s="536" t="e">
        <f t="shared" si="53"/>
        <v>#DIV/0!</v>
      </c>
      <c r="W269" s="537" t="e">
        <f t="shared" si="54"/>
        <v>#DIV/0!</v>
      </c>
      <c r="X269" s="538" t="e">
        <f>IF(INPUTS!$B$15="yes",W269,V269)</f>
        <v>#DIV/0!</v>
      </c>
      <c r="Y269" s="536" t="e">
        <f t="shared" si="55"/>
        <v>#DIV/0!</v>
      </c>
      <c r="Z269" s="537" t="e">
        <f t="shared" si="56"/>
        <v>#DIV/0!</v>
      </c>
      <c r="AA269" s="538" t="e">
        <f>IF(INPUTS!$B$15="yes",Z269,Y269)</f>
        <v>#DIV/0!</v>
      </c>
      <c r="AB269" s="536" t="e">
        <f t="shared" si="57"/>
        <v>#DIV/0!</v>
      </c>
      <c r="AC269" s="537" t="e">
        <f t="shared" si="58"/>
        <v>#DIV/0!</v>
      </c>
      <c r="AD269" s="538" t="e">
        <f>IF(INPUTS!$B$15="yes",AC269,AB269)</f>
        <v>#DIV/0!</v>
      </c>
      <c r="AE269" s="36" t="str">
        <f t="shared" si="59"/>
        <v>no</v>
      </c>
      <c r="AF269" s="36"/>
      <c r="AG269" s="389" t="e">
        <f>P269*('upper bound Kenaga'!$F$36/100)</f>
        <v>#DIV/0!</v>
      </c>
      <c r="AH269" s="36"/>
      <c r="AI269" s="389" t="e">
        <f>P269*('upper bound Kenaga'!$F$96/100)</f>
        <v>#DIV/0!</v>
      </c>
      <c r="AJ269" s="36"/>
      <c r="AK269" s="36"/>
      <c r="AL269" s="36"/>
      <c r="AM269" s="36"/>
      <c r="AN269" s="36"/>
      <c r="AO269" s="36"/>
    </row>
    <row r="270" spans="10:41" s="1" customFormat="1">
      <c r="J270" s="6">
        <f>COUNTIF(K$21:K270,"=yes")</f>
        <v>1</v>
      </c>
      <c r="K270" s="533" t="str">
        <f>IF(LOOKUP(VALUE(M270),INPUTS!$G$6:$G$35)=M270,"yes","no")</f>
        <v>no</v>
      </c>
      <c r="L270" s="533">
        <f>IF(K270="yes",(LOOKUP(J270,INPUTS!$E$6:$E$35,INPUTS!$F$6:$F$35)),0)</f>
        <v>0</v>
      </c>
      <c r="M270" s="135">
        <f t="shared" si="60"/>
        <v>249</v>
      </c>
      <c r="N270" s="135">
        <f t="shared" si="61"/>
        <v>1</v>
      </c>
      <c r="O270" s="135">
        <f t="shared" si="62"/>
        <v>0</v>
      </c>
      <c r="P270" s="536" t="e">
        <f t="shared" si="63"/>
        <v>#DIV/0!</v>
      </c>
      <c r="Q270" s="537" t="e">
        <f t="shared" si="50"/>
        <v>#DIV/0!</v>
      </c>
      <c r="R270" s="538" t="e">
        <f>IF(INPUTS!$B$15="yes",Q270,P270)</f>
        <v>#DIV/0!</v>
      </c>
      <c r="S270" s="536" t="e">
        <f t="shared" si="51"/>
        <v>#DIV/0!</v>
      </c>
      <c r="T270" s="537" t="e">
        <f t="shared" si="52"/>
        <v>#DIV/0!</v>
      </c>
      <c r="U270" s="538" t="e">
        <f>IF(INPUTS!$B$15="yes",T270,S270)</f>
        <v>#DIV/0!</v>
      </c>
      <c r="V270" s="536" t="e">
        <f t="shared" si="53"/>
        <v>#DIV/0!</v>
      </c>
      <c r="W270" s="537" t="e">
        <f t="shared" si="54"/>
        <v>#DIV/0!</v>
      </c>
      <c r="X270" s="538" t="e">
        <f>IF(INPUTS!$B$15="yes",W270,V270)</f>
        <v>#DIV/0!</v>
      </c>
      <c r="Y270" s="536" t="e">
        <f t="shared" si="55"/>
        <v>#DIV/0!</v>
      </c>
      <c r="Z270" s="537" t="e">
        <f t="shared" si="56"/>
        <v>#DIV/0!</v>
      </c>
      <c r="AA270" s="538" t="e">
        <f>IF(INPUTS!$B$15="yes",Z270,Y270)</f>
        <v>#DIV/0!</v>
      </c>
      <c r="AB270" s="536" t="e">
        <f t="shared" si="57"/>
        <v>#DIV/0!</v>
      </c>
      <c r="AC270" s="537" t="e">
        <f t="shared" si="58"/>
        <v>#DIV/0!</v>
      </c>
      <c r="AD270" s="538" t="e">
        <f>IF(INPUTS!$B$15="yes",AC270,AB270)</f>
        <v>#DIV/0!</v>
      </c>
      <c r="AE270" s="36" t="str">
        <f t="shared" si="59"/>
        <v>no</v>
      </c>
      <c r="AF270" s="36"/>
      <c r="AG270" s="389" t="e">
        <f>P270*('upper bound Kenaga'!$F$36/100)</f>
        <v>#DIV/0!</v>
      </c>
      <c r="AH270" s="36"/>
      <c r="AI270" s="389" t="e">
        <f>P270*('upper bound Kenaga'!$F$96/100)</f>
        <v>#DIV/0!</v>
      </c>
      <c r="AJ270" s="36"/>
      <c r="AK270" s="36"/>
      <c r="AL270" s="36"/>
      <c r="AM270" s="36"/>
      <c r="AN270" s="36"/>
      <c r="AO270" s="36"/>
    </row>
    <row r="271" spans="10:41" s="1" customFormat="1">
      <c r="J271" s="6">
        <f>COUNTIF(K$21:K271,"=yes")</f>
        <v>1</v>
      </c>
      <c r="K271" s="533" t="str">
        <f>IF(LOOKUP(VALUE(M271),INPUTS!$G$6:$G$35)=M271,"yes","no")</f>
        <v>no</v>
      </c>
      <c r="L271" s="533">
        <f>IF(K271="yes",(LOOKUP(J271,INPUTS!$E$6:$E$35,INPUTS!$F$6:$F$35)),0)</f>
        <v>0</v>
      </c>
      <c r="M271" s="135">
        <f t="shared" si="60"/>
        <v>250</v>
      </c>
      <c r="N271" s="135">
        <f t="shared" si="61"/>
        <v>1</v>
      </c>
      <c r="O271" s="135">
        <f t="shared" si="62"/>
        <v>0</v>
      </c>
      <c r="P271" s="536" t="e">
        <f t="shared" si="63"/>
        <v>#DIV/0!</v>
      </c>
      <c r="Q271" s="537" t="e">
        <f t="shared" si="50"/>
        <v>#DIV/0!</v>
      </c>
      <c r="R271" s="538" t="e">
        <f>IF(INPUTS!$B$15="yes",Q271,P271)</f>
        <v>#DIV/0!</v>
      </c>
      <c r="S271" s="536" t="e">
        <f t="shared" si="51"/>
        <v>#DIV/0!</v>
      </c>
      <c r="T271" s="537" t="e">
        <f t="shared" si="52"/>
        <v>#DIV/0!</v>
      </c>
      <c r="U271" s="538" t="e">
        <f>IF(INPUTS!$B$15="yes",T271,S271)</f>
        <v>#DIV/0!</v>
      </c>
      <c r="V271" s="536" t="e">
        <f t="shared" si="53"/>
        <v>#DIV/0!</v>
      </c>
      <c r="W271" s="537" t="e">
        <f t="shared" si="54"/>
        <v>#DIV/0!</v>
      </c>
      <c r="X271" s="538" t="e">
        <f>IF(INPUTS!$B$15="yes",W271,V271)</f>
        <v>#DIV/0!</v>
      </c>
      <c r="Y271" s="536" t="e">
        <f t="shared" si="55"/>
        <v>#DIV/0!</v>
      </c>
      <c r="Z271" s="537" t="e">
        <f t="shared" si="56"/>
        <v>#DIV/0!</v>
      </c>
      <c r="AA271" s="538" t="e">
        <f>IF(INPUTS!$B$15="yes",Z271,Y271)</f>
        <v>#DIV/0!</v>
      </c>
      <c r="AB271" s="536" t="e">
        <f t="shared" si="57"/>
        <v>#DIV/0!</v>
      </c>
      <c r="AC271" s="537" t="e">
        <f t="shared" si="58"/>
        <v>#DIV/0!</v>
      </c>
      <c r="AD271" s="538" t="e">
        <f>IF(INPUTS!$B$15="yes",AC271,AB271)</f>
        <v>#DIV/0!</v>
      </c>
      <c r="AE271" s="36" t="str">
        <f t="shared" si="59"/>
        <v>no</v>
      </c>
      <c r="AF271" s="36"/>
      <c r="AG271" s="389" t="e">
        <f>P271*('upper bound Kenaga'!$F$36/100)</f>
        <v>#DIV/0!</v>
      </c>
      <c r="AH271" s="36"/>
      <c r="AI271" s="389" t="e">
        <f>P271*('upper bound Kenaga'!$F$96/100)</f>
        <v>#DIV/0!</v>
      </c>
      <c r="AJ271" s="36"/>
      <c r="AK271" s="36"/>
      <c r="AL271" s="36"/>
      <c r="AM271" s="36"/>
      <c r="AN271" s="36"/>
      <c r="AO271" s="36"/>
    </row>
    <row r="272" spans="10:41" s="1" customFormat="1">
      <c r="J272" s="6">
        <f>COUNTIF(K$21:K272,"=yes")</f>
        <v>1</v>
      </c>
      <c r="K272" s="533" t="str">
        <f>IF(LOOKUP(VALUE(M272),INPUTS!$G$6:$G$35)=M272,"yes","no")</f>
        <v>no</v>
      </c>
      <c r="L272" s="533">
        <f>IF(K272="yes",(LOOKUP(J272,INPUTS!$E$6:$E$35,INPUTS!$F$6:$F$35)),0)</f>
        <v>0</v>
      </c>
      <c r="M272" s="135">
        <f t="shared" si="60"/>
        <v>251</v>
      </c>
      <c r="N272" s="135">
        <f t="shared" si="61"/>
        <v>1</v>
      </c>
      <c r="O272" s="135">
        <f t="shared" si="62"/>
        <v>0</v>
      </c>
      <c r="P272" s="536" t="e">
        <f t="shared" si="63"/>
        <v>#DIV/0!</v>
      </c>
      <c r="Q272" s="537" t="e">
        <f t="shared" si="50"/>
        <v>#DIV/0!</v>
      </c>
      <c r="R272" s="538" t="e">
        <f>IF(INPUTS!$B$15="yes",Q272,P272)</f>
        <v>#DIV/0!</v>
      </c>
      <c r="S272" s="536" t="e">
        <f t="shared" si="51"/>
        <v>#DIV/0!</v>
      </c>
      <c r="T272" s="537" t="e">
        <f t="shared" si="52"/>
        <v>#DIV/0!</v>
      </c>
      <c r="U272" s="538" t="e">
        <f>IF(INPUTS!$B$15="yes",T272,S272)</f>
        <v>#DIV/0!</v>
      </c>
      <c r="V272" s="536" t="e">
        <f t="shared" si="53"/>
        <v>#DIV/0!</v>
      </c>
      <c r="W272" s="537" t="e">
        <f t="shared" si="54"/>
        <v>#DIV/0!</v>
      </c>
      <c r="X272" s="538" t="e">
        <f>IF(INPUTS!$B$15="yes",W272,V272)</f>
        <v>#DIV/0!</v>
      </c>
      <c r="Y272" s="536" t="e">
        <f t="shared" si="55"/>
        <v>#DIV/0!</v>
      </c>
      <c r="Z272" s="537" t="e">
        <f t="shared" si="56"/>
        <v>#DIV/0!</v>
      </c>
      <c r="AA272" s="538" t="e">
        <f>IF(INPUTS!$B$15="yes",Z272,Y272)</f>
        <v>#DIV/0!</v>
      </c>
      <c r="AB272" s="536" t="e">
        <f t="shared" si="57"/>
        <v>#DIV/0!</v>
      </c>
      <c r="AC272" s="537" t="e">
        <f t="shared" si="58"/>
        <v>#DIV/0!</v>
      </c>
      <c r="AD272" s="538" t="e">
        <f>IF(INPUTS!$B$15="yes",AC272,AB272)</f>
        <v>#DIV/0!</v>
      </c>
      <c r="AE272" s="36" t="str">
        <f t="shared" si="59"/>
        <v>no</v>
      </c>
      <c r="AF272" s="36"/>
      <c r="AG272" s="389" t="e">
        <f>P272*('upper bound Kenaga'!$F$36/100)</f>
        <v>#DIV/0!</v>
      </c>
      <c r="AH272" s="36"/>
      <c r="AI272" s="389" t="e">
        <f>P272*('upper bound Kenaga'!$F$96/100)</f>
        <v>#DIV/0!</v>
      </c>
      <c r="AJ272" s="36"/>
      <c r="AK272" s="36"/>
      <c r="AL272" s="36"/>
      <c r="AM272" s="36"/>
      <c r="AN272" s="36"/>
      <c r="AO272" s="36"/>
    </row>
    <row r="273" spans="10:41" s="1" customFormat="1">
      <c r="J273" s="6">
        <f>COUNTIF(K$21:K273,"=yes")</f>
        <v>1</v>
      </c>
      <c r="K273" s="533" t="str">
        <f>IF(LOOKUP(VALUE(M273),INPUTS!$G$6:$G$35)=M273,"yes","no")</f>
        <v>no</v>
      </c>
      <c r="L273" s="533">
        <f>IF(K273="yes",(LOOKUP(J273,INPUTS!$E$6:$E$35,INPUTS!$F$6:$F$35)),0)</f>
        <v>0</v>
      </c>
      <c r="M273" s="135">
        <f t="shared" si="60"/>
        <v>252</v>
      </c>
      <c r="N273" s="135">
        <f t="shared" si="61"/>
        <v>1</v>
      </c>
      <c r="O273" s="135">
        <f t="shared" si="62"/>
        <v>0</v>
      </c>
      <c r="P273" s="536" t="e">
        <f t="shared" si="63"/>
        <v>#DIV/0!</v>
      </c>
      <c r="Q273" s="537" t="e">
        <f t="shared" si="50"/>
        <v>#DIV/0!</v>
      </c>
      <c r="R273" s="538" t="e">
        <f>IF(INPUTS!$B$15="yes",Q273,P273)</f>
        <v>#DIV/0!</v>
      </c>
      <c r="S273" s="536" t="e">
        <f t="shared" si="51"/>
        <v>#DIV/0!</v>
      </c>
      <c r="T273" s="537" t="e">
        <f t="shared" si="52"/>
        <v>#DIV/0!</v>
      </c>
      <c r="U273" s="538" t="e">
        <f>IF(INPUTS!$B$15="yes",T273,S273)</f>
        <v>#DIV/0!</v>
      </c>
      <c r="V273" s="536" t="e">
        <f t="shared" si="53"/>
        <v>#DIV/0!</v>
      </c>
      <c r="W273" s="537" t="e">
        <f t="shared" si="54"/>
        <v>#DIV/0!</v>
      </c>
      <c r="X273" s="538" t="e">
        <f>IF(INPUTS!$B$15="yes",W273,V273)</f>
        <v>#DIV/0!</v>
      </c>
      <c r="Y273" s="536" t="e">
        <f t="shared" si="55"/>
        <v>#DIV/0!</v>
      </c>
      <c r="Z273" s="537" t="e">
        <f t="shared" si="56"/>
        <v>#DIV/0!</v>
      </c>
      <c r="AA273" s="538" t="e">
        <f>IF(INPUTS!$B$15="yes",Z273,Y273)</f>
        <v>#DIV/0!</v>
      </c>
      <c r="AB273" s="536" t="e">
        <f t="shared" si="57"/>
        <v>#DIV/0!</v>
      </c>
      <c r="AC273" s="537" t="e">
        <f t="shared" si="58"/>
        <v>#DIV/0!</v>
      </c>
      <c r="AD273" s="538" t="e">
        <f>IF(INPUTS!$B$15="yes",AC273,AB273)</f>
        <v>#DIV/0!</v>
      </c>
      <c r="AE273" s="36" t="str">
        <f t="shared" si="59"/>
        <v>no</v>
      </c>
      <c r="AF273" s="36"/>
      <c r="AG273" s="389" t="e">
        <f>P273*('upper bound Kenaga'!$F$36/100)</f>
        <v>#DIV/0!</v>
      </c>
      <c r="AH273" s="36"/>
      <c r="AI273" s="389" t="e">
        <f>P273*('upper bound Kenaga'!$F$96/100)</f>
        <v>#DIV/0!</v>
      </c>
      <c r="AJ273" s="36"/>
      <c r="AK273" s="36"/>
      <c r="AL273" s="36"/>
      <c r="AM273" s="36"/>
      <c r="AN273" s="36"/>
      <c r="AO273" s="36"/>
    </row>
    <row r="274" spans="10:41" s="1" customFormat="1">
      <c r="J274" s="6">
        <f>COUNTIF(K$21:K274,"=yes")</f>
        <v>1</v>
      </c>
      <c r="K274" s="533" t="str">
        <f>IF(LOOKUP(VALUE(M274),INPUTS!$G$6:$G$35)=M274,"yes","no")</f>
        <v>no</v>
      </c>
      <c r="L274" s="533">
        <f>IF(K274="yes",(LOOKUP(J274,INPUTS!$E$6:$E$35,INPUTS!$F$6:$F$35)),0)</f>
        <v>0</v>
      </c>
      <c r="M274" s="135">
        <f t="shared" si="60"/>
        <v>253</v>
      </c>
      <c r="N274" s="135">
        <f t="shared" si="61"/>
        <v>1</v>
      </c>
      <c r="O274" s="135">
        <f t="shared" si="62"/>
        <v>0</v>
      </c>
      <c r="P274" s="536" t="e">
        <f t="shared" si="63"/>
        <v>#DIV/0!</v>
      </c>
      <c r="Q274" s="537" t="e">
        <f t="shared" si="50"/>
        <v>#DIV/0!</v>
      </c>
      <c r="R274" s="538" t="e">
        <f>IF(INPUTS!$B$15="yes",Q274,P274)</f>
        <v>#DIV/0!</v>
      </c>
      <c r="S274" s="536" t="e">
        <f t="shared" si="51"/>
        <v>#DIV/0!</v>
      </c>
      <c r="T274" s="537" t="e">
        <f t="shared" si="52"/>
        <v>#DIV/0!</v>
      </c>
      <c r="U274" s="538" t="e">
        <f>IF(INPUTS!$B$15="yes",T274,S274)</f>
        <v>#DIV/0!</v>
      </c>
      <c r="V274" s="536" t="e">
        <f t="shared" si="53"/>
        <v>#DIV/0!</v>
      </c>
      <c r="W274" s="537" t="e">
        <f t="shared" si="54"/>
        <v>#DIV/0!</v>
      </c>
      <c r="X274" s="538" t="e">
        <f>IF(INPUTS!$B$15="yes",W274,V274)</f>
        <v>#DIV/0!</v>
      </c>
      <c r="Y274" s="536" t="e">
        <f t="shared" si="55"/>
        <v>#DIV/0!</v>
      </c>
      <c r="Z274" s="537" t="e">
        <f t="shared" si="56"/>
        <v>#DIV/0!</v>
      </c>
      <c r="AA274" s="538" t="e">
        <f>IF(INPUTS!$B$15="yes",Z274,Y274)</f>
        <v>#DIV/0!</v>
      </c>
      <c r="AB274" s="536" t="e">
        <f t="shared" si="57"/>
        <v>#DIV/0!</v>
      </c>
      <c r="AC274" s="537" t="e">
        <f t="shared" si="58"/>
        <v>#DIV/0!</v>
      </c>
      <c r="AD274" s="538" t="e">
        <f>IF(INPUTS!$B$15="yes",AC274,AB274)</f>
        <v>#DIV/0!</v>
      </c>
      <c r="AE274" s="36" t="str">
        <f t="shared" si="59"/>
        <v>no</v>
      </c>
      <c r="AF274" s="36"/>
      <c r="AG274" s="389" t="e">
        <f>P274*('upper bound Kenaga'!$F$36/100)</f>
        <v>#DIV/0!</v>
      </c>
      <c r="AH274" s="36"/>
      <c r="AI274" s="389" t="e">
        <f>P274*('upper bound Kenaga'!$F$96/100)</f>
        <v>#DIV/0!</v>
      </c>
      <c r="AJ274" s="36"/>
      <c r="AK274" s="36"/>
      <c r="AL274" s="36"/>
      <c r="AM274" s="36"/>
      <c r="AN274" s="36"/>
      <c r="AO274" s="36"/>
    </row>
    <row r="275" spans="10:41" s="1" customFormat="1">
      <c r="J275" s="6">
        <f>COUNTIF(K$21:K275,"=yes")</f>
        <v>1</v>
      </c>
      <c r="K275" s="533" t="str">
        <f>IF(LOOKUP(VALUE(M275),INPUTS!$G$6:$G$35)=M275,"yes","no")</f>
        <v>no</v>
      </c>
      <c r="L275" s="533">
        <f>IF(K275="yes",(LOOKUP(J275,INPUTS!$E$6:$E$35,INPUTS!$F$6:$F$35)),0)</f>
        <v>0</v>
      </c>
      <c r="M275" s="135">
        <f t="shared" si="60"/>
        <v>254</v>
      </c>
      <c r="N275" s="135">
        <f t="shared" si="61"/>
        <v>1</v>
      </c>
      <c r="O275" s="135">
        <f t="shared" si="62"/>
        <v>0</v>
      </c>
      <c r="P275" s="536" t="e">
        <f t="shared" si="63"/>
        <v>#DIV/0!</v>
      </c>
      <c r="Q275" s="537" t="e">
        <f t="shared" si="50"/>
        <v>#DIV/0!</v>
      </c>
      <c r="R275" s="538" t="e">
        <f>IF(INPUTS!$B$15="yes",Q275,P275)</f>
        <v>#DIV/0!</v>
      </c>
      <c r="S275" s="536" t="e">
        <f t="shared" si="51"/>
        <v>#DIV/0!</v>
      </c>
      <c r="T275" s="537" t="e">
        <f t="shared" si="52"/>
        <v>#DIV/0!</v>
      </c>
      <c r="U275" s="538" t="e">
        <f>IF(INPUTS!$B$15="yes",T275,S275)</f>
        <v>#DIV/0!</v>
      </c>
      <c r="V275" s="536" t="e">
        <f t="shared" si="53"/>
        <v>#DIV/0!</v>
      </c>
      <c r="W275" s="537" t="e">
        <f t="shared" si="54"/>
        <v>#DIV/0!</v>
      </c>
      <c r="X275" s="538" t="e">
        <f>IF(INPUTS!$B$15="yes",W275,V275)</f>
        <v>#DIV/0!</v>
      </c>
      <c r="Y275" s="536" t="e">
        <f t="shared" si="55"/>
        <v>#DIV/0!</v>
      </c>
      <c r="Z275" s="537" t="e">
        <f t="shared" si="56"/>
        <v>#DIV/0!</v>
      </c>
      <c r="AA275" s="538" t="e">
        <f>IF(INPUTS!$B$15="yes",Z275,Y275)</f>
        <v>#DIV/0!</v>
      </c>
      <c r="AB275" s="536" t="e">
        <f t="shared" si="57"/>
        <v>#DIV/0!</v>
      </c>
      <c r="AC275" s="537" t="e">
        <f t="shared" si="58"/>
        <v>#DIV/0!</v>
      </c>
      <c r="AD275" s="538" t="e">
        <f>IF(INPUTS!$B$15="yes",AC275,AB275)</f>
        <v>#DIV/0!</v>
      </c>
      <c r="AE275" s="36" t="str">
        <f t="shared" si="59"/>
        <v>no</v>
      </c>
      <c r="AF275" s="36"/>
      <c r="AG275" s="389" t="e">
        <f>P275*('upper bound Kenaga'!$F$36/100)</f>
        <v>#DIV/0!</v>
      </c>
      <c r="AH275" s="36"/>
      <c r="AI275" s="389" t="e">
        <f>P275*('upper bound Kenaga'!$F$96/100)</f>
        <v>#DIV/0!</v>
      </c>
      <c r="AJ275" s="36"/>
      <c r="AK275" s="36"/>
      <c r="AL275" s="36"/>
      <c r="AM275" s="36"/>
      <c r="AN275" s="36"/>
      <c r="AO275" s="36"/>
    </row>
    <row r="276" spans="10:41" s="1" customFormat="1">
      <c r="J276" s="6">
        <f>COUNTIF(K$21:K276,"=yes")</f>
        <v>1</v>
      </c>
      <c r="K276" s="533" t="str">
        <f>IF(LOOKUP(VALUE(M276),INPUTS!$G$6:$G$35)=M276,"yes","no")</f>
        <v>no</v>
      </c>
      <c r="L276" s="533">
        <f>IF(K276="yes",(LOOKUP(J276,INPUTS!$E$6:$E$35,INPUTS!$F$6:$F$35)),0)</f>
        <v>0</v>
      </c>
      <c r="M276" s="135">
        <f t="shared" si="60"/>
        <v>255</v>
      </c>
      <c r="N276" s="135">
        <f t="shared" si="61"/>
        <v>1</v>
      </c>
      <c r="O276" s="135">
        <f t="shared" si="62"/>
        <v>0</v>
      </c>
      <c r="P276" s="536" t="e">
        <f t="shared" si="63"/>
        <v>#DIV/0!</v>
      </c>
      <c r="Q276" s="537" t="e">
        <f t="shared" si="50"/>
        <v>#DIV/0!</v>
      </c>
      <c r="R276" s="538" t="e">
        <f>IF(INPUTS!$B$15="yes",Q276,P276)</f>
        <v>#DIV/0!</v>
      </c>
      <c r="S276" s="536" t="e">
        <f t="shared" si="51"/>
        <v>#DIV/0!</v>
      </c>
      <c r="T276" s="537" t="e">
        <f t="shared" si="52"/>
        <v>#DIV/0!</v>
      </c>
      <c r="U276" s="538" t="e">
        <f>IF(INPUTS!$B$15="yes",T276,S276)</f>
        <v>#DIV/0!</v>
      </c>
      <c r="V276" s="536" t="e">
        <f t="shared" si="53"/>
        <v>#DIV/0!</v>
      </c>
      <c r="W276" s="537" t="e">
        <f t="shared" si="54"/>
        <v>#DIV/0!</v>
      </c>
      <c r="X276" s="538" t="e">
        <f>IF(INPUTS!$B$15="yes",W276,V276)</f>
        <v>#DIV/0!</v>
      </c>
      <c r="Y276" s="536" t="e">
        <f t="shared" si="55"/>
        <v>#DIV/0!</v>
      </c>
      <c r="Z276" s="537" t="e">
        <f t="shared" si="56"/>
        <v>#DIV/0!</v>
      </c>
      <c r="AA276" s="538" t="e">
        <f>IF(INPUTS!$B$15="yes",Z276,Y276)</f>
        <v>#DIV/0!</v>
      </c>
      <c r="AB276" s="536" t="e">
        <f t="shared" si="57"/>
        <v>#DIV/0!</v>
      </c>
      <c r="AC276" s="537" t="e">
        <f t="shared" si="58"/>
        <v>#DIV/0!</v>
      </c>
      <c r="AD276" s="538" t="e">
        <f>IF(INPUTS!$B$15="yes",AC276,AB276)</f>
        <v>#DIV/0!</v>
      </c>
      <c r="AE276" s="36" t="str">
        <f t="shared" si="59"/>
        <v>no</v>
      </c>
      <c r="AF276" s="36"/>
      <c r="AG276" s="389" t="e">
        <f>P276*('upper bound Kenaga'!$F$36/100)</f>
        <v>#DIV/0!</v>
      </c>
      <c r="AH276" s="36"/>
      <c r="AI276" s="389" t="e">
        <f>P276*('upper bound Kenaga'!$F$96/100)</f>
        <v>#DIV/0!</v>
      </c>
      <c r="AJ276" s="36"/>
      <c r="AK276" s="36"/>
      <c r="AL276" s="36"/>
      <c r="AM276" s="36"/>
      <c r="AN276" s="36"/>
      <c r="AO276" s="36"/>
    </row>
    <row r="277" spans="10:41" s="1" customFormat="1">
      <c r="J277" s="6">
        <f>COUNTIF(K$21:K277,"=yes")</f>
        <v>1</v>
      </c>
      <c r="K277" s="533" t="str">
        <f>IF(LOOKUP(VALUE(M277),INPUTS!$G$6:$G$35)=M277,"yes","no")</f>
        <v>no</v>
      </c>
      <c r="L277" s="533">
        <f>IF(K277="yes",(LOOKUP(J277,INPUTS!$E$6:$E$35,INPUTS!$F$6:$F$35)),0)</f>
        <v>0</v>
      </c>
      <c r="M277" s="135">
        <f t="shared" si="60"/>
        <v>256</v>
      </c>
      <c r="N277" s="135">
        <f t="shared" si="61"/>
        <v>1</v>
      </c>
      <c r="O277" s="135">
        <f t="shared" si="62"/>
        <v>0</v>
      </c>
      <c r="P277" s="536" t="e">
        <f t="shared" si="63"/>
        <v>#DIV/0!</v>
      </c>
      <c r="Q277" s="537" t="e">
        <f t="shared" si="50"/>
        <v>#DIV/0!</v>
      </c>
      <c r="R277" s="538" t="e">
        <f>IF(INPUTS!$B$15="yes",Q277,P277)</f>
        <v>#DIV/0!</v>
      </c>
      <c r="S277" s="536" t="e">
        <f t="shared" si="51"/>
        <v>#DIV/0!</v>
      </c>
      <c r="T277" s="537" t="e">
        <f t="shared" si="52"/>
        <v>#DIV/0!</v>
      </c>
      <c r="U277" s="538" t="e">
        <f>IF(INPUTS!$B$15="yes",T277,S277)</f>
        <v>#DIV/0!</v>
      </c>
      <c r="V277" s="536" t="e">
        <f t="shared" si="53"/>
        <v>#DIV/0!</v>
      </c>
      <c r="W277" s="537" t="e">
        <f t="shared" si="54"/>
        <v>#DIV/0!</v>
      </c>
      <c r="X277" s="538" t="e">
        <f>IF(INPUTS!$B$15="yes",W277,V277)</f>
        <v>#DIV/0!</v>
      </c>
      <c r="Y277" s="536" t="e">
        <f t="shared" si="55"/>
        <v>#DIV/0!</v>
      </c>
      <c r="Z277" s="537" t="e">
        <f t="shared" si="56"/>
        <v>#DIV/0!</v>
      </c>
      <c r="AA277" s="538" t="e">
        <f>IF(INPUTS!$B$15="yes",Z277,Y277)</f>
        <v>#DIV/0!</v>
      </c>
      <c r="AB277" s="536" t="e">
        <f t="shared" si="57"/>
        <v>#DIV/0!</v>
      </c>
      <c r="AC277" s="537" t="e">
        <f t="shared" si="58"/>
        <v>#DIV/0!</v>
      </c>
      <c r="AD277" s="538" t="e">
        <f>IF(INPUTS!$B$15="yes",AC277,AB277)</f>
        <v>#DIV/0!</v>
      </c>
      <c r="AE277" s="36" t="str">
        <f t="shared" si="59"/>
        <v>no</v>
      </c>
      <c r="AF277" s="36"/>
      <c r="AG277" s="389" t="e">
        <f>P277*('upper bound Kenaga'!$F$36/100)</f>
        <v>#DIV/0!</v>
      </c>
      <c r="AH277" s="36"/>
      <c r="AI277" s="389" t="e">
        <f>P277*('upper bound Kenaga'!$F$96/100)</f>
        <v>#DIV/0!</v>
      </c>
      <c r="AJ277" s="36"/>
      <c r="AK277" s="36"/>
      <c r="AL277" s="36"/>
      <c r="AM277" s="36"/>
      <c r="AN277" s="36"/>
      <c r="AO277" s="36"/>
    </row>
    <row r="278" spans="10:41" s="1" customFormat="1">
      <c r="J278" s="6">
        <f>COUNTIF(K$21:K278,"=yes")</f>
        <v>1</v>
      </c>
      <c r="K278" s="533" t="str">
        <f>IF(LOOKUP(VALUE(M278),INPUTS!$G$6:$G$35)=M278,"yes","no")</f>
        <v>no</v>
      </c>
      <c r="L278" s="533">
        <f>IF(K278="yes",(LOOKUP(J278,INPUTS!$E$6:$E$35,INPUTS!$F$6:$F$35)),0)</f>
        <v>0</v>
      </c>
      <c r="M278" s="135">
        <f t="shared" si="60"/>
        <v>257</v>
      </c>
      <c r="N278" s="135">
        <f t="shared" si="61"/>
        <v>1</v>
      </c>
      <c r="O278" s="135">
        <f t="shared" si="62"/>
        <v>0</v>
      </c>
      <c r="P278" s="536" t="e">
        <f t="shared" si="63"/>
        <v>#DIV/0!</v>
      </c>
      <c r="Q278" s="537" t="e">
        <f t="shared" ref="Q278:Q341" si="64">IF($K278="yes",(EXP(-$R$16)*(Q277)+(240*$L278)),((EXP(-$R$16)*(Q277))))</f>
        <v>#DIV/0!</v>
      </c>
      <c r="R278" s="538" t="e">
        <f>IF(INPUTS!$B$15="yes",Q278,P278)</f>
        <v>#DIV/0!</v>
      </c>
      <c r="S278" s="536" t="e">
        <f t="shared" ref="S278:S341" si="65">IF(($N278&gt;$N277),(EXP(-$R$16)*(S277)+$R$12),((EXP(-$R$16)*(S277))))</f>
        <v>#DIV/0!</v>
      </c>
      <c r="T278" s="537" t="e">
        <f t="shared" ref="T278:T341" si="66">IF($K278="yes",(EXP(-$R$16)*(T277)+(110*$L278)),((EXP(-$R$16)*(T277))))</f>
        <v>#DIV/0!</v>
      </c>
      <c r="U278" s="538" t="e">
        <f>IF(INPUTS!$B$15="yes",T278,S278)</f>
        <v>#DIV/0!</v>
      </c>
      <c r="V278" s="536" t="e">
        <f t="shared" ref="V278:V341" si="67">IF(($N278&gt;$N277),(EXP(-$R$16)*(V277)+$R$13),((EXP(-$R$16)*(V277))))</f>
        <v>#DIV/0!</v>
      </c>
      <c r="W278" s="537" t="e">
        <f t="shared" ref="W278:W341" si="68">IF($K278="yes",(EXP(-$R$16)*(W277)+(135*$L278)),((EXP(-$R$16)*(W277))))</f>
        <v>#DIV/0!</v>
      </c>
      <c r="X278" s="538" t="e">
        <f>IF(INPUTS!$B$15="yes",W278,V278)</f>
        <v>#DIV/0!</v>
      </c>
      <c r="Y278" s="536" t="e">
        <f t="shared" ref="Y278:Y341" si="69">IF(($N278&gt;$N277),(EXP(-$R$16)*(Y277)+$R$14),((EXP(-$R$16)*(Y277))))</f>
        <v>#DIV/0!</v>
      </c>
      <c r="Z278" s="537" t="e">
        <f t="shared" ref="Z278:Z341" si="70">IF($K278="yes",(EXP(-$R$16)*(Z277)+(15*$L278)),((EXP(-$R$16)*(Z277))))</f>
        <v>#DIV/0!</v>
      </c>
      <c r="AA278" s="538" t="e">
        <f>IF(INPUTS!$B$15="yes",Z278,Y278)</f>
        <v>#DIV/0!</v>
      </c>
      <c r="AB278" s="536" t="e">
        <f t="shared" ref="AB278:AB341" si="71">IF(($N278&gt;$N277),(EXP(-$R$16)*(AB277)+$R$15),((EXP(-$R$16)*(AB277))))</f>
        <v>#DIV/0!</v>
      </c>
      <c r="AC278" s="537" t="e">
        <f t="shared" ref="AC278:AC341" si="72">IF($K278="yes",(EXP(-$R$16)*(AC277)+(94*$L278)),((EXP(-$R$16)*(AC277))))</f>
        <v>#DIV/0!</v>
      </c>
      <c r="AD278" s="538" t="e">
        <f>IF(INPUTS!$B$15="yes",AC278,AB278)</f>
        <v>#DIV/0!</v>
      </c>
      <c r="AE278" s="36" t="str">
        <f t="shared" si="59"/>
        <v>no</v>
      </c>
      <c r="AF278" s="36"/>
      <c r="AG278" s="389" t="e">
        <f>P278*('upper bound Kenaga'!$F$36/100)</f>
        <v>#DIV/0!</v>
      </c>
      <c r="AH278" s="36"/>
      <c r="AI278" s="389" t="e">
        <f>P278*('upper bound Kenaga'!$F$96/100)</f>
        <v>#DIV/0!</v>
      </c>
      <c r="AJ278" s="36"/>
      <c r="AK278" s="36"/>
      <c r="AL278" s="36"/>
      <c r="AM278" s="36"/>
      <c r="AN278" s="36"/>
      <c r="AO278" s="36"/>
    </row>
    <row r="279" spans="10:41" s="1" customFormat="1">
      <c r="J279" s="6">
        <f>COUNTIF(K$21:K279,"=yes")</f>
        <v>1</v>
      </c>
      <c r="K279" s="533" t="str">
        <f>IF(LOOKUP(VALUE(M279),INPUTS!$G$6:$G$35)=M279,"yes","no")</f>
        <v>no</v>
      </c>
      <c r="L279" s="533">
        <f>IF(K279="yes",(LOOKUP(J279,INPUTS!$E$6:$E$35,INPUTS!$F$6:$F$35)),0)</f>
        <v>0</v>
      </c>
      <c r="M279" s="135">
        <f t="shared" si="60"/>
        <v>258</v>
      </c>
      <c r="N279" s="135">
        <f t="shared" si="61"/>
        <v>1</v>
      </c>
      <c r="O279" s="135">
        <f t="shared" si="62"/>
        <v>0</v>
      </c>
      <c r="P279" s="536" t="e">
        <f t="shared" si="63"/>
        <v>#DIV/0!</v>
      </c>
      <c r="Q279" s="537" t="e">
        <f t="shared" si="64"/>
        <v>#DIV/0!</v>
      </c>
      <c r="R279" s="538" t="e">
        <f>IF(INPUTS!$B$15="yes",Q279,P279)</f>
        <v>#DIV/0!</v>
      </c>
      <c r="S279" s="536" t="e">
        <f t="shared" si="65"/>
        <v>#DIV/0!</v>
      </c>
      <c r="T279" s="537" t="e">
        <f t="shared" si="66"/>
        <v>#DIV/0!</v>
      </c>
      <c r="U279" s="538" t="e">
        <f>IF(INPUTS!$B$15="yes",T279,S279)</f>
        <v>#DIV/0!</v>
      </c>
      <c r="V279" s="536" t="e">
        <f t="shared" si="67"/>
        <v>#DIV/0!</v>
      </c>
      <c r="W279" s="537" t="e">
        <f t="shared" si="68"/>
        <v>#DIV/0!</v>
      </c>
      <c r="X279" s="538" t="e">
        <f>IF(INPUTS!$B$15="yes",W279,V279)</f>
        <v>#DIV/0!</v>
      </c>
      <c r="Y279" s="536" t="e">
        <f t="shared" si="69"/>
        <v>#DIV/0!</v>
      </c>
      <c r="Z279" s="537" t="e">
        <f t="shared" si="70"/>
        <v>#DIV/0!</v>
      </c>
      <c r="AA279" s="538" t="e">
        <f>IF(INPUTS!$B$15="yes",Z279,Y279)</f>
        <v>#DIV/0!</v>
      </c>
      <c r="AB279" s="536" t="e">
        <f t="shared" si="71"/>
        <v>#DIV/0!</v>
      </c>
      <c r="AC279" s="537" t="e">
        <f t="shared" si="72"/>
        <v>#DIV/0!</v>
      </c>
      <c r="AD279" s="538" t="e">
        <f>IF(INPUTS!$B$15="yes",AC279,AB279)</f>
        <v>#DIV/0!</v>
      </c>
      <c r="AE279" s="36" t="str">
        <f t="shared" si="59"/>
        <v>no</v>
      </c>
      <c r="AF279" s="36"/>
      <c r="AG279" s="389" t="e">
        <f>P279*('upper bound Kenaga'!$F$36/100)</f>
        <v>#DIV/0!</v>
      </c>
      <c r="AH279" s="36"/>
      <c r="AI279" s="389" t="e">
        <f>P279*('upper bound Kenaga'!$F$96/100)</f>
        <v>#DIV/0!</v>
      </c>
      <c r="AJ279" s="36"/>
      <c r="AK279" s="36"/>
      <c r="AL279" s="36"/>
      <c r="AM279" s="36"/>
      <c r="AN279" s="36"/>
      <c r="AO279" s="36"/>
    </row>
    <row r="280" spans="10:41" s="1" customFormat="1">
      <c r="J280" s="6">
        <f>COUNTIF(K$21:K280,"=yes")</f>
        <v>1</v>
      </c>
      <c r="K280" s="533" t="str">
        <f>IF(LOOKUP(VALUE(M280),INPUTS!$G$6:$G$35)=M280,"yes","no")</f>
        <v>no</v>
      </c>
      <c r="L280" s="533">
        <f>IF(K280="yes",(LOOKUP(J280,INPUTS!$E$6:$E$35,INPUTS!$F$6:$F$35)),0)</f>
        <v>0</v>
      </c>
      <c r="M280" s="135">
        <f t="shared" si="60"/>
        <v>259</v>
      </c>
      <c r="N280" s="135">
        <f t="shared" si="61"/>
        <v>1</v>
      </c>
      <c r="O280" s="135">
        <f t="shared" si="62"/>
        <v>0</v>
      </c>
      <c r="P280" s="536" t="e">
        <f t="shared" si="63"/>
        <v>#DIV/0!</v>
      </c>
      <c r="Q280" s="537" t="e">
        <f t="shared" si="64"/>
        <v>#DIV/0!</v>
      </c>
      <c r="R280" s="538" t="e">
        <f>IF(INPUTS!$B$15="yes",Q280,P280)</f>
        <v>#DIV/0!</v>
      </c>
      <c r="S280" s="536" t="e">
        <f t="shared" si="65"/>
        <v>#DIV/0!</v>
      </c>
      <c r="T280" s="537" t="e">
        <f t="shared" si="66"/>
        <v>#DIV/0!</v>
      </c>
      <c r="U280" s="538" t="e">
        <f>IF(INPUTS!$B$15="yes",T280,S280)</f>
        <v>#DIV/0!</v>
      </c>
      <c r="V280" s="536" t="e">
        <f t="shared" si="67"/>
        <v>#DIV/0!</v>
      </c>
      <c r="W280" s="537" t="e">
        <f t="shared" si="68"/>
        <v>#DIV/0!</v>
      </c>
      <c r="X280" s="538" t="e">
        <f>IF(INPUTS!$B$15="yes",W280,V280)</f>
        <v>#DIV/0!</v>
      </c>
      <c r="Y280" s="536" t="e">
        <f t="shared" si="69"/>
        <v>#DIV/0!</v>
      </c>
      <c r="Z280" s="537" t="e">
        <f t="shared" si="70"/>
        <v>#DIV/0!</v>
      </c>
      <c r="AA280" s="538" t="e">
        <f>IF(INPUTS!$B$15="yes",Z280,Y280)</f>
        <v>#DIV/0!</v>
      </c>
      <c r="AB280" s="536" t="e">
        <f t="shared" si="71"/>
        <v>#DIV/0!</v>
      </c>
      <c r="AC280" s="537" t="e">
        <f t="shared" si="72"/>
        <v>#DIV/0!</v>
      </c>
      <c r="AD280" s="538" t="e">
        <f>IF(INPUTS!$B$15="yes",AC280,AB280)</f>
        <v>#DIV/0!</v>
      </c>
      <c r="AE280" s="36" t="str">
        <f t="shared" si="59"/>
        <v>no</v>
      </c>
      <c r="AF280" s="36"/>
      <c r="AG280" s="389" t="e">
        <f>P280*('upper bound Kenaga'!$F$36/100)</f>
        <v>#DIV/0!</v>
      </c>
      <c r="AH280" s="36"/>
      <c r="AI280" s="389" t="e">
        <f>P280*('upper bound Kenaga'!$F$96/100)</f>
        <v>#DIV/0!</v>
      </c>
      <c r="AJ280" s="36"/>
      <c r="AK280" s="36"/>
      <c r="AL280" s="36"/>
      <c r="AM280" s="36"/>
      <c r="AN280" s="36"/>
      <c r="AO280" s="36"/>
    </row>
    <row r="281" spans="10:41" s="1" customFormat="1">
      <c r="J281" s="6">
        <f>COUNTIF(K$21:K281,"=yes")</f>
        <v>1</v>
      </c>
      <c r="K281" s="533" t="str">
        <f>IF(LOOKUP(VALUE(M281),INPUTS!$G$6:$G$35)=M281,"yes","no")</f>
        <v>no</v>
      </c>
      <c r="L281" s="533">
        <f>IF(K281="yes",(LOOKUP(J281,INPUTS!$E$6:$E$35,INPUTS!$F$6:$F$35)),0)</f>
        <v>0</v>
      </c>
      <c r="M281" s="135">
        <f t="shared" si="60"/>
        <v>260</v>
      </c>
      <c r="N281" s="135">
        <f t="shared" si="61"/>
        <v>1</v>
      </c>
      <c r="O281" s="135">
        <f t="shared" si="62"/>
        <v>0</v>
      </c>
      <c r="P281" s="536" t="e">
        <f t="shared" si="63"/>
        <v>#DIV/0!</v>
      </c>
      <c r="Q281" s="537" t="e">
        <f t="shared" si="64"/>
        <v>#DIV/0!</v>
      </c>
      <c r="R281" s="538" t="e">
        <f>IF(INPUTS!$B$15="yes",Q281,P281)</f>
        <v>#DIV/0!</v>
      </c>
      <c r="S281" s="536" t="e">
        <f t="shared" si="65"/>
        <v>#DIV/0!</v>
      </c>
      <c r="T281" s="537" t="e">
        <f t="shared" si="66"/>
        <v>#DIV/0!</v>
      </c>
      <c r="U281" s="538" t="e">
        <f>IF(INPUTS!$B$15="yes",T281,S281)</f>
        <v>#DIV/0!</v>
      </c>
      <c r="V281" s="536" t="e">
        <f t="shared" si="67"/>
        <v>#DIV/0!</v>
      </c>
      <c r="W281" s="537" t="e">
        <f t="shared" si="68"/>
        <v>#DIV/0!</v>
      </c>
      <c r="X281" s="538" t="e">
        <f>IF(INPUTS!$B$15="yes",W281,V281)</f>
        <v>#DIV/0!</v>
      </c>
      <c r="Y281" s="536" t="e">
        <f t="shared" si="69"/>
        <v>#DIV/0!</v>
      </c>
      <c r="Z281" s="537" t="e">
        <f t="shared" si="70"/>
        <v>#DIV/0!</v>
      </c>
      <c r="AA281" s="538" t="e">
        <f>IF(INPUTS!$B$15="yes",Z281,Y281)</f>
        <v>#DIV/0!</v>
      </c>
      <c r="AB281" s="536" t="e">
        <f t="shared" si="71"/>
        <v>#DIV/0!</v>
      </c>
      <c r="AC281" s="537" t="e">
        <f t="shared" si="72"/>
        <v>#DIV/0!</v>
      </c>
      <c r="AD281" s="538" t="e">
        <f>IF(INPUTS!$B$15="yes",AC281,AB281)</f>
        <v>#DIV/0!</v>
      </c>
      <c r="AE281" s="36" t="str">
        <f t="shared" si="59"/>
        <v>no</v>
      </c>
      <c r="AF281" s="36"/>
      <c r="AG281" s="389" t="e">
        <f>P281*('upper bound Kenaga'!$F$36/100)</f>
        <v>#DIV/0!</v>
      </c>
      <c r="AH281" s="36"/>
      <c r="AI281" s="389" t="e">
        <f>P281*('upper bound Kenaga'!$F$96/100)</f>
        <v>#DIV/0!</v>
      </c>
      <c r="AJ281" s="36"/>
      <c r="AK281" s="36"/>
      <c r="AL281" s="36"/>
      <c r="AM281" s="36"/>
      <c r="AN281" s="36"/>
      <c r="AO281" s="36"/>
    </row>
    <row r="282" spans="10:41" s="1" customFormat="1">
      <c r="J282" s="6">
        <f>COUNTIF(K$21:K282,"=yes")</f>
        <v>1</v>
      </c>
      <c r="K282" s="533" t="str">
        <f>IF(LOOKUP(VALUE(M282),INPUTS!$G$6:$G$35)=M282,"yes","no")</f>
        <v>no</v>
      </c>
      <c r="L282" s="533">
        <f>IF(K282="yes",(LOOKUP(J282,INPUTS!$E$6:$E$35,INPUTS!$F$6:$F$35)),0)</f>
        <v>0</v>
      </c>
      <c r="M282" s="135">
        <f t="shared" si="60"/>
        <v>261</v>
      </c>
      <c r="N282" s="135">
        <f t="shared" si="61"/>
        <v>1</v>
      </c>
      <c r="O282" s="135">
        <f t="shared" si="62"/>
        <v>0</v>
      </c>
      <c r="P282" s="536" t="e">
        <f t="shared" si="63"/>
        <v>#DIV/0!</v>
      </c>
      <c r="Q282" s="537" t="e">
        <f t="shared" si="64"/>
        <v>#DIV/0!</v>
      </c>
      <c r="R282" s="538" t="e">
        <f>IF(INPUTS!$B$15="yes",Q282,P282)</f>
        <v>#DIV/0!</v>
      </c>
      <c r="S282" s="536" t="e">
        <f t="shared" si="65"/>
        <v>#DIV/0!</v>
      </c>
      <c r="T282" s="537" t="e">
        <f t="shared" si="66"/>
        <v>#DIV/0!</v>
      </c>
      <c r="U282" s="538" t="e">
        <f>IF(INPUTS!$B$15="yes",T282,S282)</f>
        <v>#DIV/0!</v>
      </c>
      <c r="V282" s="536" t="e">
        <f t="shared" si="67"/>
        <v>#DIV/0!</v>
      </c>
      <c r="W282" s="537" t="e">
        <f t="shared" si="68"/>
        <v>#DIV/0!</v>
      </c>
      <c r="X282" s="538" t="e">
        <f>IF(INPUTS!$B$15="yes",W282,V282)</f>
        <v>#DIV/0!</v>
      </c>
      <c r="Y282" s="536" t="e">
        <f t="shared" si="69"/>
        <v>#DIV/0!</v>
      </c>
      <c r="Z282" s="537" t="e">
        <f t="shared" si="70"/>
        <v>#DIV/0!</v>
      </c>
      <c r="AA282" s="538" t="e">
        <f>IF(INPUTS!$B$15="yes",Z282,Y282)</f>
        <v>#DIV/0!</v>
      </c>
      <c r="AB282" s="536" t="e">
        <f t="shared" si="71"/>
        <v>#DIV/0!</v>
      </c>
      <c r="AC282" s="537" t="e">
        <f t="shared" si="72"/>
        <v>#DIV/0!</v>
      </c>
      <c r="AD282" s="538" t="e">
        <f>IF(INPUTS!$B$15="yes",AC282,AB282)</f>
        <v>#DIV/0!</v>
      </c>
      <c r="AE282" s="36" t="str">
        <f t="shared" ref="AE282:AE345" si="73">$B$11</f>
        <v>no</v>
      </c>
      <c r="AF282" s="36"/>
      <c r="AG282" s="389" t="e">
        <f>P282*('upper bound Kenaga'!$F$36/100)</f>
        <v>#DIV/0!</v>
      </c>
      <c r="AH282" s="36"/>
      <c r="AI282" s="389" t="e">
        <f>P282*('upper bound Kenaga'!$F$96/100)</f>
        <v>#DIV/0!</v>
      </c>
      <c r="AJ282" s="36"/>
      <c r="AK282" s="36"/>
      <c r="AL282" s="36"/>
      <c r="AM282" s="36"/>
      <c r="AN282" s="36"/>
      <c r="AO282" s="36"/>
    </row>
    <row r="283" spans="10:41" s="1" customFormat="1">
      <c r="J283" s="6">
        <f>COUNTIF(K$21:K283,"=yes")</f>
        <v>1</v>
      </c>
      <c r="K283" s="533" t="str">
        <f>IF(LOOKUP(VALUE(M283),INPUTS!$G$6:$G$35)=M283,"yes","no")</f>
        <v>no</v>
      </c>
      <c r="L283" s="533">
        <f>IF(K283="yes",(LOOKUP(J283,INPUTS!$E$6:$E$35,INPUTS!$F$6:$F$35)),0)</f>
        <v>0</v>
      </c>
      <c r="M283" s="135">
        <f t="shared" ref="M283:M346" si="74">(M282+1)</f>
        <v>262</v>
      </c>
      <c r="N283" s="135">
        <f t="shared" ref="N283:N346" si="75">IF($B$9&gt;N282,IF(O282=($B$8-1),(N282+1),(N282)),(N282))</f>
        <v>1</v>
      </c>
      <c r="O283" s="135">
        <f t="shared" ref="O283:O346" si="76">IF(O282&lt;($B$8-1),(1+O282),0)</f>
        <v>0</v>
      </c>
      <c r="P283" s="536" t="e">
        <f t="shared" si="63"/>
        <v>#DIV/0!</v>
      </c>
      <c r="Q283" s="537" t="e">
        <f t="shared" si="64"/>
        <v>#DIV/0!</v>
      </c>
      <c r="R283" s="538" t="e">
        <f>IF(INPUTS!$B$15="yes",Q283,P283)</f>
        <v>#DIV/0!</v>
      </c>
      <c r="S283" s="536" t="e">
        <f t="shared" si="65"/>
        <v>#DIV/0!</v>
      </c>
      <c r="T283" s="537" t="e">
        <f t="shared" si="66"/>
        <v>#DIV/0!</v>
      </c>
      <c r="U283" s="538" t="e">
        <f>IF(INPUTS!$B$15="yes",T283,S283)</f>
        <v>#DIV/0!</v>
      </c>
      <c r="V283" s="536" t="e">
        <f t="shared" si="67"/>
        <v>#DIV/0!</v>
      </c>
      <c r="W283" s="537" t="e">
        <f t="shared" si="68"/>
        <v>#DIV/0!</v>
      </c>
      <c r="X283" s="538" t="e">
        <f>IF(INPUTS!$B$15="yes",W283,V283)</f>
        <v>#DIV/0!</v>
      </c>
      <c r="Y283" s="536" t="e">
        <f t="shared" si="69"/>
        <v>#DIV/0!</v>
      </c>
      <c r="Z283" s="537" t="e">
        <f t="shared" si="70"/>
        <v>#DIV/0!</v>
      </c>
      <c r="AA283" s="538" t="e">
        <f>IF(INPUTS!$B$15="yes",Z283,Y283)</f>
        <v>#DIV/0!</v>
      </c>
      <c r="AB283" s="536" t="e">
        <f t="shared" si="71"/>
        <v>#DIV/0!</v>
      </c>
      <c r="AC283" s="537" t="e">
        <f t="shared" si="72"/>
        <v>#DIV/0!</v>
      </c>
      <c r="AD283" s="538" t="e">
        <f>IF(INPUTS!$B$15="yes",AC283,AB283)</f>
        <v>#DIV/0!</v>
      </c>
      <c r="AE283" s="36" t="str">
        <f t="shared" si="73"/>
        <v>no</v>
      </c>
      <c r="AF283" s="36"/>
      <c r="AG283" s="389" t="e">
        <f>P283*('upper bound Kenaga'!$F$36/100)</f>
        <v>#DIV/0!</v>
      </c>
      <c r="AH283" s="36"/>
      <c r="AI283" s="389" t="e">
        <f>P283*('upper bound Kenaga'!$F$96/100)</f>
        <v>#DIV/0!</v>
      </c>
      <c r="AJ283" s="36"/>
      <c r="AK283" s="36"/>
      <c r="AL283" s="36"/>
      <c r="AM283" s="36"/>
      <c r="AN283" s="36"/>
      <c r="AO283" s="36"/>
    </row>
    <row r="284" spans="10:41" s="1" customFormat="1">
      <c r="J284" s="6">
        <f>COUNTIF(K$21:K284,"=yes")</f>
        <v>1</v>
      </c>
      <c r="K284" s="533" t="str">
        <f>IF(LOOKUP(VALUE(M284),INPUTS!$G$6:$G$35)=M284,"yes","no")</f>
        <v>no</v>
      </c>
      <c r="L284" s="533">
        <f>IF(K284="yes",(LOOKUP(J284,INPUTS!$E$6:$E$35,INPUTS!$F$6:$F$35)),0)</f>
        <v>0</v>
      </c>
      <c r="M284" s="135">
        <f t="shared" si="74"/>
        <v>263</v>
      </c>
      <c r="N284" s="135">
        <f t="shared" si="75"/>
        <v>1</v>
      </c>
      <c r="O284" s="135">
        <f t="shared" si="76"/>
        <v>0</v>
      </c>
      <c r="P284" s="536" t="e">
        <f t="shared" si="63"/>
        <v>#DIV/0!</v>
      </c>
      <c r="Q284" s="537" t="e">
        <f t="shared" si="64"/>
        <v>#DIV/0!</v>
      </c>
      <c r="R284" s="538" t="e">
        <f>IF(INPUTS!$B$15="yes",Q284,P284)</f>
        <v>#DIV/0!</v>
      </c>
      <c r="S284" s="536" t="e">
        <f t="shared" si="65"/>
        <v>#DIV/0!</v>
      </c>
      <c r="T284" s="537" t="e">
        <f t="shared" si="66"/>
        <v>#DIV/0!</v>
      </c>
      <c r="U284" s="538" t="e">
        <f>IF(INPUTS!$B$15="yes",T284,S284)</f>
        <v>#DIV/0!</v>
      </c>
      <c r="V284" s="536" t="e">
        <f t="shared" si="67"/>
        <v>#DIV/0!</v>
      </c>
      <c r="W284" s="537" t="e">
        <f t="shared" si="68"/>
        <v>#DIV/0!</v>
      </c>
      <c r="X284" s="538" t="e">
        <f>IF(INPUTS!$B$15="yes",W284,V284)</f>
        <v>#DIV/0!</v>
      </c>
      <c r="Y284" s="536" t="e">
        <f t="shared" si="69"/>
        <v>#DIV/0!</v>
      </c>
      <c r="Z284" s="537" t="e">
        <f t="shared" si="70"/>
        <v>#DIV/0!</v>
      </c>
      <c r="AA284" s="538" t="e">
        <f>IF(INPUTS!$B$15="yes",Z284,Y284)</f>
        <v>#DIV/0!</v>
      </c>
      <c r="AB284" s="536" t="e">
        <f t="shared" si="71"/>
        <v>#DIV/0!</v>
      </c>
      <c r="AC284" s="537" t="e">
        <f t="shared" si="72"/>
        <v>#DIV/0!</v>
      </c>
      <c r="AD284" s="538" t="e">
        <f>IF(INPUTS!$B$15="yes",AC284,AB284)</f>
        <v>#DIV/0!</v>
      </c>
      <c r="AE284" s="36" t="str">
        <f t="shared" si="73"/>
        <v>no</v>
      </c>
      <c r="AF284" s="36"/>
      <c r="AG284" s="389" t="e">
        <f>P284*('upper bound Kenaga'!$F$36/100)</f>
        <v>#DIV/0!</v>
      </c>
      <c r="AH284" s="36"/>
      <c r="AI284" s="389" t="e">
        <f>P284*('upper bound Kenaga'!$F$96/100)</f>
        <v>#DIV/0!</v>
      </c>
      <c r="AJ284" s="36"/>
      <c r="AK284" s="36"/>
      <c r="AL284" s="36"/>
      <c r="AM284" s="36"/>
      <c r="AN284" s="36"/>
      <c r="AO284" s="36"/>
    </row>
    <row r="285" spans="10:41" s="1" customFormat="1">
      <c r="J285" s="6">
        <f>COUNTIF(K$21:K285,"=yes")</f>
        <v>1</v>
      </c>
      <c r="K285" s="533" t="str">
        <f>IF(LOOKUP(VALUE(M285),INPUTS!$G$6:$G$35)=M285,"yes","no")</f>
        <v>no</v>
      </c>
      <c r="L285" s="533">
        <f>IF(K285="yes",(LOOKUP(J285,INPUTS!$E$6:$E$35,INPUTS!$F$6:$F$35)),0)</f>
        <v>0</v>
      </c>
      <c r="M285" s="135">
        <f t="shared" si="74"/>
        <v>264</v>
      </c>
      <c r="N285" s="135">
        <f t="shared" si="75"/>
        <v>1</v>
      </c>
      <c r="O285" s="135">
        <f t="shared" si="76"/>
        <v>0</v>
      </c>
      <c r="P285" s="536" t="e">
        <f t="shared" si="63"/>
        <v>#DIV/0!</v>
      </c>
      <c r="Q285" s="537" t="e">
        <f t="shared" si="64"/>
        <v>#DIV/0!</v>
      </c>
      <c r="R285" s="538" t="e">
        <f>IF(INPUTS!$B$15="yes",Q285,P285)</f>
        <v>#DIV/0!</v>
      </c>
      <c r="S285" s="536" t="e">
        <f t="shared" si="65"/>
        <v>#DIV/0!</v>
      </c>
      <c r="T285" s="537" t="e">
        <f t="shared" si="66"/>
        <v>#DIV/0!</v>
      </c>
      <c r="U285" s="538" t="e">
        <f>IF(INPUTS!$B$15="yes",T285,S285)</f>
        <v>#DIV/0!</v>
      </c>
      <c r="V285" s="536" t="e">
        <f t="shared" si="67"/>
        <v>#DIV/0!</v>
      </c>
      <c r="W285" s="537" t="e">
        <f t="shared" si="68"/>
        <v>#DIV/0!</v>
      </c>
      <c r="X285" s="538" t="e">
        <f>IF(INPUTS!$B$15="yes",W285,V285)</f>
        <v>#DIV/0!</v>
      </c>
      <c r="Y285" s="536" t="e">
        <f t="shared" si="69"/>
        <v>#DIV/0!</v>
      </c>
      <c r="Z285" s="537" t="e">
        <f t="shared" si="70"/>
        <v>#DIV/0!</v>
      </c>
      <c r="AA285" s="538" t="e">
        <f>IF(INPUTS!$B$15="yes",Z285,Y285)</f>
        <v>#DIV/0!</v>
      </c>
      <c r="AB285" s="536" t="e">
        <f t="shared" si="71"/>
        <v>#DIV/0!</v>
      </c>
      <c r="AC285" s="537" t="e">
        <f t="shared" si="72"/>
        <v>#DIV/0!</v>
      </c>
      <c r="AD285" s="538" t="e">
        <f>IF(INPUTS!$B$15="yes",AC285,AB285)</f>
        <v>#DIV/0!</v>
      </c>
      <c r="AE285" s="36" t="str">
        <f t="shared" si="73"/>
        <v>no</v>
      </c>
      <c r="AF285" s="36"/>
      <c r="AG285" s="389" t="e">
        <f>P285*('upper bound Kenaga'!$F$36/100)</f>
        <v>#DIV/0!</v>
      </c>
      <c r="AH285" s="36"/>
      <c r="AI285" s="389" t="e">
        <f>P285*('upper bound Kenaga'!$F$96/100)</f>
        <v>#DIV/0!</v>
      </c>
      <c r="AJ285" s="36"/>
      <c r="AK285" s="36"/>
      <c r="AL285" s="36"/>
      <c r="AM285" s="36"/>
      <c r="AN285" s="36"/>
      <c r="AO285" s="36"/>
    </row>
    <row r="286" spans="10:41" s="1" customFormat="1">
      <c r="J286" s="6">
        <f>COUNTIF(K$21:K286,"=yes")</f>
        <v>1</v>
      </c>
      <c r="K286" s="533" t="str">
        <f>IF(LOOKUP(VALUE(M286),INPUTS!$G$6:$G$35)=M286,"yes","no")</f>
        <v>no</v>
      </c>
      <c r="L286" s="533">
        <f>IF(K286="yes",(LOOKUP(J286,INPUTS!$E$6:$E$35,INPUTS!$F$6:$F$35)),0)</f>
        <v>0</v>
      </c>
      <c r="M286" s="135">
        <f t="shared" si="74"/>
        <v>265</v>
      </c>
      <c r="N286" s="135">
        <f t="shared" si="75"/>
        <v>1</v>
      </c>
      <c r="O286" s="135">
        <f t="shared" si="76"/>
        <v>0</v>
      </c>
      <c r="P286" s="536" t="e">
        <f t="shared" si="63"/>
        <v>#DIV/0!</v>
      </c>
      <c r="Q286" s="537" t="e">
        <f t="shared" si="64"/>
        <v>#DIV/0!</v>
      </c>
      <c r="R286" s="538" t="e">
        <f>IF(INPUTS!$B$15="yes",Q286,P286)</f>
        <v>#DIV/0!</v>
      </c>
      <c r="S286" s="536" t="e">
        <f t="shared" si="65"/>
        <v>#DIV/0!</v>
      </c>
      <c r="T286" s="537" t="e">
        <f t="shared" si="66"/>
        <v>#DIV/0!</v>
      </c>
      <c r="U286" s="538" t="e">
        <f>IF(INPUTS!$B$15="yes",T286,S286)</f>
        <v>#DIV/0!</v>
      </c>
      <c r="V286" s="536" t="e">
        <f t="shared" si="67"/>
        <v>#DIV/0!</v>
      </c>
      <c r="W286" s="537" t="e">
        <f t="shared" si="68"/>
        <v>#DIV/0!</v>
      </c>
      <c r="X286" s="538" t="e">
        <f>IF(INPUTS!$B$15="yes",W286,V286)</f>
        <v>#DIV/0!</v>
      </c>
      <c r="Y286" s="536" t="e">
        <f t="shared" si="69"/>
        <v>#DIV/0!</v>
      </c>
      <c r="Z286" s="537" t="e">
        <f t="shared" si="70"/>
        <v>#DIV/0!</v>
      </c>
      <c r="AA286" s="538" t="e">
        <f>IF(INPUTS!$B$15="yes",Z286,Y286)</f>
        <v>#DIV/0!</v>
      </c>
      <c r="AB286" s="536" t="e">
        <f t="shared" si="71"/>
        <v>#DIV/0!</v>
      </c>
      <c r="AC286" s="537" t="e">
        <f t="shared" si="72"/>
        <v>#DIV/0!</v>
      </c>
      <c r="AD286" s="538" t="e">
        <f>IF(INPUTS!$B$15="yes",AC286,AB286)</f>
        <v>#DIV/0!</v>
      </c>
      <c r="AE286" s="36" t="str">
        <f t="shared" si="73"/>
        <v>no</v>
      </c>
      <c r="AF286" s="36"/>
      <c r="AG286" s="389" t="e">
        <f>P286*('upper bound Kenaga'!$F$36/100)</f>
        <v>#DIV/0!</v>
      </c>
      <c r="AH286" s="36"/>
      <c r="AI286" s="389" t="e">
        <f>P286*('upper bound Kenaga'!$F$96/100)</f>
        <v>#DIV/0!</v>
      </c>
      <c r="AJ286" s="36"/>
      <c r="AK286" s="36"/>
      <c r="AL286" s="36"/>
      <c r="AM286" s="36"/>
      <c r="AN286" s="36"/>
      <c r="AO286" s="36"/>
    </row>
    <row r="287" spans="10:41" s="1" customFormat="1">
      <c r="J287" s="6">
        <f>COUNTIF(K$21:K287,"=yes")</f>
        <v>1</v>
      </c>
      <c r="K287" s="533" t="str">
        <f>IF(LOOKUP(VALUE(M287),INPUTS!$G$6:$G$35)=M287,"yes","no")</f>
        <v>no</v>
      </c>
      <c r="L287" s="533">
        <f>IF(K287="yes",(LOOKUP(J287,INPUTS!$E$6:$E$35,INPUTS!$F$6:$F$35)),0)</f>
        <v>0</v>
      </c>
      <c r="M287" s="135">
        <f t="shared" si="74"/>
        <v>266</v>
      </c>
      <c r="N287" s="135">
        <f t="shared" si="75"/>
        <v>1</v>
      </c>
      <c r="O287" s="135">
        <f t="shared" si="76"/>
        <v>0</v>
      </c>
      <c r="P287" s="536" t="e">
        <f t="shared" ref="P287:P350" si="77">IF((N287&gt;N286),(EXP(-$R$16)*(P286)+$R$11),((EXP(-$R$16)*(P286))))</f>
        <v>#DIV/0!</v>
      </c>
      <c r="Q287" s="537" t="e">
        <f t="shared" si="64"/>
        <v>#DIV/0!</v>
      </c>
      <c r="R287" s="538" t="e">
        <f>IF(INPUTS!$B$15="yes",Q287,P287)</f>
        <v>#DIV/0!</v>
      </c>
      <c r="S287" s="536" t="e">
        <f t="shared" si="65"/>
        <v>#DIV/0!</v>
      </c>
      <c r="T287" s="537" t="e">
        <f t="shared" si="66"/>
        <v>#DIV/0!</v>
      </c>
      <c r="U287" s="538" t="e">
        <f>IF(INPUTS!$B$15="yes",T287,S287)</f>
        <v>#DIV/0!</v>
      </c>
      <c r="V287" s="536" t="e">
        <f t="shared" si="67"/>
        <v>#DIV/0!</v>
      </c>
      <c r="W287" s="537" t="e">
        <f t="shared" si="68"/>
        <v>#DIV/0!</v>
      </c>
      <c r="X287" s="538" t="e">
        <f>IF(INPUTS!$B$15="yes",W287,V287)</f>
        <v>#DIV/0!</v>
      </c>
      <c r="Y287" s="536" t="e">
        <f t="shared" si="69"/>
        <v>#DIV/0!</v>
      </c>
      <c r="Z287" s="537" t="e">
        <f t="shared" si="70"/>
        <v>#DIV/0!</v>
      </c>
      <c r="AA287" s="538" t="e">
        <f>IF(INPUTS!$B$15="yes",Z287,Y287)</f>
        <v>#DIV/0!</v>
      </c>
      <c r="AB287" s="536" t="e">
        <f t="shared" si="71"/>
        <v>#DIV/0!</v>
      </c>
      <c r="AC287" s="537" t="e">
        <f t="shared" si="72"/>
        <v>#DIV/0!</v>
      </c>
      <c r="AD287" s="538" t="e">
        <f>IF(INPUTS!$B$15="yes",AC287,AB287)</f>
        <v>#DIV/0!</v>
      </c>
      <c r="AE287" s="36" t="str">
        <f t="shared" si="73"/>
        <v>no</v>
      </c>
      <c r="AF287" s="36"/>
      <c r="AG287" s="389" t="e">
        <f>P287*('upper bound Kenaga'!$F$36/100)</f>
        <v>#DIV/0!</v>
      </c>
      <c r="AH287" s="36"/>
      <c r="AI287" s="389" t="e">
        <f>P287*('upper bound Kenaga'!$F$96/100)</f>
        <v>#DIV/0!</v>
      </c>
      <c r="AJ287" s="36"/>
      <c r="AK287" s="36"/>
      <c r="AL287" s="36"/>
      <c r="AM287" s="36"/>
      <c r="AN287" s="36"/>
      <c r="AO287" s="36"/>
    </row>
    <row r="288" spans="10:41" s="1" customFormat="1">
      <c r="J288" s="6">
        <f>COUNTIF(K$21:K288,"=yes")</f>
        <v>1</v>
      </c>
      <c r="K288" s="533" t="str">
        <f>IF(LOOKUP(VALUE(M288),INPUTS!$G$6:$G$35)=M288,"yes","no")</f>
        <v>no</v>
      </c>
      <c r="L288" s="533">
        <f>IF(K288="yes",(LOOKUP(J288,INPUTS!$E$6:$E$35,INPUTS!$F$6:$F$35)),0)</f>
        <v>0</v>
      </c>
      <c r="M288" s="135">
        <f t="shared" si="74"/>
        <v>267</v>
      </c>
      <c r="N288" s="135">
        <f t="shared" si="75"/>
        <v>1</v>
      </c>
      <c r="O288" s="135">
        <f t="shared" si="76"/>
        <v>0</v>
      </c>
      <c r="P288" s="536" t="e">
        <f t="shared" si="77"/>
        <v>#DIV/0!</v>
      </c>
      <c r="Q288" s="537" t="e">
        <f t="shared" si="64"/>
        <v>#DIV/0!</v>
      </c>
      <c r="R288" s="538" t="e">
        <f>IF(INPUTS!$B$15="yes",Q288,P288)</f>
        <v>#DIV/0!</v>
      </c>
      <c r="S288" s="536" t="e">
        <f t="shared" si="65"/>
        <v>#DIV/0!</v>
      </c>
      <c r="T288" s="537" t="e">
        <f t="shared" si="66"/>
        <v>#DIV/0!</v>
      </c>
      <c r="U288" s="538" t="e">
        <f>IF(INPUTS!$B$15="yes",T288,S288)</f>
        <v>#DIV/0!</v>
      </c>
      <c r="V288" s="536" t="e">
        <f t="shared" si="67"/>
        <v>#DIV/0!</v>
      </c>
      <c r="W288" s="537" t="e">
        <f t="shared" si="68"/>
        <v>#DIV/0!</v>
      </c>
      <c r="X288" s="538" t="e">
        <f>IF(INPUTS!$B$15="yes",W288,V288)</f>
        <v>#DIV/0!</v>
      </c>
      <c r="Y288" s="536" t="e">
        <f t="shared" si="69"/>
        <v>#DIV/0!</v>
      </c>
      <c r="Z288" s="537" t="e">
        <f t="shared" si="70"/>
        <v>#DIV/0!</v>
      </c>
      <c r="AA288" s="538" t="e">
        <f>IF(INPUTS!$B$15="yes",Z288,Y288)</f>
        <v>#DIV/0!</v>
      </c>
      <c r="AB288" s="536" t="e">
        <f t="shared" si="71"/>
        <v>#DIV/0!</v>
      </c>
      <c r="AC288" s="537" t="e">
        <f t="shared" si="72"/>
        <v>#DIV/0!</v>
      </c>
      <c r="AD288" s="538" t="e">
        <f>IF(INPUTS!$B$15="yes",AC288,AB288)</f>
        <v>#DIV/0!</v>
      </c>
      <c r="AE288" s="36" t="str">
        <f t="shared" si="73"/>
        <v>no</v>
      </c>
      <c r="AF288" s="36"/>
      <c r="AG288" s="389" t="e">
        <f>P288*('upper bound Kenaga'!$F$36/100)</f>
        <v>#DIV/0!</v>
      </c>
      <c r="AH288" s="36"/>
      <c r="AI288" s="389" t="e">
        <f>P288*('upper bound Kenaga'!$F$96/100)</f>
        <v>#DIV/0!</v>
      </c>
      <c r="AJ288" s="36"/>
      <c r="AK288" s="36"/>
      <c r="AL288" s="36"/>
      <c r="AM288" s="36"/>
      <c r="AN288" s="36"/>
      <c r="AO288" s="36"/>
    </row>
    <row r="289" spans="10:41" s="1" customFormat="1">
      <c r="J289" s="6">
        <f>COUNTIF(K$21:K289,"=yes")</f>
        <v>1</v>
      </c>
      <c r="K289" s="533" t="str">
        <f>IF(LOOKUP(VALUE(M289),INPUTS!$G$6:$G$35)=M289,"yes","no")</f>
        <v>no</v>
      </c>
      <c r="L289" s="533">
        <f>IF(K289="yes",(LOOKUP(J289,INPUTS!$E$6:$E$35,INPUTS!$F$6:$F$35)),0)</f>
        <v>0</v>
      </c>
      <c r="M289" s="135">
        <f t="shared" si="74"/>
        <v>268</v>
      </c>
      <c r="N289" s="135">
        <f t="shared" si="75"/>
        <v>1</v>
      </c>
      <c r="O289" s="135">
        <f t="shared" si="76"/>
        <v>0</v>
      </c>
      <c r="P289" s="536" t="e">
        <f t="shared" si="77"/>
        <v>#DIV/0!</v>
      </c>
      <c r="Q289" s="537" t="e">
        <f t="shared" si="64"/>
        <v>#DIV/0!</v>
      </c>
      <c r="R289" s="538" t="e">
        <f>IF(INPUTS!$B$15="yes",Q289,P289)</f>
        <v>#DIV/0!</v>
      </c>
      <c r="S289" s="536" t="e">
        <f t="shared" si="65"/>
        <v>#DIV/0!</v>
      </c>
      <c r="T289" s="537" t="e">
        <f t="shared" si="66"/>
        <v>#DIV/0!</v>
      </c>
      <c r="U289" s="538" t="e">
        <f>IF(INPUTS!$B$15="yes",T289,S289)</f>
        <v>#DIV/0!</v>
      </c>
      <c r="V289" s="536" t="e">
        <f t="shared" si="67"/>
        <v>#DIV/0!</v>
      </c>
      <c r="W289" s="537" t="e">
        <f t="shared" si="68"/>
        <v>#DIV/0!</v>
      </c>
      <c r="X289" s="538" t="e">
        <f>IF(INPUTS!$B$15="yes",W289,V289)</f>
        <v>#DIV/0!</v>
      </c>
      <c r="Y289" s="536" t="e">
        <f t="shared" si="69"/>
        <v>#DIV/0!</v>
      </c>
      <c r="Z289" s="537" t="e">
        <f t="shared" si="70"/>
        <v>#DIV/0!</v>
      </c>
      <c r="AA289" s="538" t="e">
        <f>IF(INPUTS!$B$15="yes",Z289,Y289)</f>
        <v>#DIV/0!</v>
      </c>
      <c r="AB289" s="536" t="e">
        <f t="shared" si="71"/>
        <v>#DIV/0!</v>
      </c>
      <c r="AC289" s="537" t="e">
        <f t="shared" si="72"/>
        <v>#DIV/0!</v>
      </c>
      <c r="AD289" s="538" t="e">
        <f>IF(INPUTS!$B$15="yes",AC289,AB289)</f>
        <v>#DIV/0!</v>
      </c>
      <c r="AE289" s="36" t="str">
        <f t="shared" si="73"/>
        <v>no</v>
      </c>
      <c r="AF289" s="36"/>
      <c r="AG289" s="389" t="e">
        <f>P289*('upper bound Kenaga'!$F$36/100)</f>
        <v>#DIV/0!</v>
      </c>
      <c r="AH289" s="36"/>
      <c r="AI289" s="389" t="e">
        <f>P289*('upper bound Kenaga'!$F$96/100)</f>
        <v>#DIV/0!</v>
      </c>
      <c r="AJ289" s="36"/>
      <c r="AK289" s="36"/>
      <c r="AL289" s="36"/>
      <c r="AM289" s="36"/>
      <c r="AN289" s="36"/>
      <c r="AO289" s="36"/>
    </row>
    <row r="290" spans="10:41" s="1" customFormat="1">
      <c r="J290" s="6">
        <f>COUNTIF(K$21:K290,"=yes")</f>
        <v>1</v>
      </c>
      <c r="K290" s="533" t="str">
        <f>IF(LOOKUP(VALUE(M290),INPUTS!$G$6:$G$35)=M290,"yes","no")</f>
        <v>no</v>
      </c>
      <c r="L290" s="533">
        <f>IF(K290="yes",(LOOKUP(J290,INPUTS!$E$6:$E$35,INPUTS!$F$6:$F$35)),0)</f>
        <v>0</v>
      </c>
      <c r="M290" s="135">
        <f t="shared" si="74"/>
        <v>269</v>
      </c>
      <c r="N290" s="135">
        <f t="shared" si="75"/>
        <v>1</v>
      </c>
      <c r="O290" s="135">
        <f t="shared" si="76"/>
        <v>0</v>
      </c>
      <c r="P290" s="536" t="e">
        <f t="shared" si="77"/>
        <v>#DIV/0!</v>
      </c>
      <c r="Q290" s="537" t="e">
        <f t="shared" si="64"/>
        <v>#DIV/0!</v>
      </c>
      <c r="R290" s="538" t="e">
        <f>IF(INPUTS!$B$15="yes",Q290,P290)</f>
        <v>#DIV/0!</v>
      </c>
      <c r="S290" s="536" t="e">
        <f t="shared" si="65"/>
        <v>#DIV/0!</v>
      </c>
      <c r="T290" s="537" t="e">
        <f t="shared" si="66"/>
        <v>#DIV/0!</v>
      </c>
      <c r="U290" s="538" t="e">
        <f>IF(INPUTS!$B$15="yes",T290,S290)</f>
        <v>#DIV/0!</v>
      </c>
      <c r="V290" s="536" t="e">
        <f t="shared" si="67"/>
        <v>#DIV/0!</v>
      </c>
      <c r="W290" s="537" t="e">
        <f t="shared" si="68"/>
        <v>#DIV/0!</v>
      </c>
      <c r="X290" s="538" t="e">
        <f>IF(INPUTS!$B$15="yes",W290,V290)</f>
        <v>#DIV/0!</v>
      </c>
      <c r="Y290" s="536" t="e">
        <f t="shared" si="69"/>
        <v>#DIV/0!</v>
      </c>
      <c r="Z290" s="537" t="e">
        <f t="shared" si="70"/>
        <v>#DIV/0!</v>
      </c>
      <c r="AA290" s="538" t="e">
        <f>IF(INPUTS!$B$15="yes",Z290,Y290)</f>
        <v>#DIV/0!</v>
      </c>
      <c r="AB290" s="536" t="e">
        <f t="shared" si="71"/>
        <v>#DIV/0!</v>
      </c>
      <c r="AC290" s="537" t="e">
        <f t="shared" si="72"/>
        <v>#DIV/0!</v>
      </c>
      <c r="AD290" s="538" t="e">
        <f>IF(INPUTS!$B$15="yes",AC290,AB290)</f>
        <v>#DIV/0!</v>
      </c>
      <c r="AE290" s="36" t="str">
        <f t="shared" si="73"/>
        <v>no</v>
      </c>
      <c r="AF290" s="36"/>
      <c r="AG290" s="389" t="e">
        <f>P290*('upper bound Kenaga'!$F$36/100)</f>
        <v>#DIV/0!</v>
      </c>
      <c r="AH290" s="36"/>
      <c r="AI290" s="389" t="e">
        <f>P290*('upper bound Kenaga'!$F$96/100)</f>
        <v>#DIV/0!</v>
      </c>
      <c r="AJ290" s="36"/>
      <c r="AK290" s="36"/>
      <c r="AL290" s="36"/>
      <c r="AM290" s="36"/>
      <c r="AN290" s="36"/>
      <c r="AO290" s="36"/>
    </row>
    <row r="291" spans="10:41" s="1" customFormat="1">
      <c r="J291" s="6">
        <f>COUNTIF(K$21:K291,"=yes")</f>
        <v>1</v>
      </c>
      <c r="K291" s="533" t="str">
        <f>IF(LOOKUP(VALUE(M291),INPUTS!$G$6:$G$35)=M291,"yes","no")</f>
        <v>no</v>
      </c>
      <c r="L291" s="533">
        <f>IF(K291="yes",(LOOKUP(J291,INPUTS!$E$6:$E$35,INPUTS!$F$6:$F$35)),0)</f>
        <v>0</v>
      </c>
      <c r="M291" s="135">
        <f t="shared" si="74"/>
        <v>270</v>
      </c>
      <c r="N291" s="135">
        <f t="shared" si="75"/>
        <v>1</v>
      </c>
      <c r="O291" s="135">
        <f t="shared" si="76"/>
        <v>0</v>
      </c>
      <c r="P291" s="536" t="e">
        <f t="shared" si="77"/>
        <v>#DIV/0!</v>
      </c>
      <c r="Q291" s="537" t="e">
        <f t="shared" si="64"/>
        <v>#DIV/0!</v>
      </c>
      <c r="R291" s="538" t="e">
        <f>IF(INPUTS!$B$15="yes",Q291,P291)</f>
        <v>#DIV/0!</v>
      </c>
      <c r="S291" s="536" t="e">
        <f t="shared" si="65"/>
        <v>#DIV/0!</v>
      </c>
      <c r="T291" s="537" t="e">
        <f t="shared" si="66"/>
        <v>#DIV/0!</v>
      </c>
      <c r="U291" s="538" t="e">
        <f>IF(INPUTS!$B$15="yes",T291,S291)</f>
        <v>#DIV/0!</v>
      </c>
      <c r="V291" s="536" t="e">
        <f t="shared" si="67"/>
        <v>#DIV/0!</v>
      </c>
      <c r="W291" s="537" t="e">
        <f t="shared" si="68"/>
        <v>#DIV/0!</v>
      </c>
      <c r="X291" s="538" t="e">
        <f>IF(INPUTS!$B$15="yes",W291,V291)</f>
        <v>#DIV/0!</v>
      </c>
      <c r="Y291" s="536" t="e">
        <f t="shared" si="69"/>
        <v>#DIV/0!</v>
      </c>
      <c r="Z291" s="537" t="e">
        <f t="shared" si="70"/>
        <v>#DIV/0!</v>
      </c>
      <c r="AA291" s="538" t="e">
        <f>IF(INPUTS!$B$15="yes",Z291,Y291)</f>
        <v>#DIV/0!</v>
      </c>
      <c r="AB291" s="536" t="e">
        <f t="shared" si="71"/>
        <v>#DIV/0!</v>
      </c>
      <c r="AC291" s="537" t="e">
        <f t="shared" si="72"/>
        <v>#DIV/0!</v>
      </c>
      <c r="AD291" s="538" t="e">
        <f>IF(INPUTS!$B$15="yes",AC291,AB291)</f>
        <v>#DIV/0!</v>
      </c>
      <c r="AE291" s="36" t="str">
        <f t="shared" si="73"/>
        <v>no</v>
      </c>
      <c r="AF291" s="36"/>
      <c r="AG291" s="389" t="e">
        <f>P291*('upper bound Kenaga'!$F$36/100)</f>
        <v>#DIV/0!</v>
      </c>
      <c r="AH291" s="36"/>
      <c r="AI291" s="389" t="e">
        <f>P291*('upper bound Kenaga'!$F$96/100)</f>
        <v>#DIV/0!</v>
      </c>
      <c r="AJ291" s="36"/>
      <c r="AK291" s="36"/>
      <c r="AL291" s="36"/>
      <c r="AM291" s="36"/>
      <c r="AN291" s="36"/>
      <c r="AO291" s="36"/>
    </row>
    <row r="292" spans="10:41" s="1" customFormat="1">
      <c r="J292" s="6">
        <f>COUNTIF(K$21:K292,"=yes")</f>
        <v>1</v>
      </c>
      <c r="K292" s="533" t="str">
        <f>IF(LOOKUP(VALUE(M292),INPUTS!$G$6:$G$35)=M292,"yes","no")</f>
        <v>no</v>
      </c>
      <c r="L292" s="533">
        <f>IF(K292="yes",(LOOKUP(J292,INPUTS!$E$6:$E$35,INPUTS!$F$6:$F$35)),0)</f>
        <v>0</v>
      </c>
      <c r="M292" s="135">
        <f t="shared" si="74"/>
        <v>271</v>
      </c>
      <c r="N292" s="135">
        <f t="shared" si="75"/>
        <v>1</v>
      </c>
      <c r="O292" s="135">
        <f t="shared" si="76"/>
        <v>0</v>
      </c>
      <c r="P292" s="536" t="e">
        <f t="shared" si="77"/>
        <v>#DIV/0!</v>
      </c>
      <c r="Q292" s="537" t="e">
        <f t="shared" si="64"/>
        <v>#DIV/0!</v>
      </c>
      <c r="R292" s="538" t="e">
        <f>IF(INPUTS!$B$15="yes",Q292,P292)</f>
        <v>#DIV/0!</v>
      </c>
      <c r="S292" s="536" t="e">
        <f t="shared" si="65"/>
        <v>#DIV/0!</v>
      </c>
      <c r="T292" s="537" t="e">
        <f t="shared" si="66"/>
        <v>#DIV/0!</v>
      </c>
      <c r="U292" s="538" t="e">
        <f>IF(INPUTS!$B$15="yes",T292,S292)</f>
        <v>#DIV/0!</v>
      </c>
      <c r="V292" s="536" t="e">
        <f t="shared" si="67"/>
        <v>#DIV/0!</v>
      </c>
      <c r="W292" s="537" t="e">
        <f t="shared" si="68"/>
        <v>#DIV/0!</v>
      </c>
      <c r="X292" s="538" t="e">
        <f>IF(INPUTS!$B$15="yes",W292,V292)</f>
        <v>#DIV/0!</v>
      </c>
      <c r="Y292" s="536" t="e">
        <f t="shared" si="69"/>
        <v>#DIV/0!</v>
      </c>
      <c r="Z292" s="537" t="e">
        <f t="shared" si="70"/>
        <v>#DIV/0!</v>
      </c>
      <c r="AA292" s="538" t="e">
        <f>IF(INPUTS!$B$15="yes",Z292,Y292)</f>
        <v>#DIV/0!</v>
      </c>
      <c r="AB292" s="536" t="e">
        <f t="shared" si="71"/>
        <v>#DIV/0!</v>
      </c>
      <c r="AC292" s="537" t="e">
        <f t="shared" si="72"/>
        <v>#DIV/0!</v>
      </c>
      <c r="AD292" s="538" t="e">
        <f>IF(INPUTS!$B$15="yes",AC292,AB292)</f>
        <v>#DIV/0!</v>
      </c>
      <c r="AE292" s="36" t="str">
        <f t="shared" si="73"/>
        <v>no</v>
      </c>
      <c r="AF292" s="36"/>
      <c r="AG292" s="389" t="e">
        <f>P292*('upper bound Kenaga'!$F$36/100)</f>
        <v>#DIV/0!</v>
      </c>
      <c r="AH292" s="36"/>
      <c r="AI292" s="389" t="e">
        <f>P292*('upper bound Kenaga'!$F$96/100)</f>
        <v>#DIV/0!</v>
      </c>
      <c r="AJ292" s="36"/>
      <c r="AK292" s="36"/>
      <c r="AL292" s="36"/>
      <c r="AM292" s="36"/>
      <c r="AN292" s="36"/>
      <c r="AO292" s="36"/>
    </row>
    <row r="293" spans="10:41" s="1" customFormat="1">
      <c r="J293" s="6">
        <f>COUNTIF(K$21:K293,"=yes")</f>
        <v>1</v>
      </c>
      <c r="K293" s="533" t="str">
        <f>IF(LOOKUP(VALUE(M293),INPUTS!$G$6:$G$35)=M293,"yes","no")</f>
        <v>no</v>
      </c>
      <c r="L293" s="533">
        <f>IF(K293="yes",(LOOKUP(J293,INPUTS!$E$6:$E$35,INPUTS!$F$6:$F$35)),0)</f>
        <v>0</v>
      </c>
      <c r="M293" s="135">
        <f t="shared" si="74"/>
        <v>272</v>
      </c>
      <c r="N293" s="135">
        <f t="shared" si="75"/>
        <v>1</v>
      </c>
      <c r="O293" s="135">
        <f t="shared" si="76"/>
        <v>0</v>
      </c>
      <c r="P293" s="536" t="e">
        <f t="shared" si="77"/>
        <v>#DIV/0!</v>
      </c>
      <c r="Q293" s="537" t="e">
        <f t="shared" si="64"/>
        <v>#DIV/0!</v>
      </c>
      <c r="R293" s="538" t="e">
        <f>IF(INPUTS!$B$15="yes",Q293,P293)</f>
        <v>#DIV/0!</v>
      </c>
      <c r="S293" s="536" t="e">
        <f t="shared" si="65"/>
        <v>#DIV/0!</v>
      </c>
      <c r="T293" s="537" t="e">
        <f t="shared" si="66"/>
        <v>#DIV/0!</v>
      </c>
      <c r="U293" s="538" t="e">
        <f>IF(INPUTS!$B$15="yes",T293,S293)</f>
        <v>#DIV/0!</v>
      </c>
      <c r="V293" s="536" t="e">
        <f t="shared" si="67"/>
        <v>#DIV/0!</v>
      </c>
      <c r="W293" s="537" t="e">
        <f t="shared" si="68"/>
        <v>#DIV/0!</v>
      </c>
      <c r="X293" s="538" t="e">
        <f>IF(INPUTS!$B$15="yes",W293,V293)</f>
        <v>#DIV/0!</v>
      </c>
      <c r="Y293" s="536" t="e">
        <f t="shared" si="69"/>
        <v>#DIV/0!</v>
      </c>
      <c r="Z293" s="537" t="e">
        <f t="shared" si="70"/>
        <v>#DIV/0!</v>
      </c>
      <c r="AA293" s="538" t="e">
        <f>IF(INPUTS!$B$15="yes",Z293,Y293)</f>
        <v>#DIV/0!</v>
      </c>
      <c r="AB293" s="536" t="e">
        <f t="shared" si="71"/>
        <v>#DIV/0!</v>
      </c>
      <c r="AC293" s="537" t="e">
        <f t="shared" si="72"/>
        <v>#DIV/0!</v>
      </c>
      <c r="AD293" s="538" t="e">
        <f>IF(INPUTS!$B$15="yes",AC293,AB293)</f>
        <v>#DIV/0!</v>
      </c>
      <c r="AE293" s="36" t="str">
        <f t="shared" si="73"/>
        <v>no</v>
      </c>
      <c r="AF293" s="36"/>
      <c r="AG293" s="389" t="e">
        <f>P293*('upper bound Kenaga'!$F$36/100)</f>
        <v>#DIV/0!</v>
      </c>
      <c r="AH293" s="36"/>
      <c r="AI293" s="389" t="e">
        <f>P293*('upper bound Kenaga'!$F$96/100)</f>
        <v>#DIV/0!</v>
      </c>
      <c r="AJ293" s="36"/>
      <c r="AK293" s="36"/>
      <c r="AL293" s="36"/>
      <c r="AM293" s="36"/>
      <c r="AN293" s="36"/>
      <c r="AO293" s="36"/>
    </row>
    <row r="294" spans="10:41" s="1" customFormat="1">
      <c r="J294" s="6">
        <f>COUNTIF(K$21:K294,"=yes")</f>
        <v>1</v>
      </c>
      <c r="K294" s="533" t="str">
        <f>IF(LOOKUP(VALUE(M294),INPUTS!$G$6:$G$35)=M294,"yes","no")</f>
        <v>no</v>
      </c>
      <c r="L294" s="533">
        <f>IF(K294="yes",(LOOKUP(J294,INPUTS!$E$6:$E$35,INPUTS!$F$6:$F$35)),0)</f>
        <v>0</v>
      </c>
      <c r="M294" s="135">
        <f t="shared" si="74"/>
        <v>273</v>
      </c>
      <c r="N294" s="135">
        <f t="shared" si="75"/>
        <v>1</v>
      </c>
      <c r="O294" s="135">
        <f t="shared" si="76"/>
        <v>0</v>
      </c>
      <c r="P294" s="536" t="e">
        <f t="shared" si="77"/>
        <v>#DIV/0!</v>
      </c>
      <c r="Q294" s="537" t="e">
        <f t="shared" si="64"/>
        <v>#DIV/0!</v>
      </c>
      <c r="R294" s="538" t="e">
        <f>IF(INPUTS!$B$15="yes",Q294,P294)</f>
        <v>#DIV/0!</v>
      </c>
      <c r="S294" s="536" t="e">
        <f t="shared" si="65"/>
        <v>#DIV/0!</v>
      </c>
      <c r="T294" s="537" t="e">
        <f t="shared" si="66"/>
        <v>#DIV/0!</v>
      </c>
      <c r="U294" s="538" t="e">
        <f>IF(INPUTS!$B$15="yes",T294,S294)</f>
        <v>#DIV/0!</v>
      </c>
      <c r="V294" s="536" t="e">
        <f t="shared" si="67"/>
        <v>#DIV/0!</v>
      </c>
      <c r="W294" s="537" t="e">
        <f t="shared" si="68"/>
        <v>#DIV/0!</v>
      </c>
      <c r="X294" s="538" t="e">
        <f>IF(INPUTS!$B$15="yes",W294,V294)</f>
        <v>#DIV/0!</v>
      </c>
      <c r="Y294" s="536" t="e">
        <f t="shared" si="69"/>
        <v>#DIV/0!</v>
      </c>
      <c r="Z294" s="537" t="e">
        <f t="shared" si="70"/>
        <v>#DIV/0!</v>
      </c>
      <c r="AA294" s="538" t="e">
        <f>IF(INPUTS!$B$15="yes",Z294,Y294)</f>
        <v>#DIV/0!</v>
      </c>
      <c r="AB294" s="536" t="e">
        <f t="shared" si="71"/>
        <v>#DIV/0!</v>
      </c>
      <c r="AC294" s="537" t="e">
        <f t="shared" si="72"/>
        <v>#DIV/0!</v>
      </c>
      <c r="AD294" s="538" t="e">
        <f>IF(INPUTS!$B$15="yes",AC294,AB294)</f>
        <v>#DIV/0!</v>
      </c>
      <c r="AE294" s="36" t="str">
        <f t="shared" si="73"/>
        <v>no</v>
      </c>
      <c r="AF294" s="36"/>
      <c r="AG294" s="389" t="e">
        <f>P294*('upper bound Kenaga'!$F$36/100)</f>
        <v>#DIV/0!</v>
      </c>
      <c r="AH294" s="36"/>
      <c r="AI294" s="389" t="e">
        <f>P294*('upper bound Kenaga'!$F$96/100)</f>
        <v>#DIV/0!</v>
      </c>
      <c r="AJ294" s="36"/>
      <c r="AK294" s="36"/>
      <c r="AL294" s="36"/>
      <c r="AM294" s="36"/>
      <c r="AN294" s="36"/>
      <c r="AO294" s="36"/>
    </row>
    <row r="295" spans="10:41" s="1" customFormat="1">
      <c r="J295" s="6">
        <f>COUNTIF(K$21:K295,"=yes")</f>
        <v>1</v>
      </c>
      <c r="K295" s="533" t="str">
        <f>IF(LOOKUP(VALUE(M295),INPUTS!$G$6:$G$35)=M295,"yes","no")</f>
        <v>no</v>
      </c>
      <c r="L295" s="533">
        <f>IF(K295="yes",(LOOKUP(J295,INPUTS!$E$6:$E$35,INPUTS!$F$6:$F$35)),0)</f>
        <v>0</v>
      </c>
      <c r="M295" s="135">
        <f t="shared" si="74"/>
        <v>274</v>
      </c>
      <c r="N295" s="135">
        <f t="shared" si="75"/>
        <v>1</v>
      </c>
      <c r="O295" s="135">
        <f t="shared" si="76"/>
        <v>0</v>
      </c>
      <c r="P295" s="536" t="e">
        <f t="shared" si="77"/>
        <v>#DIV/0!</v>
      </c>
      <c r="Q295" s="537" t="e">
        <f t="shared" si="64"/>
        <v>#DIV/0!</v>
      </c>
      <c r="R295" s="538" t="e">
        <f>IF(INPUTS!$B$15="yes",Q295,P295)</f>
        <v>#DIV/0!</v>
      </c>
      <c r="S295" s="536" t="e">
        <f t="shared" si="65"/>
        <v>#DIV/0!</v>
      </c>
      <c r="T295" s="537" t="e">
        <f t="shared" si="66"/>
        <v>#DIV/0!</v>
      </c>
      <c r="U295" s="538" t="e">
        <f>IF(INPUTS!$B$15="yes",T295,S295)</f>
        <v>#DIV/0!</v>
      </c>
      <c r="V295" s="536" t="e">
        <f t="shared" si="67"/>
        <v>#DIV/0!</v>
      </c>
      <c r="W295" s="537" t="e">
        <f t="shared" si="68"/>
        <v>#DIV/0!</v>
      </c>
      <c r="X295" s="538" t="e">
        <f>IF(INPUTS!$B$15="yes",W295,V295)</f>
        <v>#DIV/0!</v>
      </c>
      <c r="Y295" s="536" t="e">
        <f t="shared" si="69"/>
        <v>#DIV/0!</v>
      </c>
      <c r="Z295" s="537" t="e">
        <f t="shared" si="70"/>
        <v>#DIV/0!</v>
      </c>
      <c r="AA295" s="538" t="e">
        <f>IF(INPUTS!$B$15="yes",Z295,Y295)</f>
        <v>#DIV/0!</v>
      </c>
      <c r="AB295" s="536" t="e">
        <f t="shared" si="71"/>
        <v>#DIV/0!</v>
      </c>
      <c r="AC295" s="537" t="e">
        <f t="shared" si="72"/>
        <v>#DIV/0!</v>
      </c>
      <c r="AD295" s="538" t="e">
        <f>IF(INPUTS!$B$15="yes",AC295,AB295)</f>
        <v>#DIV/0!</v>
      </c>
      <c r="AE295" s="36" t="str">
        <f t="shared" si="73"/>
        <v>no</v>
      </c>
      <c r="AF295" s="36"/>
      <c r="AG295" s="389" t="e">
        <f>P295*('upper bound Kenaga'!$F$36/100)</f>
        <v>#DIV/0!</v>
      </c>
      <c r="AH295" s="36"/>
      <c r="AI295" s="389" t="e">
        <f>P295*('upper bound Kenaga'!$F$96/100)</f>
        <v>#DIV/0!</v>
      </c>
      <c r="AJ295" s="36"/>
      <c r="AK295" s="36"/>
      <c r="AL295" s="36"/>
      <c r="AM295" s="36"/>
      <c r="AN295" s="36"/>
      <c r="AO295" s="36"/>
    </row>
    <row r="296" spans="10:41" s="1" customFormat="1">
      <c r="J296" s="6">
        <f>COUNTIF(K$21:K296,"=yes")</f>
        <v>1</v>
      </c>
      <c r="K296" s="533" t="str">
        <f>IF(LOOKUP(VALUE(M296),INPUTS!$G$6:$G$35)=M296,"yes","no")</f>
        <v>no</v>
      </c>
      <c r="L296" s="533">
        <f>IF(K296="yes",(LOOKUP(J296,INPUTS!$E$6:$E$35,INPUTS!$F$6:$F$35)),0)</f>
        <v>0</v>
      </c>
      <c r="M296" s="135">
        <f t="shared" si="74"/>
        <v>275</v>
      </c>
      <c r="N296" s="135">
        <f t="shared" si="75"/>
        <v>1</v>
      </c>
      <c r="O296" s="135">
        <f t="shared" si="76"/>
        <v>0</v>
      </c>
      <c r="P296" s="536" t="e">
        <f t="shared" si="77"/>
        <v>#DIV/0!</v>
      </c>
      <c r="Q296" s="537" t="e">
        <f t="shared" si="64"/>
        <v>#DIV/0!</v>
      </c>
      <c r="R296" s="538" t="e">
        <f>IF(INPUTS!$B$15="yes",Q296,P296)</f>
        <v>#DIV/0!</v>
      </c>
      <c r="S296" s="536" t="e">
        <f t="shared" si="65"/>
        <v>#DIV/0!</v>
      </c>
      <c r="T296" s="537" t="e">
        <f t="shared" si="66"/>
        <v>#DIV/0!</v>
      </c>
      <c r="U296" s="538" t="e">
        <f>IF(INPUTS!$B$15="yes",T296,S296)</f>
        <v>#DIV/0!</v>
      </c>
      <c r="V296" s="536" t="e">
        <f t="shared" si="67"/>
        <v>#DIV/0!</v>
      </c>
      <c r="W296" s="537" t="e">
        <f t="shared" si="68"/>
        <v>#DIV/0!</v>
      </c>
      <c r="X296" s="538" t="e">
        <f>IF(INPUTS!$B$15="yes",W296,V296)</f>
        <v>#DIV/0!</v>
      </c>
      <c r="Y296" s="536" t="e">
        <f t="shared" si="69"/>
        <v>#DIV/0!</v>
      </c>
      <c r="Z296" s="537" t="e">
        <f t="shared" si="70"/>
        <v>#DIV/0!</v>
      </c>
      <c r="AA296" s="538" t="e">
        <f>IF(INPUTS!$B$15="yes",Z296,Y296)</f>
        <v>#DIV/0!</v>
      </c>
      <c r="AB296" s="536" t="e">
        <f t="shared" si="71"/>
        <v>#DIV/0!</v>
      </c>
      <c r="AC296" s="537" t="e">
        <f t="shared" si="72"/>
        <v>#DIV/0!</v>
      </c>
      <c r="AD296" s="538" t="e">
        <f>IF(INPUTS!$B$15="yes",AC296,AB296)</f>
        <v>#DIV/0!</v>
      </c>
      <c r="AE296" s="36" t="str">
        <f t="shared" si="73"/>
        <v>no</v>
      </c>
      <c r="AF296" s="36"/>
      <c r="AG296" s="389" t="e">
        <f>P296*('upper bound Kenaga'!$F$36/100)</f>
        <v>#DIV/0!</v>
      </c>
      <c r="AH296" s="36"/>
      <c r="AI296" s="389" t="e">
        <f>P296*('upper bound Kenaga'!$F$96/100)</f>
        <v>#DIV/0!</v>
      </c>
      <c r="AJ296" s="36"/>
      <c r="AK296" s="36"/>
      <c r="AL296" s="36"/>
      <c r="AM296" s="36"/>
      <c r="AN296" s="36"/>
      <c r="AO296" s="36"/>
    </row>
    <row r="297" spans="10:41" s="1" customFormat="1">
      <c r="J297" s="6">
        <f>COUNTIF(K$21:K297,"=yes")</f>
        <v>1</v>
      </c>
      <c r="K297" s="533" t="str">
        <f>IF(LOOKUP(VALUE(M297),INPUTS!$G$6:$G$35)=M297,"yes","no")</f>
        <v>no</v>
      </c>
      <c r="L297" s="533">
        <f>IF(K297="yes",(LOOKUP(J297,INPUTS!$E$6:$E$35,INPUTS!$F$6:$F$35)),0)</f>
        <v>0</v>
      </c>
      <c r="M297" s="135">
        <f t="shared" si="74"/>
        <v>276</v>
      </c>
      <c r="N297" s="135">
        <f t="shared" si="75"/>
        <v>1</v>
      </c>
      <c r="O297" s="135">
        <f t="shared" si="76"/>
        <v>0</v>
      </c>
      <c r="P297" s="536" t="e">
        <f t="shared" si="77"/>
        <v>#DIV/0!</v>
      </c>
      <c r="Q297" s="537" t="e">
        <f t="shared" si="64"/>
        <v>#DIV/0!</v>
      </c>
      <c r="R297" s="538" t="e">
        <f>IF(INPUTS!$B$15="yes",Q297,P297)</f>
        <v>#DIV/0!</v>
      </c>
      <c r="S297" s="536" t="e">
        <f t="shared" si="65"/>
        <v>#DIV/0!</v>
      </c>
      <c r="T297" s="537" t="e">
        <f t="shared" si="66"/>
        <v>#DIV/0!</v>
      </c>
      <c r="U297" s="538" t="e">
        <f>IF(INPUTS!$B$15="yes",T297,S297)</f>
        <v>#DIV/0!</v>
      </c>
      <c r="V297" s="536" t="e">
        <f t="shared" si="67"/>
        <v>#DIV/0!</v>
      </c>
      <c r="W297" s="537" t="e">
        <f t="shared" si="68"/>
        <v>#DIV/0!</v>
      </c>
      <c r="X297" s="538" t="e">
        <f>IF(INPUTS!$B$15="yes",W297,V297)</f>
        <v>#DIV/0!</v>
      </c>
      <c r="Y297" s="536" t="e">
        <f t="shared" si="69"/>
        <v>#DIV/0!</v>
      </c>
      <c r="Z297" s="537" t="e">
        <f t="shared" si="70"/>
        <v>#DIV/0!</v>
      </c>
      <c r="AA297" s="538" t="e">
        <f>IF(INPUTS!$B$15="yes",Z297,Y297)</f>
        <v>#DIV/0!</v>
      </c>
      <c r="AB297" s="536" t="e">
        <f t="shared" si="71"/>
        <v>#DIV/0!</v>
      </c>
      <c r="AC297" s="537" t="e">
        <f t="shared" si="72"/>
        <v>#DIV/0!</v>
      </c>
      <c r="AD297" s="538" t="e">
        <f>IF(INPUTS!$B$15="yes",AC297,AB297)</f>
        <v>#DIV/0!</v>
      </c>
      <c r="AE297" s="36" t="str">
        <f t="shared" si="73"/>
        <v>no</v>
      </c>
      <c r="AF297" s="36"/>
      <c r="AG297" s="389" t="e">
        <f>P297*('upper bound Kenaga'!$F$36/100)</f>
        <v>#DIV/0!</v>
      </c>
      <c r="AH297" s="36"/>
      <c r="AI297" s="389" t="e">
        <f>P297*('upper bound Kenaga'!$F$96/100)</f>
        <v>#DIV/0!</v>
      </c>
      <c r="AJ297" s="36"/>
      <c r="AK297" s="36"/>
      <c r="AL297" s="36"/>
      <c r="AM297" s="36"/>
      <c r="AN297" s="36"/>
      <c r="AO297" s="36"/>
    </row>
    <row r="298" spans="10:41" s="1" customFormat="1">
      <c r="J298" s="6">
        <f>COUNTIF(K$21:K298,"=yes")</f>
        <v>1</v>
      </c>
      <c r="K298" s="533" t="str">
        <f>IF(LOOKUP(VALUE(M298),INPUTS!$G$6:$G$35)=M298,"yes","no")</f>
        <v>no</v>
      </c>
      <c r="L298" s="533">
        <f>IF(K298="yes",(LOOKUP(J298,INPUTS!$E$6:$E$35,INPUTS!$F$6:$F$35)),0)</f>
        <v>0</v>
      </c>
      <c r="M298" s="135">
        <f t="shared" si="74"/>
        <v>277</v>
      </c>
      <c r="N298" s="135">
        <f t="shared" si="75"/>
        <v>1</v>
      </c>
      <c r="O298" s="135">
        <f t="shared" si="76"/>
        <v>0</v>
      </c>
      <c r="P298" s="536" t="e">
        <f t="shared" si="77"/>
        <v>#DIV/0!</v>
      </c>
      <c r="Q298" s="537" t="e">
        <f t="shared" si="64"/>
        <v>#DIV/0!</v>
      </c>
      <c r="R298" s="538" t="e">
        <f>IF(INPUTS!$B$15="yes",Q298,P298)</f>
        <v>#DIV/0!</v>
      </c>
      <c r="S298" s="536" t="e">
        <f t="shared" si="65"/>
        <v>#DIV/0!</v>
      </c>
      <c r="T298" s="537" t="e">
        <f t="shared" si="66"/>
        <v>#DIV/0!</v>
      </c>
      <c r="U298" s="538" t="e">
        <f>IF(INPUTS!$B$15="yes",T298,S298)</f>
        <v>#DIV/0!</v>
      </c>
      <c r="V298" s="536" t="e">
        <f t="shared" si="67"/>
        <v>#DIV/0!</v>
      </c>
      <c r="W298" s="537" t="e">
        <f t="shared" si="68"/>
        <v>#DIV/0!</v>
      </c>
      <c r="X298" s="538" t="e">
        <f>IF(INPUTS!$B$15="yes",W298,V298)</f>
        <v>#DIV/0!</v>
      </c>
      <c r="Y298" s="536" t="e">
        <f t="shared" si="69"/>
        <v>#DIV/0!</v>
      </c>
      <c r="Z298" s="537" t="e">
        <f t="shared" si="70"/>
        <v>#DIV/0!</v>
      </c>
      <c r="AA298" s="538" t="e">
        <f>IF(INPUTS!$B$15="yes",Z298,Y298)</f>
        <v>#DIV/0!</v>
      </c>
      <c r="AB298" s="536" t="e">
        <f t="shared" si="71"/>
        <v>#DIV/0!</v>
      </c>
      <c r="AC298" s="537" t="e">
        <f t="shared" si="72"/>
        <v>#DIV/0!</v>
      </c>
      <c r="AD298" s="538" t="e">
        <f>IF(INPUTS!$B$15="yes",AC298,AB298)</f>
        <v>#DIV/0!</v>
      </c>
      <c r="AE298" s="36" t="str">
        <f t="shared" si="73"/>
        <v>no</v>
      </c>
      <c r="AF298" s="36"/>
      <c r="AG298" s="389" t="e">
        <f>P298*('upper bound Kenaga'!$F$36/100)</f>
        <v>#DIV/0!</v>
      </c>
      <c r="AH298" s="36"/>
      <c r="AI298" s="389" t="e">
        <f>P298*('upper bound Kenaga'!$F$96/100)</f>
        <v>#DIV/0!</v>
      </c>
      <c r="AJ298" s="36"/>
      <c r="AK298" s="36"/>
      <c r="AL298" s="36"/>
      <c r="AM298" s="36"/>
      <c r="AN298" s="36"/>
      <c r="AO298" s="36"/>
    </row>
    <row r="299" spans="10:41" s="1" customFormat="1">
      <c r="J299" s="6">
        <f>COUNTIF(K$21:K299,"=yes")</f>
        <v>1</v>
      </c>
      <c r="K299" s="533" t="str">
        <f>IF(LOOKUP(VALUE(M299),INPUTS!$G$6:$G$35)=M299,"yes","no")</f>
        <v>no</v>
      </c>
      <c r="L299" s="533">
        <f>IF(K299="yes",(LOOKUP(J299,INPUTS!$E$6:$E$35,INPUTS!$F$6:$F$35)),0)</f>
        <v>0</v>
      </c>
      <c r="M299" s="135">
        <f t="shared" si="74"/>
        <v>278</v>
      </c>
      <c r="N299" s="135">
        <f t="shared" si="75"/>
        <v>1</v>
      </c>
      <c r="O299" s="135">
        <f t="shared" si="76"/>
        <v>0</v>
      </c>
      <c r="P299" s="536" t="e">
        <f t="shared" si="77"/>
        <v>#DIV/0!</v>
      </c>
      <c r="Q299" s="537" t="e">
        <f t="shared" si="64"/>
        <v>#DIV/0!</v>
      </c>
      <c r="R299" s="538" t="e">
        <f>IF(INPUTS!$B$15="yes",Q299,P299)</f>
        <v>#DIV/0!</v>
      </c>
      <c r="S299" s="536" t="e">
        <f t="shared" si="65"/>
        <v>#DIV/0!</v>
      </c>
      <c r="T299" s="537" t="e">
        <f t="shared" si="66"/>
        <v>#DIV/0!</v>
      </c>
      <c r="U299" s="538" t="e">
        <f>IF(INPUTS!$B$15="yes",T299,S299)</f>
        <v>#DIV/0!</v>
      </c>
      <c r="V299" s="536" t="e">
        <f t="shared" si="67"/>
        <v>#DIV/0!</v>
      </c>
      <c r="W299" s="537" t="e">
        <f t="shared" si="68"/>
        <v>#DIV/0!</v>
      </c>
      <c r="X299" s="538" t="e">
        <f>IF(INPUTS!$B$15="yes",W299,V299)</f>
        <v>#DIV/0!</v>
      </c>
      <c r="Y299" s="536" t="e">
        <f t="shared" si="69"/>
        <v>#DIV/0!</v>
      </c>
      <c r="Z299" s="537" t="e">
        <f t="shared" si="70"/>
        <v>#DIV/0!</v>
      </c>
      <c r="AA299" s="538" t="e">
        <f>IF(INPUTS!$B$15="yes",Z299,Y299)</f>
        <v>#DIV/0!</v>
      </c>
      <c r="AB299" s="536" t="e">
        <f t="shared" si="71"/>
        <v>#DIV/0!</v>
      </c>
      <c r="AC299" s="537" t="e">
        <f t="shared" si="72"/>
        <v>#DIV/0!</v>
      </c>
      <c r="AD299" s="538" t="e">
        <f>IF(INPUTS!$B$15="yes",AC299,AB299)</f>
        <v>#DIV/0!</v>
      </c>
      <c r="AE299" s="36" t="str">
        <f t="shared" si="73"/>
        <v>no</v>
      </c>
      <c r="AF299" s="36"/>
      <c r="AG299" s="389" t="e">
        <f>P299*('upper bound Kenaga'!$F$36/100)</f>
        <v>#DIV/0!</v>
      </c>
      <c r="AH299" s="36"/>
      <c r="AI299" s="389" t="e">
        <f>P299*('upper bound Kenaga'!$F$96/100)</f>
        <v>#DIV/0!</v>
      </c>
      <c r="AJ299" s="36"/>
      <c r="AK299" s="36"/>
      <c r="AL299" s="36"/>
      <c r="AM299" s="36"/>
      <c r="AN299" s="36"/>
      <c r="AO299" s="36"/>
    </row>
    <row r="300" spans="10:41" s="1" customFormat="1">
      <c r="J300" s="6">
        <f>COUNTIF(K$21:K300,"=yes")</f>
        <v>1</v>
      </c>
      <c r="K300" s="533" t="str">
        <f>IF(LOOKUP(VALUE(M300),INPUTS!$G$6:$G$35)=M300,"yes","no")</f>
        <v>no</v>
      </c>
      <c r="L300" s="533">
        <f>IF(K300="yes",(LOOKUP(J300,INPUTS!$E$6:$E$35,INPUTS!$F$6:$F$35)),0)</f>
        <v>0</v>
      </c>
      <c r="M300" s="135">
        <f t="shared" si="74"/>
        <v>279</v>
      </c>
      <c r="N300" s="135">
        <f t="shared" si="75"/>
        <v>1</v>
      </c>
      <c r="O300" s="135">
        <f t="shared" si="76"/>
        <v>0</v>
      </c>
      <c r="P300" s="536" t="e">
        <f t="shared" si="77"/>
        <v>#DIV/0!</v>
      </c>
      <c r="Q300" s="537" t="e">
        <f t="shared" si="64"/>
        <v>#DIV/0!</v>
      </c>
      <c r="R300" s="538" t="e">
        <f>IF(INPUTS!$B$15="yes",Q300,P300)</f>
        <v>#DIV/0!</v>
      </c>
      <c r="S300" s="536" t="e">
        <f t="shared" si="65"/>
        <v>#DIV/0!</v>
      </c>
      <c r="T300" s="537" t="e">
        <f t="shared" si="66"/>
        <v>#DIV/0!</v>
      </c>
      <c r="U300" s="538" t="e">
        <f>IF(INPUTS!$B$15="yes",T300,S300)</f>
        <v>#DIV/0!</v>
      </c>
      <c r="V300" s="536" t="e">
        <f t="shared" si="67"/>
        <v>#DIV/0!</v>
      </c>
      <c r="W300" s="537" t="e">
        <f t="shared" si="68"/>
        <v>#DIV/0!</v>
      </c>
      <c r="X300" s="538" t="e">
        <f>IF(INPUTS!$B$15="yes",W300,V300)</f>
        <v>#DIV/0!</v>
      </c>
      <c r="Y300" s="536" t="e">
        <f t="shared" si="69"/>
        <v>#DIV/0!</v>
      </c>
      <c r="Z300" s="537" t="e">
        <f t="shared" si="70"/>
        <v>#DIV/0!</v>
      </c>
      <c r="AA300" s="538" t="e">
        <f>IF(INPUTS!$B$15="yes",Z300,Y300)</f>
        <v>#DIV/0!</v>
      </c>
      <c r="AB300" s="536" t="e">
        <f t="shared" si="71"/>
        <v>#DIV/0!</v>
      </c>
      <c r="AC300" s="537" t="e">
        <f t="shared" si="72"/>
        <v>#DIV/0!</v>
      </c>
      <c r="AD300" s="538" t="e">
        <f>IF(INPUTS!$B$15="yes",AC300,AB300)</f>
        <v>#DIV/0!</v>
      </c>
      <c r="AE300" s="36" t="str">
        <f t="shared" si="73"/>
        <v>no</v>
      </c>
      <c r="AF300" s="36"/>
      <c r="AG300" s="389" t="e">
        <f>P300*('upper bound Kenaga'!$F$36/100)</f>
        <v>#DIV/0!</v>
      </c>
      <c r="AH300" s="36"/>
      <c r="AI300" s="389" t="e">
        <f>P300*('upper bound Kenaga'!$F$96/100)</f>
        <v>#DIV/0!</v>
      </c>
      <c r="AJ300" s="36"/>
      <c r="AK300" s="36"/>
      <c r="AL300" s="36"/>
      <c r="AM300" s="36"/>
      <c r="AN300" s="36"/>
      <c r="AO300" s="36"/>
    </row>
    <row r="301" spans="10:41" s="1" customFormat="1">
      <c r="J301" s="6">
        <f>COUNTIF(K$21:K301,"=yes")</f>
        <v>1</v>
      </c>
      <c r="K301" s="533" t="str">
        <f>IF(LOOKUP(VALUE(M301),INPUTS!$G$6:$G$35)=M301,"yes","no")</f>
        <v>no</v>
      </c>
      <c r="L301" s="533">
        <f>IF(K301="yes",(LOOKUP(J301,INPUTS!$E$6:$E$35,INPUTS!$F$6:$F$35)),0)</f>
        <v>0</v>
      </c>
      <c r="M301" s="135">
        <f t="shared" si="74"/>
        <v>280</v>
      </c>
      <c r="N301" s="135">
        <f t="shared" si="75"/>
        <v>1</v>
      </c>
      <c r="O301" s="135">
        <f t="shared" si="76"/>
        <v>0</v>
      </c>
      <c r="P301" s="536" t="e">
        <f t="shared" si="77"/>
        <v>#DIV/0!</v>
      </c>
      <c r="Q301" s="537" t="e">
        <f t="shared" si="64"/>
        <v>#DIV/0!</v>
      </c>
      <c r="R301" s="538" t="e">
        <f>IF(INPUTS!$B$15="yes",Q301,P301)</f>
        <v>#DIV/0!</v>
      </c>
      <c r="S301" s="536" t="e">
        <f t="shared" si="65"/>
        <v>#DIV/0!</v>
      </c>
      <c r="T301" s="537" t="e">
        <f t="shared" si="66"/>
        <v>#DIV/0!</v>
      </c>
      <c r="U301" s="538" t="e">
        <f>IF(INPUTS!$B$15="yes",T301,S301)</f>
        <v>#DIV/0!</v>
      </c>
      <c r="V301" s="536" t="e">
        <f t="shared" si="67"/>
        <v>#DIV/0!</v>
      </c>
      <c r="W301" s="537" t="e">
        <f t="shared" si="68"/>
        <v>#DIV/0!</v>
      </c>
      <c r="X301" s="538" t="e">
        <f>IF(INPUTS!$B$15="yes",W301,V301)</f>
        <v>#DIV/0!</v>
      </c>
      <c r="Y301" s="536" t="e">
        <f t="shared" si="69"/>
        <v>#DIV/0!</v>
      </c>
      <c r="Z301" s="537" t="e">
        <f t="shared" si="70"/>
        <v>#DIV/0!</v>
      </c>
      <c r="AA301" s="538" t="e">
        <f>IF(INPUTS!$B$15="yes",Z301,Y301)</f>
        <v>#DIV/0!</v>
      </c>
      <c r="AB301" s="536" t="e">
        <f t="shared" si="71"/>
        <v>#DIV/0!</v>
      </c>
      <c r="AC301" s="537" t="e">
        <f t="shared" si="72"/>
        <v>#DIV/0!</v>
      </c>
      <c r="AD301" s="538" t="e">
        <f>IF(INPUTS!$B$15="yes",AC301,AB301)</f>
        <v>#DIV/0!</v>
      </c>
      <c r="AE301" s="36" t="str">
        <f t="shared" si="73"/>
        <v>no</v>
      </c>
      <c r="AF301" s="36"/>
      <c r="AG301" s="389" t="e">
        <f>P301*('upper bound Kenaga'!$F$36/100)</f>
        <v>#DIV/0!</v>
      </c>
      <c r="AH301" s="36"/>
      <c r="AI301" s="389" t="e">
        <f>P301*('upper bound Kenaga'!$F$96/100)</f>
        <v>#DIV/0!</v>
      </c>
      <c r="AJ301" s="36"/>
      <c r="AK301" s="36"/>
      <c r="AL301" s="36"/>
      <c r="AM301" s="36"/>
      <c r="AN301" s="36"/>
      <c r="AO301" s="36"/>
    </row>
    <row r="302" spans="10:41" s="1" customFormat="1">
      <c r="J302" s="6">
        <f>COUNTIF(K$21:K302,"=yes")</f>
        <v>1</v>
      </c>
      <c r="K302" s="533" t="str">
        <f>IF(LOOKUP(VALUE(M302),INPUTS!$G$6:$G$35)=M302,"yes","no")</f>
        <v>no</v>
      </c>
      <c r="L302" s="533">
        <f>IF(K302="yes",(LOOKUP(J302,INPUTS!$E$6:$E$35,INPUTS!$F$6:$F$35)),0)</f>
        <v>0</v>
      </c>
      <c r="M302" s="135">
        <f t="shared" si="74"/>
        <v>281</v>
      </c>
      <c r="N302" s="135">
        <f t="shared" si="75"/>
        <v>1</v>
      </c>
      <c r="O302" s="135">
        <f t="shared" si="76"/>
        <v>0</v>
      </c>
      <c r="P302" s="536" t="e">
        <f t="shared" si="77"/>
        <v>#DIV/0!</v>
      </c>
      <c r="Q302" s="537" t="e">
        <f t="shared" si="64"/>
        <v>#DIV/0!</v>
      </c>
      <c r="R302" s="538" t="e">
        <f>IF(INPUTS!$B$15="yes",Q302,P302)</f>
        <v>#DIV/0!</v>
      </c>
      <c r="S302" s="536" t="e">
        <f t="shared" si="65"/>
        <v>#DIV/0!</v>
      </c>
      <c r="T302" s="537" t="e">
        <f t="shared" si="66"/>
        <v>#DIV/0!</v>
      </c>
      <c r="U302" s="538" t="e">
        <f>IF(INPUTS!$B$15="yes",T302,S302)</f>
        <v>#DIV/0!</v>
      </c>
      <c r="V302" s="536" t="e">
        <f t="shared" si="67"/>
        <v>#DIV/0!</v>
      </c>
      <c r="W302" s="537" t="e">
        <f t="shared" si="68"/>
        <v>#DIV/0!</v>
      </c>
      <c r="X302" s="538" t="e">
        <f>IF(INPUTS!$B$15="yes",W302,V302)</f>
        <v>#DIV/0!</v>
      </c>
      <c r="Y302" s="536" t="e">
        <f t="shared" si="69"/>
        <v>#DIV/0!</v>
      </c>
      <c r="Z302" s="537" t="e">
        <f t="shared" si="70"/>
        <v>#DIV/0!</v>
      </c>
      <c r="AA302" s="538" t="e">
        <f>IF(INPUTS!$B$15="yes",Z302,Y302)</f>
        <v>#DIV/0!</v>
      </c>
      <c r="AB302" s="536" t="e">
        <f t="shared" si="71"/>
        <v>#DIV/0!</v>
      </c>
      <c r="AC302" s="537" t="e">
        <f t="shared" si="72"/>
        <v>#DIV/0!</v>
      </c>
      <c r="AD302" s="538" t="e">
        <f>IF(INPUTS!$B$15="yes",AC302,AB302)</f>
        <v>#DIV/0!</v>
      </c>
      <c r="AE302" s="36" t="str">
        <f t="shared" si="73"/>
        <v>no</v>
      </c>
      <c r="AF302" s="36"/>
      <c r="AG302" s="389" t="e">
        <f>P302*('upper bound Kenaga'!$F$36/100)</f>
        <v>#DIV/0!</v>
      </c>
      <c r="AH302" s="36"/>
      <c r="AI302" s="389" t="e">
        <f>P302*('upper bound Kenaga'!$F$96/100)</f>
        <v>#DIV/0!</v>
      </c>
      <c r="AJ302" s="36"/>
      <c r="AK302" s="36"/>
      <c r="AL302" s="36"/>
      <c r="AM302" s="36"/>
      <c r="AN302" s="36"/>
      <c r="AO302" s="36"/>
    </row>
    <row r="303" spans="10:41" s="1" customFormat="1">
      <c r="J303" s="6">
        <f>COUNTIF(K$21:K303,"=yes")</f>
        <v>1</v>
      </c>
      <c r="K303" s="533" t="str">
        <f>IF(LOOKUP(VALUE(M303),INPUTS!$G$6:$G$35)=M303,"yes","no")</f>
        <v>no</v>
      </c>
      <c r="L303" s="533">
        <f>IF(K303="yes",(LOOKUP(J303,INPUTS!$E$6:$E$35,INPUTS!$F$6:$F$35)),0)</f>
        <v>0</v>
      </c>
      <c r="M303" s="135">
        <f t="shared" si="74"/>
        <v>282</v>
      </c>
      <c r="N303" s="135">
        <f t="shared" si="75"/>
        <v>1</v>
      </c>
      <c r="O303" s="135">
        <f t="shared" si="76"/>
        <v>0</v>
      </c>
      <c r="P303" s="536" t="e">
        <f t="shared" si="77"/>
        <v>#DIV/0!</v>
      </c>
      <c r="Q303" s="537" t="e">
        <f t="shared" si="64"/>
        <v>#DIV/0!</v>
      </c>
      <c r="R303" s="538" t="e">
        <f>IF(INPUTS!$B$15="yes",Q303,P303)</f>
        <v>#DIV/0!</v>
      </c>
      <c r="S303" s="536" t="e">
        <f t="shared" si="65"/>
        <v>#DIV/0!</v>
      </c>
      <c r="T303" s="537" t="e">
        <f t="shared" si="66"/>
        <v>#DIV/0!</v>
      </c>
      <c r="U303" s="538" t="e">
        <f>IF(INPUTS!$B$15="yes",T303,S303)</f>
        <v>#DIV/0!</v>
      </c>
      <c r="V303" s="536" t="e">
        <f t="shared" si="67"/>
        <v>#DIV/0!</v>
      </c>
      <c r="W303" s="537" t="e">
        <f t="shared" si="68"/>
        <v>#DIV/0!</v>
      </c>
      <c r="X303" s="538" t="e">
        <f>IF(INPUTS!$B$15="yes",W303,V303)</f>
        <v>#DIV/0!</v>
      </c>
      <c r="Y303" s="536" t="e">
        <f t="shared" si="69"/>
        <v>#DIV/0!</v>
      </c>
      <c r="Z303" s="537" t="e">
        <f t="shared" si="70"/>
        <v>#DIV/0!</v>
      </c>
      <c r="AA303" s="538" t="e">
        <f>IF(INPUTS!$B$15="yes",Z303,Y303)</f>
        <v>#DIV/0!</v>
      </c>
      <c r="AB303" s="536" t="e">
        <f t="shared" si="71"/>
        <v>#DIV/0!</v>
      </c>
      <c r="AC303" s="537" t="e">
        <f t="shared" si="72"/>
        <v>#DIV/0!</v>
      </c>
      <c r="AD303" s="538" t="e">
        <f>IF(INPUTS!$B$15="yes",AC303,AB303)</f>
        <v>#DIV/0!</v>
      </c>
      <c r="AE303" s="36" t="str">
        <f t="shared" si="73"/>
        <v>no</v>
      </c>
      <c r="AF303" s="36"/>
      <c r="AG303" s="389" t="e">
        <f>P303*('upper bound Kenaga'!$F$36/100)</f>
        <v>#DIV/0!</v>
      </c>
      <c r="AH303" s="36"/>
      <c r="AI303" s="389" t="e">
        <f>P303*('upper bound Kenaga'!$F$96/100)</f>
        <v>#DIV/0!</v>
      </c>
      <c r="AJ303" s="36"/>
      <c r="AK303" s="36"/>
      <c r="AL303" s="36"/>
      <c r="AM303" s="36"/>
      <c r="AN303" s="36"/>
      <c r="AO303" s="36"/>
    </row>
    <row r="304" spans="10:41" s="1" customFormat="1">
      <c r="J304" s="6">
        <f>COUNTIF(K$21:K304,"=yes")</f>
        <v>1</v>
      </c>
      <c r="K304" s="533" t="str">
        <f>IF(LOOKUP(VALUE(M304),INPUTS!$G$6:$G$35)=M304,"yes","no")</f>
        <v>no</v>
      </c>
      <c r="L304" s="533">
        <f>IF(K304="yes",(LOOKUP(J304,INPUTS!$E$6:$E$35,INPUTS!$F$6:$F$35)),0)</f>
        <v>0</v>
      </c>
      <c r="M304" s="135">
        <f t="shared" si="74"/>
        <v>283</v>
      </c>
      <c r="N304" s="135">
        <f t="shared" si="75"/>
        <v>1</v>
      </c>
      <c r="O304" s="135">
        <f t="shared" si="76"/>
        <v>0</v>
      </c>
      <c r="P304" s="536" t="e">
        <f t="shared" si="77"/>
        <v>#DIV/0!</v>
      </c>
      <c r="Q304" s="537" t="e">
        <f t="shared" si="64"/>
        <v>#DIV/0!</v>
      </c>
      <c r="R304" s="538" t="e">
        <f>IF(INPUTS!$B$15="yes",Q304,P304)</f>
        <v>#DIV/0!</v>
      </c>
      <c r="S304" s="536" t="e">
        <f t="shared" si="65"/>
        <v>#DIV/0!</v>
      </c>
      <c r="T304" s="537" t="e">
        <f t="shared" si="66"/>
        <v>#DIV/0!</v>
      </c>
      <c r="U304" s="538" t="e">
        <f>IF(INPUTS!$B$15="yes",T304,S304)</f>
        <v>#DIV/0!</v>
      </c>
      <c r="V304" s="536" t="e">
        <f t="shared" si="67"/>
        <v>#DIV/0!</v>
      </c>
      <c r="W304" s="537" t="e">
        <f t="shared" si="68"/>
        <v>#DIV/0!</v>
      </c>
      <c r="X304" s="538" t="e">
        <f>IF(INPUTS!$B$15="yes",W304,V304)</f>
        <v>#DIV/0!</v>
      </c>
      <c r="Y304" s="536" t="e">
        <f t="shared" si="69"/>
        <v>#DIV/0!</v>
      </c>
      <c r="Z304" s="537" t="e">
        <f t="shared" si="70"/>
        <v>#DIV/0!</v>
      </c>
      <c r="AA304" s="538" t="e">
        <f>IF(INPUTS!$B$15="yes",Z304,Y304)</f>
        <v>#DIV/0!</v>
      </c>
      <c r="AB304" s="536" t="e">
        <f t="shared" si="71"/>
        <v>#DIV/0!</v>
      </c>
      <c r="AC304" s="537" t="e">
        <f t="shared" si="72"/>
        <v>#DIV/0!</v>
      </c>
      <c r="AD304" s="538" t="e">
        <f>IF(INPUTS!$B$15="yes",AC304,AB304)</f>
        <v>#DIV/0!</v>
      </c>
      <c r="AE304" s="36" t="str">
        <f t="shared" si="73"/>
        <v>no</v>
      </c>
      <c r="AF304" s="36"/>
      <c r="AG304" s="389" t="e">
        <f>P304*('upper bound Kenaga'!$F$36/100)</f>
        <v>#DIV/0!</v>
      </c>
      <c r="AH304" s="36"/>
      <c r="AI304" s="389" t="e">
        <f>P304*('upper bound Kenaga'!$F$96/100)</f>
        <v>#DIV/0!</v>
      </c>
      <c r="AJ304" s="36"/>
      <c r="AK304" s="36"/>
      <c r="AL304" s="36"/>
      <c r="AM304" s="36"/>
      <c r="AN304" s="36"/>
      <c r="AO304" s="36"/>
    </row>
    <row r="305" spans="10:41" s="1" customFormat="1">
      <c r="J305" s="6">
        <f>COUNTIF(K$21:K305,"=yes")</f>
        <v>1</v>
      </c>
      <c r="K305" s="533" t="str">
        <f>IF(LOOKUP(VALUE(M305),INPUTS!$G$6:$G$35)=M305,"yes","no")</f>
        <v>no</v>
      </c>
      <c r="L305" s="533">
        <f>IF(K305="yes",(LOOKUP(J305,INPUTS!$E$6:$E$35,INPUTS!$F$6:$F$35)),0)</f>
        <v>0</v>
      </c>
      <c r="M305" s="135">
        <f t="shared" si="74"/>
        <v>284</v>
      </c>
      <c r="N305" s="135">
        <f t="shared" si="75"/>
        <v>1</v>
      </c>
      <c r="O305" s="135">
        <f t="shared" si="76"/>
        <v>0</v>
      </c>
      <c r="P305" s="536" t="e">
        <f t="shared" si="77"/>
        <v>#DIV/0!</v>
      </c>
      <c r="Q305" s="537" t="e">
        <f t="shared" si="64"/>
        <v>#DIV/0!</v>
      </c>
      <c r="R305" s="538" t="e">
        <f>IF(INPUTS!$B$15="yes",Q305,P305)</f>
        <v>#DIV/0!</v>
      </c>
      <c r="S305" s="536" t="e">
        <f t="shared" si="65"/>
        <v>#DIV/0!</v>
      </c>
      <c r="T305" s="537" t="e">
        <f t="shared" si="66"/>
        <v>#DIV/0!</v>
      </c>
      <c r="U305" s="538" t="e">
        <f>IF(INPUTS!$B$15="yes",T305,S305)</f>
        <v>#DIV/0!</v>
      </c>
      <c r="V305" s="536" t="e">
        <f t="shared" si="67"/>
        <v>#DIV/0!</v>
      </c>
      <c r="W305" s="537" t="e">
        <f t="shared" si="68"/>
        <v>#DIV/0!</v>
      </c>
      <c r="X305" s="538" t="e">
        <f>IF(INPUTS!$B$15="yes",W305,V305)</f>
        <v>#DIV/0!</v>
      </c>
      <c r="Y305" s="536" t="e">
        <f t="shared" si="69"/>
        <v>#DIV/0!</v>
      </c>
      <c r="Z305" s="537" t="e">
        <f t="shared" si="70"/>
        <v>#DIV/0!</v>
      </c>
      <c r="AA305" s="538" t="e">
        <f>IF(INPUTS!$B$15="yes",Z305,Y305)</f>
        <v>#DIV/0!</v>
      </c>
      <c r="AB305" s="536" t="e">
        <f t="shared" si="71"/>
        <v>#DIV/0!</v>
      </c>
      <c r="AC305" s="537" t="e">
        <f t="shared" si="72"/>
        <v>#DIV/0!</v>
      </c>
      <c r="AD305" s="538" t="e">
        <f>IF(INPUTS!$B$15="yes",AC305,AB305)</f>
        <v>#DIV/0!</v>
      </c>
      <c r="AE305" s="36" t="str">
        <f t="shared" si="73"/>
        <v>no</v>
      </c>
      <c r="AF305" s="36"/>
      <c r="AG305" s="389" t="e">
        <f>P305*('upper bound Kenaga'!$F$36/100)</f>
        <v>#DIV/0!</v>
      </c>
      <c r="AH305" s="36"/>
      <c r="AI305" s="389" t="e">
        <f>P305*('upper bound Kenaga'!$F$96/100)</f>
        <v>#DIV/0!</v>
      </c>
      <c r="AJ305" s="36"/>
      <c r="AK305" s="36"/>
      <c r="AL305" s="36"/>
      <c r="AM305" s="36"/>
      <c r="AN305" s="36"/>
      <c r="AO305" s="36"/>
    </row>
    <row r="306" spans="10:41" s="1" customFormat="1">
      <c r="J306" s="6">
        <f>COUNTIF(K$21:K306,"=yes")</f>
        <v>1</v>
      </c>
      <c r="K306" s="533" t="str">
        <f>IF(LOOKUP(VALUE(M306),INPUTS!$G$6:$G$35)=M306,"yes","no")</f>
        <v>no</v>
      </c>
      <c r="L306" s="533">
        <f>IF(K306="yes",(LOOKUP(J306,INPUTS!$E$6:$E$35,INPUTS!$F$6:$F$35)),0)</f>
        <v>0</v>
      </c>
      <c r="M306" s="135">
        <f t="shared" si="74"/>
        <v>285</v>
      </c>
      <c r="N306" s="135">
        <f t="shared" si="75"/>
        <v>1</v>
      </c>
      <c r="O306" s="135">
        <f t="shared" si="76"/>
        <v>0</v>
      </c>
      <c r="P306" s="536" t="e">
        <f t="shared" si="77"/>
        <v>#DIV/0!</v>
      </c>
      <c r="Q306" s="537" t="e">
        <f t="shared" si="64"/>
        <v>#DIV/0!</v>
      </c>
      <c r="R306" s="538" t="e">
        <f>IF(INPUTS!$B$15="yes",Q306,P306)</f>
        <v>#DIV/0!</v>
      </c>
      <c r="S306" s="536" t="e">
        <f t="shared" si="65"/>
        <v>#DIV/0!</v>
      </c>
      <c r="T306" s="537" t="e">
        <f t="shared" si="66"/>
        <v>#DIV/0!</v>
      </c>
      <c r="U306" s="538" t="e">
        <f>IF(INPUTS!$B$15="yes",T306,S306)</f>
        <v>#DIV/0!</v>
      </c>
      <c r="V306" s="536" t="e">
        <f t="shared" si="67"/>
        <v>#DIV/0!</v>
      </c>
      <c r="W306" s="537" t="e">
        <f t="shared" si="68"/>
        <v>#DIV/0!</v>
      </c>
      <c r="X306" s="538" t="e">
        <f>IF(INPUTS!$B$15="yes",W306,V306)</f>
        <v>#DIV/0!</v>
      </c>
      <c r="Y306" s="536" t="e">
        <f t="shared" si="69"/>
        <v>#DIV/0!</v>
      </c>
      <c r="Z306" s="537" t="e">
        <f t="shared" si="70"/>
        <v>#DIV/0!</v>
      </c>
      <c r="AA306" s="538" t="e">
        <f>IF(INPUTS!$B$15="yes",Z306,Y306)</f>
        <v>#DIV/0!</v>
      </c>
      <c r="AB306" s="536" t="e">
        <f t="shared" si="71"/>
        <v>#DIV/0!</v>
      </c>
      <c r="AC306" s="537" t="e">
        <f t="shared" si="72"/>
        <v>#DIV/0!</v>
      </c>
      <c r="AD306" s="538" t="e">
        <f>IF(INPUTS!$B$15="yes",AC306,AB306)</f>
        <v>#DIV/0!</v>
      </c>
      <c r="AE306" s="36" t="str">
        <f t="shared" si="73"/>
        <v>no</v>
      </c>
      <c r="AF306" s="36"/>
      <c r="AG306" s="389" t="e">
        <f>P306*('upper bound Kenaga'!$F$36/100)</f>
        <v>#DIV/0!</v>
      </c>
      <c r="AH306" s="36"/>
      <c r="AI306" s="389" t="e">
        <f>P306*('upper bound Kenaga'!$F$96/100)</f>
        <v>#DIV/0!</v>
      </c>
      <c r="AJ306" s="36"/>
      <c r="AK306" s="36"/>
      <c r="AL306" s="36"/>
      <c r="AM306" s="36"/>
      <c r="AN306" s="36"/>
      <c r="AO306" s="36"/>
    </row>
    <row r="307" spans="10:41" s="1" customFormat="1">
      <c r="J307" s="6">
        <f>COUNTIF(K$21:K307,"=yes")</f>
        <v>1</v>
      </c>
      <c r="K307" s="533" t="str">
        <f>IF(LOOKUP(VALUE(M307),INPUTS!$G$6:$G$35)=M307,"yes","no")</f>
        <v>no</v>
      </c>
      <c r="L307" s="533">
        <f>IF(K307="yes",(LOOKUP(J307,INPUTS!$E$6:$E$35,INPUTS!$F$6:$F$35)),0)</f>
        <v>0</v>
      </c>
      <c r="M307" s="135">
        <f t="shared" si="74"/>
        <v>286</v>
      </c>
      <c r="N307" s="135">
        <f t="shared" si="75"/>
        <v>1</v>
      </c>
      <c r="O307" s="135">
        <f t="shared" si="76"/>
        <v>0</v>
      </c>
      <c r="P307" s="536" t="e">
        <f t="shared" si="77"/>
        <v>#DIV/0!</v>
      </c>
      <c r="Q307" s="537" t="e">
        <f t="shared" si="64"/>
        <v>#DIV/0!</v>
      </c>
      <c r="R307" s="538" t="e">
        <f>IF(INPUTS!$B$15="yes",Q307,P307)</f>
        <v>#DIV/0!</v>
      </c>
      <c r="S307" s="536" t="e">
        <f t="shared" si="65"/>
        <v>#DIV/0!</v>
      </c>
      <c r="T307" s="537" t="e">
        <f t="shared" si="66"/>
        <v>#DIV/0!</v>
      </c>
      <c r="U307" s="538" t="e">
        <f>IF(INPUTS!$B$15="yes",T307,S307)</f>
        <v>#DIV/0!</v>
      </c>
      <c r="V307" s="536" t="e">
        <f t="shared" si="67"/>
        <v>#DIV/0!</v>
      </c>
      <c r="W307" s="537" t="e">
        <f t="shared" si="68"/>
        <v>#DIV/0!</v>
      </c>
      <c r="X307" s="538" t="e">
        <f>IF(INPUTS!$B$15="yes",W307,V307)</f>
        <v>#DIV/0!</v>
      </c>
      <c r="Y307" s="536" t="e">
        <f t="shared" si="69"/>
        <v>#DIV/0!</v>
      </c>
      <c r="Z307" s="537" t="e">
        <f t="shared" si="70"/>
        <v>#DIV/0!</v>
      </c>
      <c r="AA307" s="538" t="e">
        <f>IF(INPUTS!$B$15="yes",Z307,Y307)</f>
        <v>#DIV/0!</v>
      </c>
      <c r="AB307" s="536" t="e">
        <f t="shared" si="71"/>
        <v>#DIV/0!</v>
      </c>
      <c r="AC307" s="537" t="e">
        <f t="shared" si="72"/>
        <v>#DIV/0!</v>
      </c>
      <c r="AD307" s="538" t="e">
        <f>IF(INPUTS!$B$15="yes",AC307,AB307)</f>
        <v>#DIV/0!</v>
      </c>
      <c r="AE307" s="36" t="str">
        <f t="shared" si="73"/>
        <v>no</v>
      </c>
      <c r="AF307" s="36"/>
      <c r="AG307" s="389" t="e">
        <f>P307*('upper bound Kenaga'!$F$36/100)</f>
        <v>#DIV/0!</v>
      </c>
      <c r="AH307" s="36"/>
      <c r="AI307" s="389" t="e">
        <f>P307*('upper bound Kenaga'!$F$96/100)</f>
        <v>#DIV/0!</v>
      </c>
      <c r="AJ307" s="36"/>
      <c r="AK307" s="36"/>
      <c r="AL307" s="36"/>
      <c r="AM307" s="36"/>
      <c r="AN307" s="36"/>
      <c r="AO307" s="36"/>
    </row>
    <row r="308" spans="10:41" s="1" customFormat="1">
      <c r="J308" s="6">
        <f>COUNTIF(K$21:K308,"=yes")</f>
        <v>1</v>
      </c>
      <c r="K308" s="533" t="str">
        <f>IF(LOOKUP(VALUE(M308),INPUTS!$G$6:$G$35)=M308,"yes","no")</f>
        <v>no</v>
      </c>
      <c r="L308" s="533">
        <f>IF(K308="yes",(LOOKUP(J308,INPUTS!$E$6:$E$35,INPUTS!$F$6:$F$35)),0)</f>
        <v>0</v>
      </c>
      <c r="M308" s="135">
        <f t="shared" si="74"/>
        <v>287</v>
      </c>
      <c r="N308" s="135">
        <f t="shared" si="75"/>
        <v>1</v>
      </c>
      <c r="O308" s="135">
        <f t="shared" si="76"/>
        <v>0</v>
      </c>
      <c r="P308" s="536" t="e">
        <f t="shared" si="77"/>
        <v>#DIV/0!</v>
      </c>
      <c r="Q308" s="537" t="e">
        <f t="shared" si="64"/>
        <v>#DIV/0!</v>
      </c>
      <c r="R308" s="538" t="e">
        <f>IF(INPUTS!$B$15="yes",Q308,P308)</f>
        <v>#DIV/0!</v>
      </c>
      <c r="S308" s="536" t="e">
        <f t="shared" si="65"/>
        <v>#DIV/0!</v>
      </c>
      <c r="T308" s="537" t="e">
        <f t="shared" si="66"/>
        <v>#DIV/0!</v>
      </c>
      <c r="U308" s="538" t="e">
        <f>IF(INPUTS!$B$15="yes",T308,S308)</f>
        <v>#DIV/0!</v>
      </c>
      <c r="V308" s="536" t="e">
        <f t="shared" si="67"/>
        <v>#DIV/0!</v>
      </c>
      <c r="W308" s="537" t="e">
        <f t="shared" si="68"/>
        <v>#DIV/0!</v>
      </c>
      <c r="X308" s="538" t="e">
        <f>IF(INPUTS!$B$15="yes",W308,V308)</f>
        <v>#DIV/0!</v>
      </c>
      <c r="Y308" s="536" t="e">
        <f t="shared" si="69"/>
        <v>#DIV/0!</v>
      </c>
      <c r="Z308" s="537" t="e">
        <f t="shared" si="70"/>
        <v>#DIV/0!</v>
      </c>
      <c r="AA308" s="538" t="e">
        <f>IF(INPUTS!$B$15="yes",Z308,Y308)</f>
        <v>#DIV/0!</v>
      </c>
      <c r="AB308" s="536" t="e">
        <f t="shared" si="71"/>
        <v>#DIV/0!</v>
      </c>
      <c r="AC308" s="537" t="e">
        <f t="shared" si="72"/>
        <v>#DIV/0!</v>
      </c>
      <c r="AD308" s="538" t="e">
        <f>IF(INPUTS!$B$15="yes",AC308,AB308)</f>
        <v>#DIV/0!</v>
      </c>
      <c r="AE308" s="36" t="str">
        <f t="shared" si="73"/>
        <v>no</v>
      </c>
      <c r="AF308" s="36"/>
      <c r="AG308" s="389" t="e">
        <f>P308*('upper bound Kenaga'!$F$36/100)</f>
        <v>#DIV/0!</v>
      </c>
      <c r="AH308" s="36"/>
      <c r="AI308" s="389" t="e">
        <f>P308*('upper bound Kenaga'!$F$96/100)</f>
        <v>#DIV/0!</v>
      </c>
      <c r="AJ308" s="36"/>
      <c r="AK308" s="36"/>
      <c r="AL308" s="36"/>
      <c r="AM308" s="36"/>
      <c r="AN308" s="36"/>
      <c r="AO308" s="36"/>
    </row>
    <row r="309" spans="10:41" s="1" customFormat="1">
      <c r="J309" s="6">
        <f>COUNTIF(K$21:K309,"=yes")</f>
        <v>1</v>
      </c>
      <c r="K309" s="533" t="str">
        <f>IF(LOOKUP(VALUE(M309),INPUTS!$G$6:$G$35)=M309,"yes","no")</f>
        <v>no</v>
      </c>
      <c r="L309" s="533">
        <f>IF(K309="yes",(LOOKUP(J309,INPUTS!$E$6:$E$35,INPUTS!$F$6:$F$35)),0)</f>
        <v>0</v>
      </c>
      <c r="M309" s="135">
        <f t="shared" si="74"/>
        <v>288</v>
      </c>
      <c r="N309" s="135">
        <f t="shared" si="75"/>
        <v>1</v>
      </c>
      <c r="O309" s="135">
        <f t="shared" si="76"/>
        <v>0</v>
      </c>
      <c r="P309" s="536" t="e">
        <f t="shared" si="77"/>
        <v>#DIV/0!</v>
      </c>
      <c r="Q309" s="537" t="e">
        <f t="shared" si="64"/>
        <v>#DIV/0!</v>
      </c>
      <c r="R309" s="538" t="e">
        <f>IF(INPUTS!$B$15="yes",Q309,P309)</f>
        <v>#DIV/0!</v>
      </c>
      <c r="S309" s="536" t="e">
        <f t="shared" si="65"/>
        <v>#DIV/0!</v>
      </c>
      <c r="T309" s="537" t="e">
        <f t="shared" si="66"/>
        <v>#DIV/0!</v>
      </c>
      <c r="U309" s="538" t="e">
        <f>IF(INPUTS!$B$15="yes",T309,S309)</f>
        <v>#DIV/0!</v>
      </c>
      <c r="V309" s="536" t="e">
        <f t="shared" si="67"/>
        <v>#DIV/0!</v>
      </c>
      <c r="W309" s="537" t="e">
        <f t="shared" si="68"/>
        <v>#DIV/0!</v>
      </c>
      <c r="X309" s="538" t="e">
        <f>IF(INPUTS!$B$15="yes",W309,V309)</f>
        <v>#DIV/0!</v>
      </c>
      <c r="Y309" s="536" t="e">
        <f t="shared" si="69"/>
        <v>#DIV/0!</v>
      </c>
      <c r="Z309" s="537" t="e">
        <f t="shared" si="70"/>
        <v>#DIV/0!</v>
      </c>
      <c r="AA309" s="538" t="e">
        <f>IF(INPUTS!$B$15="yes",Z309,Y309)</f>
        <v>#DIV/0!</v>
      </c>
      <c r="AB309" s="536" t="e">
        <f t="shared" si="71"/>
        <v>#DIV/0!</v>
      </c>
      <c r="AC309" s="537" t="e">
        <f t="shared" si="72"/>
        <v>#DIV/0!</v>
      </c>
      <c r="AD309" s="538" t="e">
        <f>IF(INPUTS!$B$15="yes",AC309,AB309)</f>
        <v>#DIV/0!</v>
      </c>
      <c r="AE309" s="36" t="str">
        <f t="shared" si="73"/>
        <v>no</v>
      </c>
      <c r="AF309" s="36"/>
      <c r="AG309" s="389" t="e">
        <f>P309*('upper bound Kenaga'!$F$36/100)</f>
        <v>#DIV/0!</v>
      </c>
      <c r="AH309" s="36"/>
      <c r="AI309" s="389" t="e">
        <f>P309*('upper bound Kenaga'!$F$96/100)</f>
        <v>#DIV/0!</v>
      </c>
      <c r="AJ309" s="36"/>
      <c r="AK309" s="36"/>
      <c r="AL309" s="36"/>
      <c r="AM309" s="36"/>
      <c r="AN309" s="36"/>
      <c r="AO309" s="36"/>
    </row>
    <row r="310" spans="10:41" s="1" customFormat="1">
      <c r="J310" s="6">
        <f>COUNTIF(K$21:K310,"=yes")</f>
        <v>1</v>
      </c>
      <c r="K310" s="533" t="str">
        <f>IF(LOOKUP(VALUE(M310),INPUTS!$G$6:$G$35)=M310,"yes","no")</f>
        <v>no</v>
      </c>
      <c r="L310" s="533">
        <f>IF(K310="yes",(LOOKUP(J310,INPUTS!$E$6:$E$35,INPUTS!$F$6:$F$35)),0)</f>
        <v>0</v>
      </c>
      <c r="M310" s="135">
        <f t="shared" si="74"/>
        <v>289</v>
      </c>
      <c r="N310" s="135">
        <f t="shared" si="75"/>
        <v>1</v>
      </c>
      <c r="O310" s="135">
        <f t="shared" si="76"/>
        <v>0</v>
      </c>
      <c r="P310" s="536" t="e">
        <f t="shared" si="77"/>
        <v>#DIV/0!</v>
      </c>
      <c r="Q310" s="537" t="e">
        <f t="shared" si="64"/>
        <v>#DIV/0!</v>
      </c>
      <c r="R310" s="538" t="e">
        <f>IF(INPUTS!$B$15="yes",Q310,P310)</f>
        <v>#DIV/0!</v>
      </c>
      <c r="S310" s="536" t="e">
        <f t="shared" si="65"/>
        <v>#DIV/0!</v>
      </c>
      <c r="T310" s="537" t="e">
        <f t="shared" si="66"/>
        <v>#DIV/0!</v>
      </c>
      <c r="U310" s="538" t="e">
        <f>IF(INPUTS!$B$15="yes",T310,S310)</f>
        <v>#DIV/0!</v>
      </c>
      <c r="V310" s="536" t="e">
        <f t="shared" si="67"/>
        <v>#DIV/0!</v>
      </c>
      <c r="W310" s="537" t="e">
        <f t="shared" si="68"/>
        <v>#DIV/0!</v>
      </c>
      <c r="X310" s="538" t="e">
        <f>IF(INPUTS!$B$15="yes",W310,V310)</f>
        <v>#DIV/0!</v>
      </c>
      <c r="Y310" s="536" t="e">
        <f t="shared" si="69"/>
        <v>#DIV/0!</v>
      </c>
      <c r="Z310" s="537" t="e">
        <f t="shared" si="70"/>
        <v>#DIV/0!</v>
      </c>
      <c r="AA310" s="538" t="e">
        <f>IF(INPUTS!$B$15="yes",Z310,Y310)</f>
        <v>#DIV/0!</v>
      </c>
      <c r="AB310" s="536" t="e">
        <f t="shared" si="71"/>
        <v>#DIV/0!</v>
      </c>
      <c r="AC310" s="537" t="e">
        <f t="shared" si="72"/>
        <v>#DIV/0!</v>
      </c>
      <c r="AD310" s="538" t="e">
        <f>IF(INPUTS!$B$15="yes",AC310,AB310)</f>
        <v>#DIV/0!</v>
      </c>
      <c r="AE310" s="36" t="str">
        <f t="shared" si="73"/>
        <v>no</v>
      </c>
      <c r="AF310" s="36"/>
      <c r="AG310" s="389" t="e">
        <f>P310*('upper bound Kenaga'!$F$36/100)</f>
        <v>#DIV/0!</v>
      </c>
      <c r="AH310" s="36"/>
      <c r="AI310" s="389" t="e">
        <f>P310*('upper bound Kenaga'!$F$96/100)</f>
        <v>#DIV/0!</v>
      </c>
      <c r="AJ310" s="36"/>
      <c r="AK310" s="36"/>
      <c r="AL310" s="36"/>
      <c r="AM310" s="36"/>
      <c r="AN310" s="36"/>
      <c r="AO310" s="36"/>
    </row>
    <row r="311" spans="10:41" s="1" customFormat="1">
      <c r="J311" s="6">
        <f>COUNTIF(K$21:K311,"=yes")</f>
        <v>1</v>
      </c>
      <c r="K311" s="533" t="str">
        <f>IF(LOOKUP(VALUE(M311),INPUTS!$G$6:$G$35)=M311,"yes","no")</f>
        <v>no</v>
      </c>
      <c r="L311" s="533">
        <f>IF(K311="yes",(LOOKUP(J311,INPUTS!$E$6:$E$35,INPUTS!$F$6:$F$35)),0)</f>
        <v>0</v>
      </c>
      <c r="M311" s="135">
        <f t="shared" si="74"/>
        <v>290</v>
      </c>
      <c r="N311" s="135">
        <f t="shared" si="75"/>
        <v>1</v>
      </c>
      <c r="O311" s="135">
        <f t="shared" si="76"/>
        <v>0</v>
      </c>
      <c r="P311" s="536" t="e">
        <f t="shared" si="77"/>
        <v>#DIV/0!</v>
      </c>
      <c r="Q311" s="537" t="e">
        <f t="shared" si="64"/>
        <v>#DIV/0!</v>
      </c>
      <c r="R311" s="538" t="e">
        <f>IF(INPUTS!$B$15="yes",Q311,P311)</f>
        <v>#DIV/0!</v>
      </c>
      <c r="S311" s="536" t="e">
        <f t="shared" si="65"/>
        <v>#DIV/0!</v>
      </c>
      <c r="T311" s="537" t="e">
        <f t="shared" si="66"/>
        <v>#DIV/0!</v>
      </c>
      <c r="U311" s="538" t="e">
        <f>IF(INPUTS!$B$15="yes",T311,S311)</f>
        <v>#DIV/0!</v>
      </c>
      <c r="V311" s="536" t="e">
        <f t="shared" si="67"/>
        <v>#DIV/0!</v>
      </c>
      <c r="W311" s="537" t="e">
        <f t="shared" si="68"/>
        <v>#DIV/0!</v>
      </c>
      <c r="X311" s="538" t="e">
        <f>IF(INPUTS!$B$15="yes",W311,V311)</f>
        <v>#DIV/0!</v>
      </c>
      <c r="Y311" s="536" t="e">
        <f t="shared" si="69"/>
        <v>#DIV/0!</v>
      </c>
      <c r="Z311" s="537" t="e">
        <f t="shared" si="70"/>
        <v>#DIV/0!</v>
      </c>
      <c r="AA311" s="538" t="e">
        <f>IF(INPUTS!$B$15="yes",Z311,Y311)</f>
        <v>#DIV/0!</v>
      </c>
      <c r="AB311" s="536" t="e">
        <f t="shared" si="71"/>
        <v>#DIV/0!</v>
      </c>
      <c r="AC311" s="537" t="e">
        <f t="shared" si="72"/>
        <v>#DIV/0!</v>
      </c>
      <c r="AD311" s="538" t="e">
        <f>IF(INPUTS!$B$15="yes",AC311,AB311)</f>
        <v>#DIV/0!</v>
      </c>
      <c r="AE311" s="36" t="str">
        <f t="shared" si="73"/>
        <v>no</v>
      </c>
      <c r="AF311" s="36"/>
      <c r="AG311" s="389" t="e">
        <f>P311*('upper bound Kenaga'!$F$36/100)</f>
        <v>#DIV/0!</v>
      </c>
      <c r="AH311" s="36"/>
      <c r="AI311" s="389" t="e">
        <f>P311*('upper bound Kenaga'!$F$96/100)</f>
        <v>#DIV/0!</v>
      </c>
      <c r="AJ311" s="36"/>
      <c r="AK311" s="36"/>
      <c r="AL311" s="36"/>
      <c r="AM311" s="36"/>
      <c r="AN311" s="36"/>
      <c r="AO311" s="36"/>
    </row>
    <row r="312" spans="10:41" s="1" customFormat="1">
      <c r="J312" s="6">
        <f>COUNTIF(K$21:K312,"=yes")</f>
        <v>1</v>
      </c>
      <c r="K312" s="533" t="str">
        <f>IF(LOOKUP(VALUE(M312),INPUTS!$G$6:$G$35)=M312,"yes","no")</f>
        <v>no</v>
      </c>
      <c r="L312" s="533">
        <f>IF(K312="yes",(LOOKUP(J312,INPUTS!$E$6:$E$35,INPUTS!$F$6:$F$35)),0)</f>
        <v>0</v>
      </c>
      <c r="M312" s="135">
        <f t="shared" si="74"/>
        <v>291</v>
      </c>
      <c r="N312" s="135">
        <f t="shared" si="75"/>
        <v>1</v>
      </c>
      <c r="O312" s="135">
        <f t="shared" si="76"/>
        <v>0</v>
      </c>
      <c r="P312" s="536" t="e">
        <f t="shared" si="77"/>
        <v>#DIV/0!</v>
      </c>
      <c r="Q312" s="537" t="e">
        <f t="shared" si="64"/>
        <v>#DIV/0!</v>
      </c>
      <c r="R312" s="538" t="e">
        <f>IF(INPUTS!$B$15="yes",Q312,P312)</f>
        <v>#DIV/0!</v>
      </c>
      <c r="S312" s="536" t="e">
        <f t="shared" si="65"/>
        <v>#DIV/0!</v>
      </c>
      <c r="T312" s="537" t="e">
        <f t="shared" si="66"/>
        <v>#DIV/0!</v>
      </c>
      <c r="U312" s="538" t="e">
        <f>IF(INPUTS!$B$15="yes",T312,S312)</f>
        <v>#DIV/0!</v>
      </c>
      <c r="V312" s="536" t="e">
        <f t="shared" si="67"/>
        <v>#DIV/0!</v>
      </c>
      <c r="W312" s="537" t="e">
        <f t="shared" si="68"/>
        <v>#DIV/0!</v>
      </c>
      <c r="X312" s="538" t="e">
        <f>IF(INPUTS!$B$15="yes",W312,V312)</f>
        <v>#DIV/0!</v>
      </c>
      <c r="Y312" s="536" t="e">
        <f t="shared" si="69"/>
        <v>#DIV/0!</v>
      </c>
      <c r="Z312" s="537" t="e">
        <f t="shared" si="70"/>
        <v>#DIV/0!</v>
      </c>
      <c r="AA312" s="538" t="e">
        <f>IF(INPUTS!$B$15="yes",Z312,Y312)</f>
        <v>#DIV/0!</v>
      </c>
      <c r="AB312" s="536" t="e">
        <f t="shared" si="71"/>
        <v>#DIV/0!</v>
      </c>
      <c r="AC312" s="537" t="e">
        <f t="shared" si="72"/>
        <v>#DIV/0!</v>
      </c>
      <c r="AD312" s="538" t="e">
        <f>IF(INPUTS!$B$15="yes",AC312,AB312)</f>
        <v>#DIV/0!</v>
      </c>
      <c r="AE312" s="36" t="str">
        <f t="shared" si="73"/>
        <v>no</v>
      </c>
      <c r="AF312" s="36"/>
      <c r="AG312" s="389" t="e">
        <f>P312*('upper bound Kenaga'!$F$36/100)</f>
        <v>#DIV/0!</v>
      </c>
      <c r="AH312" s="36"/>
      <c r="AI312" s="389" t="e">
        <f>P312*('upper bound Kenaga'!$F$96/100)</f>
        <v>#DIV/0!</v>
      </c>
      <c r="AJ312" s="36"/>
      <c r="AK312" s="36"/>
      <c r="AL312" s="36"/>
      <c r="AM312" s="36"/>
      <c r="AN312" s="36"/>
      <c r="AO312" s="36"/>
    </row>
    <row r="313" spans="10:41" s="1" customFormat="1">
      <c r="J313" s="6">
        <f>COUNTIF(K$21:K313,"=yes")</f>
        <v>1</v>
      </c>
      <c r="K313" s="533" t="str">
        <f>IF(LOOKUP(VALUE(M313),INPUTS!$G$6:$G$35)=M313,"yes","no")</f>
        <v>no</v>
      </c>
      <c r="L313" s="533">
        <f>IF(K313="yes",(LOOKUP(J313,INPUTS!$E$6:$E$35,INPUTS!$F$6:$F$35)),0)</f>
        <v>0</v>
      </c>
      <c r="M313" s="135">
        <f t="shared" si="74"/>
        <v>292</v>
      </c>
      <c r="N313" s="135">
        <f t="shared" si="75"/>
        <v>1</v>
      </c>
      <c r="O313" s="135">
        <f t="shared" si="76"/>
        <v>0</v>
      </c>
      <c r="P313" s="536" t="e">
        <f t="shared" si="77"/>
        <v>#DIV/0!</v>
      </c>
      <c r="Q313" s="537" t="e">
        <f t="shared" si="64"/>
        <v>#DIV/0!</v>
      </c>
      <c r="R313" s="538" t="e">
        <f>IF(INPUTS!$B$15="yes",Q313,P313)</f>
        <v>#DIV/0!</v>
      </c>
      <c r="S313" s="536" t="e">
        <f t="shared" si="65"/>
        <v>#DIV/0!</v>
      </c>
      <c r="T313" s="537" t="e">
        <f t="shared" si="66"/>
        <v>#DIV/0!</v>
      </c>
      <c r="U313" s="538" t="e">
        <f>IF(INPUTS!$B$15="yes",T313,S313)</f>
        <v>#DIV/0!</v>
      </c>
      <c r="V313" s="536" t="e">
        <f t="shared" si="67"/>
        <v>#DIV/0!</v>
      </c>
      <c r="W313" s="537" t="e">
        <f t="shared" si="68"/>
        <v>#DIV/0!</v>
      </c>
      <c r="X313" s="538" t="e">
        <f>IF(INPUTS!$B$15="yes",W313,V313)</f>
        <v>#DIV/0!</v>
      </c>
      <c r="Y313" s="536" t="e">
        <f t="shared" si="69"/>
        <v>#DIV/0!</v>
      </c>
      <c r="Z313" s="537" t="e">
        <f t="shared" si="70"/>
        <v>#DIV/0!</v>
      </c>
      <c r="AA313" s="538" t="e">
        <f>IF(INPUTS!$B$15="yes",Z313,Y313)</f>
        <v>#DIV/0!</v>
      </c>
      <c r="AB313" s="536" t="e">
        <f t="shared" si="71"/>
        <v>#DIV/0!</v>
      </c>
      <c r="AC313" s="537" t="e">
        <f t="shared" si="72"/>
        <v>#DIV/0!</v>
      </c>
      <c r="AD313" s="538" t="e">
        <f>IF(INPUTS!$B$15="yes",AC313,AB313)</f>
        <v>#DIV/0!</v>
      </c>
      <c r="AE313" s="36" t="str">
        <f t="shared" si="73"/>
        <v>no</v>
      </c>
      <c r="AF313" s="36"/>
      <c r="AG313" s="389" t="e">
        <f>P313*('upper bound Kenaga'!$F$36/100)</f>
        <v>#DIV/0!</v>
      </c>
      <c r="AH313" s="36"/>
      <c r="AI313" s="389" t="e">
        <f>P313*('upper bound Kenaga'!$F$96/100)</f>
        <v>#DIV/0!</v>
      </c>
      <c r="AJ313" s="36"/>
      <c r="AK313" s="36"/>
      <c r="AL313" s="36"/>
      <c r="AM313" s="36"/>
      <c r="AN313" s="36"/>
      <c r="AO313" s="36"/>
    </row>
    <row r="314" spans="10:41" s="1" customFormat="1">
      <c r="J314" s="6">
        <f>COUNTIF(K$21:K314,"=yes")</f>
        <v>1</v>
      </c>
      <c r="K314" s="533" t="str">
        <f>IF(LOOKUP(VALUE(M314),INPUTS!$G$6:$G$35)=M314,"yes","no")</f>
        <v>no</v>
      </c>
      <c r="L314" s="533">
        <f>IF(K314="yes",(LOOKUP(J314,INPUTS!$E$6:$E$35,INPUTS!$F$6:$F$35)),0)</f>
        <v>0</v>
      </c>
      <c r="M314" s="135">
        <f t="shared" si="74"/>
        <v>293</v>
      </c>
      <c r="N314" s="135">
        <f t="shared" si="75"/>
        <v>1</v>
      </c>
      <c r="O314" s="135">
        <f t="shared" si="76"/>
        <v>0</v>
      </c>
      <c r="P314" s="536" t="e">
        <f t="shared" si="77"/>
        <v>#DIV/0!</v>
      </c>
      <c r="Q314" s="537" t="e">
        <f t="shared" si="64"/>
        <v>#DIV/0!</v>
      </c>
      <c r="R314" s="538" t="e">
        <f>IF(INPUTS!$B$15="yes",Q314,P314)</f>
        <v>#DIV/0!</v>
      </c>
      <c r="S314" s="536" t="e">
        <f t="shared" si="65"/>
        <v>#DIV/0!</v>
      </c>
      <c r="T314" s="537" t="e">
        <f t="shared" si="66"/>
        <v>#DIV/0!</v>
      </c>
      <c r="U314" s="538" t="e">
        <f>IF(INPUTS!$B$15="yes",T314,S314)</f>
        <v>#DIV/0!</v>
      </c>
      <c r="V314" s="536" t="e">
        <f t="shared" si="67"/>
        <v>#DIV/0!</v>
      </c>
      <c r="W314" s="537" t="e">
        <f t="shared" si="68"/>
        <v>#DIV/0!</v>
      </c>
      <c r="X314" s="538" t="e">
        <f>IF(INPUTS!$B$15="yes",W314,V314)</f>
        <v>#DIV/0!</v>
      </c>
      <c r="Y314" s="536" t="e">
        <f t="shared" si="69"/>
        <v>#DIV/0!</v>
      </c>
      <c r="Z314" s="537" t="e">
        <f t="shared" si="70"/>
        <v>#DIV/0!</v>
      </c>
      <c r="AA314" s="538" t="e">
        <f>IF(INPUTS!$B$15="yes",Z314,Y314)</f>
        <v>#DIV/0!</v>
      </c>
      <c r="AB314" s="536" t="e">
        <f t="shared" si="71"/>
        <v>#DIV/0!</v>
      </c>
      <c r="AC314" s="537" t="e">
        <f t="shared" si="72"/>
        <v>#DIV/0!</v>
      </c>
      <c r="AD314" s="538" t="e">
        <f>IF(INPUTS!$B$15="yes",AC314,AB314)</f>
        <v>#DIV/0!</v>
      </c>
      <c r="AE314" s="36" t="str">
        <f t="shared" si="73"/>
        <v>no</v>
      </c>
      <c r="AF314" s="36"/>
      <c r="AG314" s="389" t="e">
        <f>P314*('upper bound Kenaga'!$F$36/100)</f>
        <v>#DIV/0!</v>
      </c>
      <c r="AH314" s="36"/>
      <c r="AI314" s="389" t="e">
        <f>P314*('upper bound Kenaga'!$F$96/100)</f>
        <v>#DIV/0!</v>
      </c>
      <c r="AJ314" s="36"/>
      <c r="AK314" s="36"/>
      <c r="AL314" s="36"/>
      <c r="AM314" s="36"/>
      <c r="AN314" s="36"/>
      <c r="AO314" s="36"/>
    </row>
    <row r="315" spans="10:41" s="1" customFormat="1">
      <c r="J315" s="6">
        <f>COUNTIF(K$21:K315,"=yes")</f>
        <v>1</v>
      </c>
      <c r="K315" s="533" t="str">
        <f>IF(LOOKUP(VALUE(M315),INPUTS!$G$6:$G$35)=M315,"yes","no")</f>
        <v>no</v>
      </c>
      <c r="L315" s="533">
        <f>IF(K315="yes",(LOOKUP(J315,INPUTS!$E$6:$E$35,INPUTS!$F$6:$F$35)),0)</f>
        <v>0</v>
      </c>
      <c r="M315" s="135">
        <f t="shared" si="74"/>
        <v>294</v>
      </c>
      <c r="N315" s="135">
        <f t="shared" si="75"/>
        <v>1</v>
      </c>
      <c r="O315" s="135">
        <f t="shared" si="76"/>
        <v>0</v>
      </c>
      <c r="P315" s="536" t="e">
        <f t="shared" si="77"/>
        <v>#DIV/0!</v>
      </c>
      <c r="Q315" s="537" t="e">
        <f t="shared" si="64"/>
        <v>#DIV/0!</v>
      </c>
      <c r="R315" s="538" t="e">
        <f>IF(INPUTS!$B$15="yes",Q315,P315)</f>
        <v>#DIV/0!</v>
      </c>
      <c r="S315" s="536" t="e">
        <f t="shared" si="65"/>
        <v>#DIV/0!</v>
      </c>
      <c r="T315" s="537" t="e">
        <f t="shared" si="66"/>
        <v>#DIV/0!</v>
      </c>
      <c r="U315" s="538" t="e">
        <f>IF(INPUTS!$B$15="yes",T315,S315)</f>
        <v>#DIV/0!</v>
      </c>
      <c r="V315" s="536" t="e">
        <f t="shared" si="67"/>
        <v>#DIV/0!</v>
      </c>
      <c r="W315" s="537" t="e">
        <f t="shared" si="68"/>
        <v>#DIV/0!</v>
      </c>
      <c r="X315" s="538" t="e">
        <f>IF(INPUTS!$B$15="yes",W315,V315)</f>
        <v>#DIV/0!</v>
      </c>
      <c r="Y315" s="536" t="e">
        <f t="shared" si="69"/>
        <v>#DIV/0!</v>
      </c>
      <c r="Z315" s="537" t="e">
        <f t="shared" si="70"/>
        <v>#DIV/0!</v>
      </c>
      <c r="AA315" s="538" t="e">
        <f>IF(INPUTS!$B$15="yes",Z315,Y315)</f>
        <v>#DIV/0!</v>
      </c>
      <c r="AB315" s="536" t="e">
        <f t="shared" si="71"/>
        <v>#DIV/0!</v>
      </c>
      <c r="AC315" s="537" t="e">
        <f t="shared" si="72"/>
        <v>#DIV/0!</v>
      </c>
      <c r="AD315" s="538" t="e">
        <f>IF(INPUTS!$B$15="yes",AC315,AB315)</f>
        <v>#DIV/0!</v>
      </c>
      <c r="AE315" s="36" t="str">
        <f t="shared" si="73"/>
        <v>no</v>
      </c>
      <c r="AF315" s="36"/>
      <c r="AG315" s="389" t="e">
        <f>P315*('upper bound Kenaga'!$F$36/100)</f>
        <v>#DIV/0!</v>
      </c>
      <c r="AH315" s="36"/>
      <c r="AI315" s="389" t="e">
        <f>P315*('upper bound Kenaga'!$F$96/100)</f>
        <v>#DIV/0!</v>
      </c>
      <c r="AJ315" s="36"/>
      <c r="AK315" s="36"/>
      <c r="AL315" s="36"/>
      <c r="AM315" s="36"/>
      <c r="AN315" s="36"/>
      <c r="AO315" s="36"/>
    </row>
    <row r="316" spans="10:41" s="1" customFormat="1">
      <c r="J316" s="6">
        <f>COUNTIF(K$21:K316,"=yes")</f>
        <v>1</v>
      </c>
      <c r="K316" s="533" t="str">
        <f>IF(LOOKUP(VALUE(M316),INPUTS!$G$6:$G$35)=M316,"yes","no")</f>
        <v>no</v>
      </c>
      <c r="L316" s="533">
        <f>IF(K316="yes",(LOOKUP(J316,INPUTS!$E$6:$E$35,INPUTS!$F$6:$F$35)),0)</f>
        <v>0</v>
      </c>
      <c r="M316" s="135">
        <f t="shared" si="74"/>
        <v>295</v>
      </c>
      <c r="N316" s="135">
        <f t="shared" si="75"/>
        <v>1</v>
      </c>
      <c r="O316" s="135">
        <f t="shared" si="76"/>
        <v>0</v>
      </c>
      <c r="P316" s="536" t="e">
        <f t="shared" si="77"/>
        <v>#DIV/0!</v>
      </c>
      <c r="Q316" s="537" t="e">
        <f t="shared" si="64"/>
        <v>#DIV/0!</v>
      </c>
      <c r="R316" s="538" t="e">
        <f>IF(INPUTS!$B$15="yes",Q316,P316)</f>
        <v>#DIV/0!</v>
      </c>
      <c r="S316" s="536" t="e">
        <f t="shared" si="65"/>
        <v>#DIV/0!</v>
      </c>
      <c r="T316" s="537" t="e">
        <f t="shared" si="66"/>
        <v>#DIV/0!</v>
      </c>
      <c r="U316" s="538" t="e">
        <f>IF(INPUTS!$B$15="yes",T316,S316)</f>
        <v>#DIV/0!</v>
      </c>
      <c r="V316" s="536" t="e">
        <f t="shared" si="67"/>
        <v>#DIV/0!</v>
      </c>
      <c r="W316" s="537" t="e">
        <f t="shared" si="68"/>
        <v>#DIV/0!</v>
      </c>
      <c r="X316" s="538" t="e">
        <f>IF(INPUTS!$B$15="yes",W316,V316)</f>
        <v>#DIV/0!</v>
      </c>
      <c r="Y316" s="536" t="e">
        <f t="shared" si="69"/>
        <v>#DIV/0!</v>
      </c>
      <c r="Z316" s="537" t="e">
        <f t="shared" si="70"/>
        <v>#DIV/0!</v>
      </c>
      <c r="AA316" s="538" t="e">
        <f>IF(INPUTS!$B$15="yes",Z316,Y316)</f>
        <v>#DIV/0!</v>
      </c>
      <c r="AB316" s="536" t="e">
        <f t="shared" si="71"/>
        <v>#DIV/0!</v>
      </c>
      <c r="AC316" s="537" t="e">
        <f t="shared" si="72"/>
        <v>#DIV/0!</v>
      </c>
      <c r="AD316" s="538" t="e">
        <f>IF(INPUTS!$B$15="yes",AC316,AB316)</f>
        <v>#DIV/0!</v>
      </c>
      <c r="AE316" s="36" t="str">
        <f t="shared" si="73"/>
        <v>no</v>
      </c>
      <c r="AF316" s="36"/>
      <c r="AG316" s="389" t="e">
        <f>P316*('upper bound Kenaga'!$F$36/100)</f>
        <v>#DIV/0!</v>
      </c>
      <c r="AH316" s="36"/>
      <c r="AI316" s="389" t="e">
        <f>P316*('upper bound Kenaga'!$F$96/100)</f>
        <v>#DIV/0!</v>
      </c>
      <c r="AJ316" s="36"/>
      <c r="AK316" s="36"/>
      <c r="AL316" s="36"/>
      <c r="AM316" s="36"/>
      <c r="AN316" s="36"/>
      <c r="AO316" s="36"/>
    </row>
    <row r="317" spans="10:41" s="1" customFormat="1">
      <c r="J317" s="6">
        <f>COUNTIF(K$21:K317,"=yes")</f>
        <v>1</v>
      </c>
      <c r="K317" s="533" t="str">
        <f>IF(LOOKUP(VALUE(M317),INPUTS!$G$6:$G$35)=M317,"yes","no")</f>
        <v>no</v>
      </c>
      <c r="L317" s="533">
        <f>IF(K317="yes",(LOOKUP(J317,INPUTS!$E$6:$E$35,INPUTS!$F$6:$F$35)),0)</f>
        <v>0</v>
      </c>
      <c r="M317" s="135">
        <f t="shared" si="74"/>
        <v>296</v>
      </c>
      <c r="N317" s="135">
        <f t="shared" si="75"/>
        <v>1</v>
      </c>
      <c r="O317" s="135">
        <f t="shared" si="76"/>
        <v>0</v>
      </c>
      <c r="P317" s="536" t="e">
        <f t="shared" si="77"/>
        <v>#DIV/0!</v>
      </c>
      <c r="Q317" s="537" t="e">
        <f t="shared" si="64"/>
        <v>#DIV/0!</v>
      </c>
      <c r="R317" s="538" t="e">
        <f>IF(INPUTS!$B$15="yes",Q317,P317)</f>
        <v>#DIV/0!</v>
      </c>
      <c r="S317" s="536" t="e">
        <f t="shared" si="65"/>
        <v>#DIV/0!</v>
      </c>
      <c r="T317" s="537" t="e">
        <f t="shared" si="66"/>
        <v>#DIV/0!</v>
      </c>
      <c r="U317" s="538" t="e">
        <f>IF(INPUTS!$B$15="yes",T317,S317)</f>
        <v>#DIV/0!</v>
      </c>
      <c r="V317" s="536" t="e">
        <f t="shared" si="67"/>
        <v>#DIV/0!</v>
      </c>
      <c r="W317" s="537" t="e">
        <f t="shared" si="68"/>
        <v>#DIV/0!</v>
      </c>
      <c r="X317" s="538" t="e">
        <f>IF(INPUTS!$B$15="yes",W317,V317)</f>
        <v>#DIV/0!</v>
      </c>
      <c r="Y317" s="536" t="e">
        <f t="shared" si="69"/>
        <v>#DIV/0!</v>
      </c>
      <c r="Z317" s="537" t="e">
        <f t="shared" si="70"/>
        <v>#DIV/0!</v>
      </c>
      <c r="AA317" s="538" t="e">
        <f>IF(INPUTS!$B$15="yes",Z317,Y317)</f>
        <v>#DIV/0!</v>
      </c>
      <c r="AB317" s="536" t="e">
        <f t="shared" si="71"/>
        <v>#DIV/0!</v>
      </c>
      <c r="AC317" s="537" t="e">
        <f t="shared" si="72"/>
        <v>#DIV/0!</v>
      </c>
      <c r="AD317" s="538" t="e">
        <f>IF(INPUTS!$B$15="yes",AC317,AB317)</f>
        <v>#DIV/0!</v>
      </c>
      <c r="AE317" s="36" t="str">
        <f t="shared" si="73"/>
        <v>no</v>
      </c>
      <c r="AF317" s="36"/>
      <c r="AG317" s="389" t="e">
        <f>P317*('upper bound Kenaga'!$F$36/100)</f>
        <v>#DIV/0!</v>
      </c>
      <c r="AH317" s="36"/>
      <c r="AI317" s="389" t="e">
        <f>P317*('upper bound Kenaga'!$F$96/100)</f>
        <v>#DIV/0!</v>
      </c>
      <c r="AJ317" s="36"/>
      <c r="AK317" s="36"/>
      <c r="AL317" s="36"/>
      <c r="AM317" s="36"/>
      <c r="AN317" s="36"/>
      <c r="AO317" s="36"/>
    </row>
    <row r="318" spans="10:41" s="1" customFormat="1">
      <c r="J318" s="6">
        <f>COUNTIF(K$21:K318,"=yes")</f>
        <v>1</v>
      </c>
      <c r="K318" s="533" t="str">
        <f>IF(LOOKUP(VALUE(M318),INPUTS!$G$6:$G$35)=M318,"yes","no")</f>
        <v>no</v>
      </c>
      <c r="L318" s="533">
        <f>IF(K318="yes",(LOOKUP(J318,INPUTS!$E$6:$E$35,INPUTS!$F$6:$F$35)),0)</f>
        <v>0</v>
      </c>
      <c r="M318" s="135">
        <f t="shared" si="74"/>
        <v>297</v>
      </c>
      <c r="N318" s="135">
        <f t="shared" si="75"/>
        <v>1</v>
      </c>
      <c r="O318" s="135">
        <f t="shared" si="76"/>
        <v>0</v>
      </c>
      <c r="P318" s="536" t="e">
        <f t="shared" si="77"/>
        <v>#DIV/0!</v>
      </c>
      <c r="Q318" s="537" t="e">
        <f t="shared" si="64"/>
        <v>#DIV/0!</v>
      </c>
      <c r="R318" s="538" t="e">
        <f>IF(INPUTS!$B$15="yes",Q318,P318)</f>
        <v>#DIV/0!</v>
      </c>
      <c r="S318" s="536" t="e">
        <f t="shared" si="65"/>
        <v>#DIV/0!</v>
      </c>
      <c r="T318" s="537" t="e">
        <f t="shared" si="66"/>
        <v>#DIV/0!</v>
      </c>
      <c r="U318" s="538" t="e">
        <f>IF(INPUTS!$B$15="yes",T318,S318)</f>
        <v>#DIV/0!</v>
      </c>
      <c r="V318" s="536" t="e">
        <f t="shared" si="67"/>
        <v>#DIV/0!</v>
      </c>
      <c r="W318" s="537" t="e">
        <f t="shared" si="68"/>
        <v>#DIV/0!</v>
      </c>
      <c r="X318" s="538" t="e">
        <f>IF(INPUTS!$B$15="yes",W318,V318)</f>
        <v>#DIV/0!</v>
      </c>
      <c r="Y318" s="536" t="e">
        <f t="shared" si="69"/>
        <v>#DIV/0!</v>
      </c>
      <c r="Z318" s="537" t="e">
        <f t="shared" si="70"/>
        <v>#DIV/0!</v>
      </c>
      <c r="AA318" s="538" t="e">
        <f>IF(INPUTS!$B$15="yes",Z318,Y318)</f>
        <v>#DIV/0!</v>
      </c>
      <c r="AB318" s="536" t="e">
        <f t="shared" si="71"/>
        <v>#DIV/0!</v>
      </c>
      <c r="AC318" s="537" t="e">
        <f t="shared" si="72"/>
        <v>#DIV/0!</v>
      </c>
      <c r="AD318" s="538" t="e">
        <f>IF(INPUTS!$B$15="yes",AC318,AB318)</f>
        <v>#DIV/0!</v>
      </c>
      <c r="AE318" s="36" t="str">
        <f t="shared" si="73"/>
        <v>no</v>
      </c>
      <c r="AF318" s="36"/>
      <c r="AG318" s="389" t="e">
        <f>P318*('upper bound Kenaga'!$F$36/100)</f>
        <v>#DIV/0!</v>
      </c>
      <c r="AH318" s="36"/>
      <c r="AI318" s="389" t="e">
        <f>P318*('upper bound Kenaga'!$F$96/100)</f>
        <v>#DIV/0!</v>
      </c>
      <c r="AJ318" s="36"/>
      <c r="AK318" s="36"/>
      <c r="AL318" s="36"/>
      <c r="AM318" s="36"/>
      <c r="AN318" s="36"/>
      <c r="AO318" s="36"/>
    </row>
    <row r="319" spans="10:41" s="1" customFormat="1">
      <c r="J319" s="6">
        <f>COUNTIF(K$21:K319,"=yes")</f>
        <v>1</v>
      </c>
      <c r="K319" s="533" t="str">
        <f>IF(LOOKUP(VALUE(M319),INPUTS!$G$6:$G$35)=M319,"yes","no")</f>
        <v>no</v>
      </c>
      <c r="L319" s="533">
        <f>IF(K319="yes",(LOOKUP(J319,INPUTS!$E$6:$E$35,INPUTS!$F$6:$F$35)),0)</f>
        <v>0</v>
      </c>
      <c r="M319" s="135">
        <f t="shared" si="74"/>
        <v>298</v>
      </c>
      <c r="N319" s="135">
        <f t="shared" si="75"/>
        <v>1</v>
      </c>
      <c r="O319" s="135">
        <f t="shared" si="76"/>
        <v>0</v>
      </c>
      <c r="P319" s="536" t="e">
        <f t="shared" si="77"/>
        <v>#DIV/0!</v>
      </c>
      <c r="Q319" s="537" t="e">
        <f t="shared" si="64"/>
        <v>#DIV/0!</v>
      </c>
      <c r="R319" s="538" t="e">
        <f>IF(INPUTS!$B$15="yes",Q319,P319)</f>
        <v>#DIV/0!</v>
      </c>
      <c r="S319" s="536" t="e">
        <f t="shared" si="65"/>
        <v>#DIV/0!</v>
      </c>
      <c r="T319" s="537" t="e">
        <f t="shared" si="66"/>
        <v>#DIV/0!</v>
      </c>
      <c r="U319" s="538" t="e">
        <f>IF(INPUTS!$B$15="yes",T319,S319)</f>
        <v>#DIV/0!</v>
      </c>
      <c r="V319" s="536" t="e">
        <f t="shared" si="67"/>
        <v>#DIV/0!</v>
      </c>
      <c r="W319" s="537" t="e">
        <f t="shared" si="68"/>
        <v>#DIV/0!</v>
      </c>
      <c r="X319" s="538" t="e">
        <f>IF(INPUTS!$B$15="yes",W319,V319)</f>
        <v>#DIV/0!</v>
      </c>
      <c r="Y319" s="536" t="e">
        <f t="shared" si="69"/>
        <v>#DIV/0!</v>
      </c>
      <c r="Z319" s="537" t="e">
        <f t="shared" si="70"/>
        <v>#DIV/0!</v>
      </c>
      <c r="AA319" s="538" t="e">
        <f>IF(INPUTS!$B$15="yes",Z319,Y319)</f>
        <v>#DIV/0!</v>
      </c>
      <c r="AB319" s="536" t="e">
        <f t="shared" si="71"/>
        <v>#DIV/0!</v>
      </c>
      <c r="AC319" s="537" t="e">
        <f t="shared" si="72"/>
        <v>#DIV/0!</v>
      </c>
      <c r="AD319" s="538" t="e">
        <f>IF(INPUTS!$B$15="yes",AC319,AB319)</f>
        <v>#DIV/0!</v>
      </c>
      <c r="AE319" s="36" t="str">
        <f t="shared" si="73"/>
        <v>no</v>
      </c>
      <c r="AF319" s="36"/>
      <c r="AG319" s="389" t="e">
        <f>P319*('upper bound Kenaga'!$F$36/100)</f>
        <v>#DIV/0!</v>
      </c>
      <c r="AH319" s="36"/>
      <c r="AI319" s="389" t="e">
        <f>P319*('upper bound Kenaga'!$F$96/100)</f>
        <v>#DIV/0!</v>
      </c>
      <c r="AJ319" s="36"/>
      <c r="AK319" s="36"/>
      <c r="AL319" s="36"/>
      <c r="AM319" s="36"/>
      <c r="AN319" s="36"/>
      <c r="AO319" s="36"/>
    </row>
    <row r="320" spans="10:41" s="1" customFormat="1">
      <c r="J320" s="6">
        <f>COUNTIF(K$21:K320,"=yes")</f>
        <v>1</v>
      </c>
      <c r="K320" s="533" t="str">
        <f>IF(LOOKUP(VALUE(M320),INPUTS!$G$6:$G$35)=M320,"yes","no")</f>
        <v>no</v>
      </c>
      <c r="L320" s="533">
        <f>IF(K320="yes",(LOOKUP(J320,INPUTS!$E$6:$E$35,INPUTS!$F$6:$F$35)),0)</f>
        <v>0</v>
      </c>
      <c r="M320" s="135">
        <f t="shared" si="74"/>
        <v>299</v>
      </c>
      <c r="N320" s="135">
        <f t="shared" si="75"/>
        <v>1</v>
      </c>
      <c r="O320" s="135">
        <f t="shared" si="76"/>
        <v>0</v>
      </c>
      <c r="P320" s="536" t="e">
        <f t="shared" si="77"/>
        <v>#DIV/0!</v>
      </c>
      <c r="Q320" s="537" t="e">
        <f t="shared" si="64"/>
        <v>#DIV/0!</v>
      </c>
      <c r="R320" s="538" t="e">
        <f>IF(INPUTS!$B$15="yes",Q320,P320)</f>
        <v>#DIV/0!</v>
      </c>
      <c r="S320" s="536" t="e">
        <f t="shared" si="65"/>
        <v>#DIV/0!</v>
      </c>
      <c r="T320" s="537" t="e">
        <f t="shared" si="66"/>
        <v>#DIV/0!</v>
      </c>
      <c r="U320" s="538" t="e">
        <f>IF(INPUTS!$B$15="yes",T320,S320)</f>
        <v>#DIV/0!</v>
      </c>
      <c r="V320" s="536" t="e">
        <f t="shared" si="67"/>
        <v>#DIV/0!</v>
      </c>
      <c r="W320" s="537" t="e">
        <f t="shared" si="68"/>
        <v>#DIV/0!</v>
      </c>
      <c r="X320" s="538" t="e">
        <f>IF(INPUTS!$B$15="yes",W320,V320)</f>
        <v>#DIV/0!</v>
      </c>
      <c r="Y320" s="536" t="e">
        <f t="shared" si="69"/>
        <v>#DIV/0!</v>
      </c>
      <c r="Z320" s="537" t="e">
        <f t="shared" si="70"/>
        <v>#DIV/0!</v>
      </c>
      <c r="AA320" s="538" t="e">
        <f>IF(INPUTS!$B$15="yes",Z320,Y320)</f>
        <v>#DIV/0!</v>
      </c>
      <c r="AB320" s="536" t="e">
        <f t="shared" si="71"/>
        <v>#DIV/0!</v>
      </c>
      <c r="AC320" s="537" t="e">
        <f t="shared" si="72"/>
        <v>#DIV/0!</v>
      </c>
      <c r="AD320" s="538" t="e">
        <f>IF(INPUTS!$B$15="yes",AC320,AB320)</f>
        <v>#DIV/0!</v>
      </c>
      <c r="AE320" s="36" t="str">
        <f t="shared" si="73"/>
        <v>no</v>
      </c>
      <c r="AF320" s="36"/>
      <c r="AG320" s="389" t="e">
        <f>P320*('upper bound Kenaga'!$F$36/100)</f>
        <v>#DIV/0!</v>
      </c>
      <c r="AH320" s="36"/>
      <c r="AI320" s="389" t="e">
        <f>P320*('upper bound Kenaga'!$F$96/100)</f>
        <v>#DIV/0!</v>
      </c>
      <c r="AJ320" s="36"/>
      <c r="AK320" s="36"/>
      <c r="AL320" s="36"/>
      <c r="AM320" s="36"/>
      <c r="AN320" s="36"/>
      <c r="AO320" s="36"/>
    </row>
    <row r="321" spans="10:41" s="1" customFormat="1">
      <c r="J321" s="6">
        <f>COUNTIF(K$21:K321,"=yes")</f>
        <v>1</v>
      </c>
      <c r="K321" s="533" t="str">
        <f>IF(LOOKUP(VALUE(M321),INPUTS!$G$6:$G$35)=M321,"yes","no")</f>
        <v>no</v>
      </c>
      <c r="L321" s="533">
        <f>IF(K321="yes",(LOOKUP(J321,INPUTS!$E$6:$E$35,INPUTS!$F$6:$F$35)),0)</f>
        <v>0</v>
      </c>
      <c r="M321" s="135">
        <f t="shared" si="74"/>
        <v>300</v>
      </c>
      <c r="N321" s="135">
        <f t="shared" si="75"/>
        <v>1</v>
      </c>
      <c r="O321" s="135">
        <f t="shared" si="76"/>
        <v>0</v>
      </c>
      <c r="P321" s="536" t="e">
        <f t="shared" si="77"/>
        <v>#DIV/0!</v>
      </c>
      <c r="Q321" s="537" t="e">
        <f t="shared" si="64"/>
        <v>#DIV/0!</v>
      </c>
      <c r="R321" s="538" t="e">
        <f>IF(INPUTS!$B$15="yes",Q321,P321)</f>
        <v>#DIV/0!</v>
      </c>
      <c r="S321" s="536" t="e">
        <f t="shared" si="65"/>
        <v>#DIV/0!</v>
      </c>
      <c r="T321" s="537" t="e">
        <f t="shared" si="66"/>
        <v>#DIV/0!</v>
      </c>
      <c r="U321" s="538" t="e">
        <f>IF(INPUTS!$B$15="yes",T321,S321)</f>
        <v>#DIV/0!</v>
      </c>
      <c r="V321" s="536" t="e">
        <f t="shared" si="67"/>
        <v>#DIV/0!</v>
      </c>
      <c r="W321" s="537" t="e">
        <f t="shared" si="68"/>
        <v>#DIV/0!</v>
      </c>
      <c r="X321" s="538" t="e">
        <f>IF(INPUTS!$B$15="yes",W321,V321)</f>
        <v>#DIV/0!</v>
      </c>
      <c r="Y321" s="536" t="e">
        <f t="shared" si="69"/>
        <v>#DIV/0!</v>
      </c>
      <c r="Z321" s="537" t="e">
        <f t="shared" si="70"/>
        <v>#DIV/0!</v>
      </c>
      <c r="AA321" s="538" t="e">
        <f>IF(INPUTS!$B$15="yes",Z321,Y321)</f>
        <v>#DIV/0!</v>
      </c>
      <c r="AB321" s="536" t="e">
        <f t="shared" si="71"/>
        <v>#DIV/0!</v>
      </c>
      <c r="AC321" s="537" t="e">
        <f t="shared" si="72"/>
        <v>#DIV/0!</v>
      </c>
      <c r="AD321" s="538" t="e">
        <f>IF(INPUTS!$B$15="yes",AC321,AB321)</f>
        <v>#DIV/0!</v>
      </c>
      <c r="AE321" s="36" t="str">
        <f t="shared" si="73"/>
        <v>no</v>
      </c>
      <c r="AF321" s="36"/>
      <c r="AG321" s="389" t="e">
        <f>P321*('upper bound Kenaga'!$F$36/100)</f>
        <v>#DIV/0!</v>
      </c>
      <c r="AH321" s="36"/>
      <c r="AI321" s="389" t="e">
        <f>P321*('upper bound Kenaga'!$F$96/100)</f>
        <v>#DIV/0!</v>
      </c>
      <c r="AJ321" s="36"/>
      <c r="AK321" s="36"/>
      <c r="AL321" s="36"/>
      <c r="AM321" s="36"/>
      <c r="AN321" s="36"/>
      <c r="AO321" s="36"/>
    </row>
    <row r="322" spans="10:41" s="1" customFormat="1">
      <c r="J322" s="6">
        <f>COUNTIF(K$21:K322,"=yes")</f>
        <v>1</v>
      </c>
      <c r="K322" s="533" t="str">
        <f>IF(LOOKUP(VALUE(M322),INPUTS!$G$6:$G$35)=M322,"yes","no")</f>
        <v>no</v>
      </c>
      <c r="L322" s="533">
        <f>IF(K322="yes",(LOOKUP(J322,INPUTS!$E$6:$E$35,INPUTS!$F$6:$F$35)),0)</f>
        <v>0</v>
      </c>
      <c r="M322" s="135">
        <f t="shared" si="74"/>
        <v>301</v>
      </c>
      <c r="N322" s="135">
        <f t="shared" si="75"/>
        <v>1</v>
      </c>
      <c r="O322" s="135">
        <f t="shared" si="76"/>
        <v>0</v>
      </c>
      <c r="P322" s="536" t="e">
        <f t="shared" si="77"/>
        <v>#DIV/0!</v>
      </c>
      <c r="Q322" s="537" t="e">
        <f t="shared" si="64"/>
        <v>#DIV/0!</v>
      </c>
      <c r="R322" s="538" t="e">
        <f>IF(INPUTS!$B$15="yes",Q322,P322)</f>
        <v>#DIV/0!</v>
      </c>
      <c r="S322" s="536" t="e">
        <f t="shared" si="65"/>
        <v>#DIV/0!</v>
      </c>
      <c r="T322" s="537" t="e">
        <f t="shared" si="66"/>
        <v>#DIV/0!</v>
      </c>
      <c r="U322" s="538" t="e">
        <f>IF(INPUTS!$B$15="yes",T322,S322)</f>
        <v>#DIV/0!</v>
      </c>
      <c r="V322" s="536" t="e">
        <f t="shared" si="67"/>
        <v>#DIV/0!</v>
      </c>
      <c r="W322" s="537" t="e">
        <f t="shared" si="68"/>
        <v>#DIV/0!</v>
      </c>
      <c r="X322" s="538" t="e">
        <f>IF(INPUTS!$B$15="yes",W322,V322)</f>
        <v>#DIV/0!</v>
      </c>
      <c r="Y322" s="536" t="e">
        <f t="shared" si="69"/>
        <v>#DIV/0!</v>
      </c>
      <c r="Z322" s="537" t="e">
        <f t="shared" si="70"/>
        <v>#DIV/0!</v>
      </c>
      <c r="AA322" s="538" t="e">
        <f>IF(INPUTS!$B$15="yes",Z322,Y322)</f>
        <v>#DIV/0!</v>
      </c>
      <c r="AB322" s="536" t="e">
        <f t="shared" si="71"/>
        <v>#DIV/0!</v>
      </c>
      <c r="AC322" s="537" t="e">
        <f t="shared" si="72"/>
        <v>#DIV/0!</v>
      </c>
      <c r="AD322" s="538" t="e">
        <f>IF(INPUTS!$B$15="yes",AC322,AB322)</f>
        <v>#DIV/0!</v>
      </c>
      <c r="AE322" s="36" t="str">
        <f t="shared" si="73"/>
        <v>no</v>
      </c>
      <c r="AF322" s="36"/>
      <c r="AG322" s="389" t="e">
        <f>P322*('upper bound Kenaga'!$F$36/100)</f>
        <v>#DIV/0!</v>
      </c>
      <c r="AH322" s="36"/>
      <c r="AI322" s="389" t="e">
        <f>P322*('upper bound Kenaga'!$F$96/100)</f>
        <v>#DIV/0!</v>
      </c>
      <c r="AJ322" s="36"/>
      <c r="AK322" s="36"/>
      <c r="AL322" s="36"/>
      <c r="AM322" s="36"/>
      <c r="AN322" s="36"/>
      <c r="AO322" s="36"/>
    </row>
    <row r="323" spans="10:41" s="1" customFormat="1">
      <c r="J323" s="6">
        <f>COUNTIF(K$21:K323,"=yes")</f>
        <v>1</v>
      </c>
      <c r="K323" s="533" t="str">
        <f>IF(LOOKUP(VALUE(M323),INPUTS!$G$6:$G$35)=M323,"yes","no")</f>
        <v>no</v>
      </c>
      <c r="L323" s="533">
        <f>IF(K323="yes",(LOOKUP(J323,INPUTS!$E$6:$E$35,INPUTS!$F$6:$F$35)),0)</f>
        <v>0</v>
      </c>
      <c r="M323" s="135">
        <f t="shared" si="74"/>
        <v>302</v>
      </c>
      <c r="N323" s="135">
        <f t="shared" si="75"/>
        <v>1</v>
      </c>
      <c r="O323" s="135">
        <f t="shared" si="76"/>
        <v>0</v>
      </c>
      <c r="P323" s="536" t="e">
        <f t="shared" si="77"/>
        <v>#DIV/0!</v>
      </c>
      <c r="Q323" s="537" t="e">
        <f t="shared" si="64"/>
        <v>#DIV/0!</v>
      </c>
      <c r="R323" s="538" t="e">
        <f>IF(INPUTS!$B$15="yes",Q323,P323)</f>
        <v>#DIV/0!</v>
      </c>
      <c r="S323" s="536" t="e">
        <f t="shared" si="65"/>
        <v>#DIV/0!</v>
      </c>
      <c r="T323" s="537" t="e">
        <f t="shared" si="66"/>
        <v>#DIV/0!</v>
      </c>
      <c r="U323" s="538" t="e">
        <f>IF(INPUTS!$B$15="yes",T323,S323)</f>
        <v>#DIV/0!</v>
      </c>
      <c r="V323" s="536" t="e">
        <f t="shared" si="67"/>
        <v>#DIV/0!</v>
      </c>
      <c r="W323" s="537" t="e">
        <f t="shared" si="68"/>
        <v>#DIV/0!</v>
      </c>
      <c r="X323" s="538" t="e">
        <f>IF(INPUTS!$B$15="yes",W323,V323)</f>
        <v>#DIV/0!</v>
      </c>
      <c r="Y323" s="536" t="e">
        <f t="shared" si="69"/>
        <v>#DIV/0!</v>
      </c>
      <c r="Z323" s="537" t="e">
        <f t="shared" si="70"/>
        <v>#DIV/0!</v>
      </c>
      <c r="AA323" s="538" t="e">
        <f>IF(INPUTS!$B$15="yes",Z323,Y323)</f>
        <v>#DIV/0!</v>
      </c>
      <c r="AB323" s="536" t="e">
        <f t="shared" si="71"/>
        <v>#DIV/0!</v>
      </c>
      <c r="AC323" s="537" t="e">
        <f t="shared" si="72"/>
        <v>#DIV/0!</v>
      </c>
      <c r="AD323" s="538" t="e">
        <f>IF(INPUTS!$B$15="yes",AC323,AB323)</f>
        <v>#DIV/0!</v>
      </c>
      <c r="AE323" s="36" t="str">
        <f t="shared" si="73"/>
        <v>no</v>
      </c>
      <c r="AF323" s="36"/>
      <c r="AG323" s="389" t="e">
        <f>P323*('upper bound Kenaga'!$F$36/100)</f>
        <v>#DIV/0!</v>
      </c>
      <c r="AH323" s="36"/>
      <c r="AI323" s="389" t="e">
        <f>P323*('upper bound Kenaga'!$F$96/100)</f>
        <v>#DIV/0!</v>
      </c>
      <c r="AJ323" s="36"/>
      <c r="AK323" s="36"/>
      <c r="AL323" s="36"/>
      <c r="AM323" s="36"/>
      <c r="AN323" s="36"/>
      <c r="AO323" s="36"/>
    </row>
    <row r="324" spans="10:41" s="1" customFormat="1">
      <c r="J324" s="6">
        <f>COUNTIF(K$21:K324,"=yes")</f>
        <v>1</v>
      </c>
      <c r="K324" s="533" t="str">
        <f>IF(LOOKUP(VALUE(M324),INPUTS!$G$6:$G$35)=M324,"yes","no")</f>
        <v>no</v>
      </c>
      <c r="L324" s="533">
        <f>IF(K324="yes",(LOOKUP(J324,INPUTS!$E$6:$E$35,INPUTS!$F$6:$F$35)),0)</f>
        <v>0</v>
      </c>
      <c r="M324" s="135">
        <f t="shared" si="74"/>
        <v>303</v>
      </c>
      <c r="N324" s="135">
        <f t="shared" si="75"/>
        <v>1</v>
      </c>
      <c r="O324" s="135">
        <f t="shared" si="76"/>
        <v>0</v>
      </c>
      <c r="P324" s="536" t="e">
        <f t="shared" si="77"/>
        <v>#DIV/0!</v>
      </c>
      <c r="Q324" s="537" t="e">
        <f t="shared" si="64"/>
        <v>#DIV/0!</v>
      </c>
      <c r="R324" s="538" t="e">
        <f>IF(INPUTS!$B$15="yes",Q324,P324)</f>
        <v>#DIV/0!</v>
      </c>
      <c r="S324" s="536" t="e">
        <f t="shared" si="65"/>
        <v>#DIV/0!</v>
      </c>
      <c r="T324" s="537" t="e">
        <f t="shared" si="66"/>
        <v>#DIV/0!</v>
      </c>
      <c r="U324" s="538" t="e">
        <f>IF(INPUTS!$B$15="yes",T324,S324)</f>
        <v>#DIV/0!</v>
      </c>
      <c r="V324" s="536" t="e">
        <f t="shared" si="67"/>
        <v>#DIV/0!</v>
      </c>
      <c r="W324" s="537" t="e">
        <f t="shared" si="68"/>
        <v>#DIV/0!</v>
      </c>
      <c r="X324" s="538" t="e">
        <f>IF(INPUTS!$B$15="yes",W324,V324)</f>
        <v>#DIV/0!</v>
      </c>
      <c r="Y324" s="536" t="e">
        <f t="shared" si="69"/>
        <v>#DIV/0!</v>
      </c>
      <c r="Z324" s="537" t="e">
        <f t="shared" si="70"/>
        <v>#DIV/0!</v>
      </c>
      <c r="AA324" s="538" t="e">
        <f>IF(INPUTS!$B$15="yes",Z324,Y324)</f>
        <v>#DIV/0!</v>
      </c>
      <c r="AB324" s="536" t="e">
        <f t="shared" si="71"/>
        <v>#DIV/0!</v>
      </c>
      <c r="AC324" s="537" t="e">
        <f t="shared" si="72"/>
        <v>#DIV/0!</v>
      </c>
      <c r="AD324" s="538" t="e">
        <f>IF(INPUTS!$B$15="yes",AC324,AB324)</f>
        <v>#DIV/0!</v>
      </c>
      <c r="AE324" s="36" t="str">
        <f t="shared" si="73"/>
        <v>no</v>
      </c>
      <c r="AF324" s="36"/>
      <c r="AG324" s="389" t="e">
        <f>P324*('upper bound Kenaga'!$F$36/100)</f>
        <v>#DIV/0!</v>
      </c>
      <c r="AH324" s="36"/>
      <c r="AI324" s="389" t="e">
        <f>P324*('upper bound Kenaga'!$F$96/100)</f>
        <v>#DIV/0!</v>
      </c>
      <c r="AJ324" s="36"/>
      <c r="AK324" s="36"/>
      <c r="AL324" s="36"/>
      <c r="AM324" s="36"/>
      <c r="AN324" s="36"/>
      <c r="AO324" s="36"/>
    </row>
    <row r="325" spans="10:41" s="1" customFormat="1">
      <c r="J325" s="6">
        <f>COUNTIF(K$21:K325,"=yes")</f>
        <v>1</v>
      </c>
      <c r="K325" s="533" t="str">
        <f>IF(LOOKUP(VALUE(M325),INPUTS!$G$6:$G$35)=M325,"yes","no")</f>
        <v>no</v>
      </c>
      <c r="L325" s="533">
        <f>IF(K325="yes",(LOOKUP(J325,INPUTS!$E$6:$E$35,INPUTS!$F$6:$F$35)),0)</f>
        <v>0</v>
      </c>
      <c r="M325" s="135">
        <f t="shared" si="74"/>
        <v>304</v>
      </c>
      <c r="N325" s="135">
        <f t="shared" si="75"/>
        <v>1</v>
      </c>
      <c r="O325" s="135">
        <f t="shared" si="76"/>
        <v>0</v>
      </c>
      <c r="P325" s="536" t="e">
        <f t="shared" si="77"/>
        <v>#DIV/0!</v>
      </c>
      <c r="Q325" s="537" t="e">
        <f t="shared" si="64"/>
        <v>#DIV/0!</v>
      </c>
      <c r="R325" s="538" t="e">
        <f>IF(INPUTS!$B$15="yes",Q325,P325)</f>
        <v>#DIV/0!</v>
      </c>
      <c r="S325" s="536" t="e">
        <f t="shared" si="65"/>
        <v>#DIV/0!</v>
      </c>
      <c r="T325" s="537" t="e">
        <f t="shared" si="66"/>
        <v>#DIV/0!</v>
      </c>
      <c r="U325" s="538" t="e">
        <f>IF(INPUTS!$B$15="yes",T325,S325)</f>
        <v>#DIV/0!</v>
      </c>
      <c r="V325" s="536" t="e">
        <f t="shared" si="67"/>
        <v>#DIV/0!</v>
      </c>
      <c r="W325" s="537" t="e">
        <f t="shared" si="68"/>
        <v>#DIV/0!</v>
      </c>
      <c r="X325" s="538" t="e">
        <f>IF(INPUTS!$B$15="yes",W325,V325)</f>
        <v>#DIV/0!</v>
      </c>
      <c r="Y325" s="536" t="e">
        <f t="shared" si="69"/>
        <v>#DIV/0!</v>
      </c>
      <c r="Z325" s="537" t="e">
        <f t="shared" si="70"/>
        <v>#DIV/0!</v>
      </c>
      <c r="AA325" s="538" t="e">
        <f>IF(INPUTS!$B$15="yes",Z325,Y325)</f>
        <v>#DIV/0!</v>
      </c>
      <c r="AB325" s="536" t="e">
        <f t="shared" si="71"/>
        <v>#DIV/0!</v>
      </c>
      <c r="AC325" s="537" t="e">
        <f t="shared" si="72"/>
        <v>#DIV/0!</v>
      </c>
      <c r="AD325" s="538" t="e">
        <f>IF(INPUTS!$B$15="yes",AC325,AB325)</f>
        <v>#DIV/0!</v>
      </c>
      <c r="AE325" s="36" t="str">
        <f t="shared" si="73"/>
        <v>no</v>
      </c>
      <c r="AF325" s="36"/>
      <c r="AG325" s="389" t="e">
        <f>P325*('upper bound Kenaga'!$F$36/100)</f>
        <v>#DIV/0!</v>
      </c>
      <c r="AH325" s="36"/>
      <c r="AI325" s="389" t="e">
        <f>P325*('upper bound Kenaga'!$F$96/100)</f>
        <v>#DIV/0!</v>
      </c>
      <c r="AJ325" s="36"/>
      <c r="AK325" s="36"/>
      <c r="AL325" s="36"/>
      <c r="AM325" s="36"/>
      <c r="AN325" s="36"/>
      <c r="AO325" s="36"/>
    </row>
    <row r="326" spans="10:41" s="1" customFormat="1">
      <c r="J326" s="6">
        <f>COUNTIF(K$21:K326,"=yes")</f>
        <v>1</v>
      </c>
      <c r="K326" s="533" t="str">
        <f>IF(LOOKUP(VALUE(M326),INPUTS!$G$6:$G$35)=M326,"yes","no")</f>
        <v>no</v>
      </c>
      <c r="L326" s="533">
        <f>IF(K326="yes",(LOOKUP(J326,INPUTS!$E$6:$E$35,INPUTS!$F$6:$F$35)),0)</f>
        <v>0</v>
      </c>
      <c r="M326" s="135">
        <f t="shared" si="74"/>
        <v>305</v>
      </c>
      <c r="N326" s="135">
        <f t="shared" si="75"/>
        <v>1</v>
      </c>
      <c r="O326" s="135">
        <f t="shared" si="76"/>
        <v>0</v>
      </c>
      <c r="P326" s="536" t="e">
        <f t="shared" si="77"/>
        <v>#DIV/0!</v>
      </c>
      <c r="Q326" s="537" t="e">
        <f t="shared" si="64"/>
        <v>#DIV/0!</v>
      </c>
      <c r="R326" s="538" t="e">
        <f>IF(INPUTS!$B$15="yes",Q326,P326)</f>
        <v>#DIV/0!</v>
      </c>
      <c r="S326" s="536" t="e">
        <f t="shared" si="65"/>
        <v>#DIV/0!</v>
      </c>
      <c r="T326" s="537" t="e">
        <f t="shared" si="66"/>
        <v>#DIV/0!</v>
      </c>
      <c r="U326" s="538" t="e">
        <f>IF(INPUTS!$B$15="yes",T326,S326)</f>
        <v>#DIV/0!</v>
      </c>
      <c r="V326" s="536" t="e">
        <f t="shared" si="67"/>
        <v>#DIV/0!</v>
      </c>
      <c r="W326" s="537" t="e">
        <f t="shared" si="68"/>
        <v>#DIV/0!</v>
      </c>
      <c r="X326" s="538" t="e">
        <f>IF(INPUTS!$B$15="yes",W326,V326)</f>
        <v>#DIV/0!</v>
      </c>
      <c r="Y326" s="536" t="e">
        <f t="shared" si="69"/>
        <v>#DIV/0!</v>
      </c>
      <c r="Z326" s="537" t="e">
        <f t="shared" si="70"/>
        <v>#DIV/0!</v>
      </c>
      <c r="AA326" s="538" t="e">
        <f>IF(INPUTS!$B$15="yes",Z326,Y326)</f>
        <v>#DIV/0!</v>
      </c>
      <c r="AB326" s="536" t="e">
        <f t="shared" si="71"/>
        <v>#DIV/0!</v>
      </c>
      <c r="AC326" s="537" t="e">
        <f t="shared" si="72"/>
        <v>#DIV/0!</v>
      </c>
      <c r="AD326" s="538" t="e">
        <f>IF(INPUTS!$B$15="yes",AC326,AB326)</f>
        <v>#DIV/0!</v>
      </c>
      <c r="AE326" s="36" t="str">
        <f t="shared" si="73"/>
        <v>no</v>
      </c>
      <c r="AF326" s="36"/>
      <c r="AG326" s="389" t="e">
        <f>P326*('upper bound Kenaga'!$F$36/100)</f>
        <v>#DIV/0!</v>
      </c>
      <c r="AH326" s="36"/>
      <c r="AI326" s="389" t="e">
        <f>P326*('upper bound Kenaga'!$F$96/100)</f>
        <v>#DIV/0!</v>
      </c>
      <c r="AJ326" s="36"/>
      <c r="AK326" s="36"/>
      <c r="AL326" s="36"/>
      <c r="AM326" s="36"/>
      <c r="AN326" s="36"/>
      <c r="AO326" s="36"/>
    </row>
    <row r="327" spans="10:41" s="1" customFormat="1">
      <c r="J327" s="6">
        <f>COUNTIF(K$21:K327,"=yes")</f>
        <v>1</v>
      </c>
      <c r="K327" s="533" t="str">
        <f>IF(LOOKUP(VALUE(M327),INPUTS!$G$6:$G$35)=M327,"yes","no")</f>
        <v>no</v>
      </c>
      <c r="L327" s="533">
        <f>IF(K327="yes",(LOOKUP(J327,INPUTS!$E$6:$E$35,INPUTS!$F$6:$F$35)),0)</f>
        <v>0</v>
      </c>
      <c r="M327" s="135">
        <f t="shared" si="74"/>
        <v>306</v>
      </c>
      <c r="N327" s="135">
        <f t="shared" si="75"/>
        <v>1</v>
      </c>
      <c r="O327" s="135">
        <f t="shared" si="76"/>
        <v>0</v>
      </c>
      <c r="P327" s="536" t="e">
        <f t="shared" si="77"/>
        <v>#DIV/0!</v>
      </c>
      <c r="Q327" s="537" t="e">
        <f t="shared" si="64"/>
        <v>#DIV/0!</v>
      </c>
      <c r="R327" s="538" t="e">
        <f>IF(INPUTS!$B$15="yes",Q327,P327)</f>
        <v>#DIV/0!</v>
      </c>
      <c r="S327" s="536" t="e">
        <f t="shared" si="65"/>
        <v>#DIV/0!</v>
      </c>
      <c r="T327" s="537" t="e">
        <f t="shared" si="66"/>
        <v>#DIV/0!</v>
      </c>
      <c r="U327" s="538" t="e">
        <f>IF(INPUTS!$B$15="yes",T327,S327)</f>
        <v>#DIV/0!</v>
      </c>
      <c r="V327" s="536" t="e">
        <f t="shared" si="67"/>
        <v>#DIV/0!</v>
      </c>
      <c r="W327" s="537" t="e">
        <f t="shared" si="68"/>
        <v>#DIV/0!</v>
      </c>
      <c r="X327" s="538" t="e">
        <f>IF(INPUTS!$B$15="yes",W327,V327)</f>
        <v>#DIV/0!</v>
      </c>
      <c r="Y327" s="536" t="e">
        <f t="shared" si="69"/>
        <v>#DIV/0!</v>
      </c>
      <c r="Z327" s="537" t="e">
        <f t="shared" si="70"/>
        <v>#DIV/0!</v>
      </c>
      <c r="AA327" s="538" t="e">
        <f>IF(INPUTS!$B$15="yes",Z327,Y327)</f>
        <v>#DIV/0!</v>
      </c>
      <c r="AB327" s="536" t="e">
        <f t="shared" si="71"/>
        <v>#DIV/0!</v>
      </c>
      <c r="AC327" s="537" t="e">
        <f t="shared" si="72"/>
        <v>#DIV/0!</v>
      </c>
      <c r="AD327" s="538" t="e">
        <f>IF(INPUTS!$B$15="yes",AC327,AB327)</f>
        <v>#DIV/0!</v>
      </c>
      <c r="AE327" s="36" t="str">
        <f t="shared" si="73"/>
        <v>no</v>
      </c>
      <c r="AF327" s="36"/>
      <c r="AG327" s="389" t="e">
        <f>P327*('upper bound Kenaga'!$F$36/100)</f>
        <v>#DIV/0!</v>
      </c>
      <c r="AH327" s="36"/>
      <c r="AI327" s="389" t="e">
        <f>P327*('upper bound Kenaga'!$F$96/100)</f>
        <v>#DIV/0!</v>
      </c>
      <c r="AJ327" s="36"/>
      <c r="AK327" s="36"/>
      <c r="AL327" s="36"/>
      <c r="AM327" s="36"/>
      <c r="AN327" s="36"/>
      <c r="AO327" s="36"/>
    </row>
    <row r="328" spans="10:41" s="1" customFormat="1">
      <c r="J328" s="6">
        <f>COUNTIF(K$21:K328,"=yes")</f>
        <v>1</v>
      </c>
      <c r="K328" s="533" t="str">
        <f>IF(LOOKUP(VALUE(M328),INPUTS!$G$6:$G$35)=M328,"yes","no")</f>
        <v>no</v>
      </c>
      <c r="L328" s="533">
        <f>IF(K328="yes",(LOOKUP(J328,INPUTS!$E$6:$E$35,INPUTS!$F$6:$F$35)),0)</f>
        <v>0</v>
      </c>
      <c r="M328" s="135">
        <f t="shared" si="74"/>
        <v>307</v>
      </c>
      <c r="N328" s="135">
        <f t="shared" si="75"/>
        <v>1</v>
      </c>
      <c r="O328" s="135">
        <f t="shared" si="76"/>
        <v>0</v>
      </c>
      <c r="P328" s="536" t="e">
        <f t="shared" si="77"/>
        <v>#DIV/0!</v>
      </c>
      <c r="Q328" s="537" t="e">
        <f t="shared" si="64"/>
        <v>#DIV/0!</v>
      </c>
      <c r="R328" s="538" t="e">
        <f>IF(INPUTS!$B$15="yes",Q328,P328)</f>
        <v>#DIV/0!</v>
      </c>
      <c r="S328" s="536" t="e">
        <f t="shared" si="65"/>
        <v>#DIV/0!</v>
      </c>
      <c r="T328" s="537" t="e">
        <f t="shared" si="66"/>
        <v>#DIV/0!</v>
      </c>
      <c r="U328" s="538" t="e">
        <f>IF(INPUTS!$B$15="yes",T328,S328)</f>
        <v>#DIV/0!</v>
      </c>
      <c r="V328" s="536" t="e">
        <f t="shared" si="67"/>
        <v>#DIV/0!</v>
      </c>
      <c r="W328" s="537" t="e">
        <f t="shared" si="68"/>
        <v>#DIV/0!</v>
      </c>
      <c r="X328" s="538" t="e">
        <f>IF(INPUTS!$B$15="yes",W328,V328)</f>
        <v>#DIV/0!</v>
      </c>
      <c r="Y328" s="536" t="e">
        <f t="shared" si="69"/>
        <v>#DIV/0!</v>
      </c>
      <c r="Z328" s="537" t="e">
        <f t="shared" si="70"/>
        <v>#DIV/0!</v>
      </c>
      <c r="AA328" s="538" t="e">
        <f>IF(INPUTS!$B$15="yes",Z328,Y328)</f>
        <v>#DIV/0!</v>
      </c>
      <c r="AB328" s="536" t="e">
        <f t="shared" si="71"/>
        <v>#DIV/0!</v>
      </c>
      <c r="AC328" s="537" t="e">
        <f t="shared" si="72"/>
        <v>#DIV/0!</v>
      </c>
      <c r="AD328" s="538" t="e">
        <f>IF(INPUTS!$B$15="yes",AC328,AB328)</f>
        <v>#DIV/0!</v>
      </c>
      <c r="AE328" s="36" t="str">
        <f t="shared" si="73"/>
        <v>no</v>
      </c>
      <c r="AF328" s="36"/>
      <c r="AG328" s="389" t="e">
        <f>P328*('upper bound Kenaga'!$F$36/100)</f>
        <v>#DIV/0!</v>
      </c>
      <c r="AH328" s="36"/>
      <c r="AI328" s="389" t="e">
        <f>P328*('upper bound Kenaga'!$F$96/100)</f>
        <v>#DIV/0!</v>
      </c>
      <c r="AJ328" s="36"/>
      <c r="AK328" s="36"/>
      <c r="AL328" s="36"/>
      <c r="AM328" s="36"/>
      <c r="AN328" s="36"/>
      <c r="AO328" s="36"/>
    </row>
    <row r="329" spans="10:41" s="1" customFormat="1">
      <c r="J329" s="6">
        <f>COUNTIF(K$21:K329,"=yes")</f>
        <v>1</v>
      </c>
      <c r="K329" s="533" t="str">
        <f>IF(LOOKUP(VALUE(M329),INPUTS!$G$6:$G$35)=M329,"yes","no")</f>
        <v>no</v>
      </c>
      <c r="L329" s="533">
        <f>IF(K329="yes",(LOOKUP(J329,INPUTS!$E$6:$E$35,INPUTS!$F$6:$F$35)),0)</f>
        <v>0</v>
      </c>
      <c r="M329" s="135">
        <f t="shared" si="74"/>
        <v>308</v>
      </c>
      <c r="N329" s="135">
        <f t="shared" si="75"/>
        <v>1</v>
      </c>
      <c r="O329" s="135">
        <f t="shared" si="76"/>
        <v>0</v>
      </c>
      <c r="P329" s="536" t="e">
        <f t="shared" si="77"/>
        <v>#DIV/0!</v>
      </c>
      <c r="Q329" s="537" t="e">
        <f t="shared" si="64"/>
        <v>#DIV/0!</v>
      </c>
      <c r="R329" s="538" t="e">
        <f>IF(INPUTS!$B$15="yes",Q329,P329)</f>
        <v>#DIV/0!</v>
      </c>
      <c r="S329" s="536" t="e">
        <f t="shared" si="65"/>
        <v>#DIV/0!</v>
      </c>
      <c r="T329" s="537" t="e">
        <f t="shared" si="66"/>
        <v>#DIV/0!</v>
      </c>
      <c r="U329" s="538" t="e">
        <f>IF(INPUTS!$B$15="yes",T329,S329)</f>
        <v>#DIV/0!</v>
      </c>
      <c r="V329" s="536" t="e">
        <f t="shared" si="67"/>
        <v>#DIV/0!</v>
      </c>
      <c r="W329" s="537" t="e">
        <f t="shared" si="68"/>
        <v>#DIV/0!</v>
      </c>
      <c r="X329" s="538" t="e">
        <f>IF(INPUTS!$B$15="yes",W329,V329)</f>
        <v>#DIV/0!</v>
      </c>
      <c r="Y329" s="536" t="e">
        <f t="shared" si="69"/>
        <v>#DIV/0!</v>
      </c>
      <c r="Z329" s="537" t="e">
        <f t="shared" si="70"/>
        <v>#DIV/0!</v>
      </c>
      <c r="AA329" s="538" t="e">
        <f>IF(INPUTS!$B$15="yes",Z329,Y329)</f>
        <v>#DIV/0!</v>
      </c>
      <c r="AB329" s="536" t="e">
        <f t="shared" si="71"/>
        <v>#DIV/0!</v>
      </c>
      <c r="AC329" s="537" t="e">
        <f t="shared" si="72"/>
        <v>#DIV/0!</v>
      </c>
      <c r="AD329" s="538" t="e">
        <f>IF(INPUTS!$B$15="yes",AC329,AB329)</f>
        <v>#DIV/0!</v>
      </c>
      <c r="AE329" s="36" t="str">
        <f t="shared" si="73"/>
        <v>no</v>
      </c>
      <c r="AF329" s="36"/>
      <c r="AG329" s="389" t="e">
        <f>P329*('upper bound Kenaga'!$F$36/100)</f>
        <v>#DIV/0!</v>
      </c>
      <c r="AH329" s="36"/>
      <c r="AI329" s="389" t="e">
        <f>P329*('upper bound Kenaga'!$F$96/100)</f>
        <v>#DIV/0!</v>
      </c>
      <c r="AJ329" s="36"/>
      <c r="AK329" s="36"/>
      <c r="AL329" s="36"/>
      <c r="AM329" s="36"/>
      <c r="AN329" s="36"/>
      <c r="AO329" s="36"/>
    </row>
    <row r="330" spans="10:41" s="1" customFormat="1">
      <c r="J330" s="6">
        <f>COUNTIF(K$21:K330,"=yes")</f>
        <v>1</v>
      </c>
      <c r="K330" s="533" t="str">
        <f>IF(LOOKUP(VALUE(M330),INPUTS!$G$6:$G$35)=M330,"yes","no")</f>
        <v>no</v>
      </c>
      <c r="L330" s="533">
        <f>IF(K330="yes",(LOOKUP(J330,INPUTS!$E$6:$E$35,INPUTS!$F$6:$F$35)),0)</f>
        <v>0</v>
      </c>
      <c r="M330" s="135">
        <f t="shared" si="74"/>
        <v>309</v>
      </c>
      <c r="N330" s="135">
        <f t="shared" si="75"/>
        <v>1</v>
      </c>
      <c r="O330" s="135">
        <f t="shared" si="76"/>
        <v>0</v>
      </c>
      <c r="P330" s="536" t="e">
        <f t="shared" si="77"/>
        <v>#DIV/0!</v>
      </c>
      <c r="Q330" s="537" t="e">
        <f t="shared" si="64"/>
        <v>#DIV/0!</v>
      </c>
      <c r="R330" s="538" t="e">
        <f>IF(INPUTS!$B$15="yes",Q330,P330)</f>
        <v>#DIV/0!</v>
      </c>
      <c r="S330" s="536" t="e">
        <f t="shared" si="65"/>
        <v>#DIV/0!</v>
      </c>
      <c r="T330" s="537" t="e">
        <f t="shared" si="66"/>
        <v>#DIV/0!</v>
      </c>
      <c r="U330" s="538" t="e">
        <f>IF(INPUTS!$B$15="yes",T330,S330)</f>
        <v>#DIV/0!</v>
      </c>
      <c r="V330" s="536" t="e">
        <f t="shared" si="67"/>
        <v>#DIV/0!</v>
      </c>
      <c r="W330" s="537" t="e">
        <f t="shared" si="68"/>
        <v>#DIV/0!</v>
      </c>
      <c r="X330" s="538" t="e">
        <f>IF(INPUTS!$B$15="yes",W330,V330)</f>
        <v>#DIV/0!</v>
      </c>
      <c r="Y330" s="536" t="e">
        <f t="shared" si="69"/>
        <v>#DIV/0!</v>
      </c>
      <c r="Z330" s="537" t="e">
        <f t="shared" si="70"/>
        <v>#DIV/0!</v>
      </c>
      <c r="AA330" s="538" t="e">
        <f>IF(INPUTS!$B$15="yes",Z330,Y330)</f>
        <v>#DIV/0!</v>
      </c>
      <c r="AB330" s="536" t="e">
        <f t="shared" si="71"/>
        <v>#DIV/0!</v>
      </c>
      <c r="AC330" s="537" t="e">
        <f t="shared" si="72"/>
        <v>#DIV/0!</v>
      </c>
      <c r="AD330" s="538" t="e">
        <f>IF(INPUTS!$B$15="yes",AC330,AB330)</f>
        <v>#DIV/0!</v>
      </c>
      <c r="AE330" s="36" t="str">
        <f t="shared" si="73"/>
        <v>no</v>
      </c>
      <c r="AF330" s="36"/>
      <c r="AG330" s="389" t="e">
        <f>P330*('upper bound Kenaga'!$F$36/100)</f>
        <v>#DIV/0!</v>
      </c>
      <c r="AH330" s="36"/>
      <c r="AI330" s="389" t="e">
        <f>P330*('upper bound Kenaga'!$F$96/100)</f>
        <v>#DIV/0!</v>
      </c>
      <c r="AJ330" s="36"/>
      <c r="AK330" s="36"/>
      <c r="AL330" s="36"/>
      <c r="AM330" s="36"/>
      <c r="AN330" s="36"/>
      <c r="AO330" s="36"/>
    </row>
    <row r="331" spans="10:41" s="1" customFormat="1">
      <c r="J331" s="6">
        <f>COUNTIF(K$21:K331,"=yes")</f>
        <v>1</v>
      </c>
      <c r="K331" s="533" t="str">
        <f>IF(LOOKUP(VALUE(M331),INPUTS!$G$6:$G$35)=M331,"yes","no")</f>
        <v>no</v>
      </c>
      <c r="L331" s="533">
        <f>IF(K331="yes",(LOOKUP(J331,INPUTS!$E$6:$E$35,INPUTS!$F$6:$F$35)),0)</f>
        <v>0</v>
      </c>
      <c r="M331" s="135">
        <f t="shared" si="74"/>
        <v>310</v>
      </c>
      <c r="N331" s="135">
        <f t="shared" si="75"/>
        <v>1</v>
      </c>
      <c r="O331" s="135">
        <f t="shared" si="76"/>
        <v>0</v>
      </c>
      <c r="P331" s="536" t="e">
        <f t="shared" si="77"/>
        <v>#DIV/0!</v>
      </c>
      <c r="Q331" s="537" t="e">
        <f t="shared" si="64"/>
        <v>#DIV/0!</v>
      </c>
      <c r="R331" s="538" t="e">
        <f>IF(INPUTS!$B$15="yes",Q331,P331)</f>
        <v>#DIV/0!</v>
      </c>
      <c r="S331" s="536" t="e">
        <f t="shared" si="65"/>
        <v>#DIV/0!</v>
      </c>
      <c r="T331" s="537" t="e">
        <f t="shared" si="66"/>
        <v>#DIV/0!</v>
      </c>
      <c r="U331" s="538" t="e">
        <f>IF(INPUTS!$B$15="yes",T331,S331)</f>
        <v>#DIV/0!</v>
      </c>
      <c r="V331" s="536" t="e">
        <f t="shared" si="67"/>
        <v>#DIV/0!</v>
      </c>
      <c r="W331" s="537" t="e">
        <f t="shared" si="68"/>
        <v>#DIV/0!</v>
      </c>
      <c r="X331" s="538" t="e">
        <f>IF(INPUTS!$B$15="yes",W331,V331)</f>
        <v>#DIV/0!</v>
      </c>
      <c r="Y331" s="536" t="e">
        <f t="shared" si="69"/>
        <v>#DIV/0!</v>
      </c>
      <c r="Z331" s="537" t="e">
        <f t="shared" si="70"/>
        <v>#DIV/0!</v>
      </c>
      <c r="AA331" s="538" t="e">
        <f>IF(INPUTS!$B$15="yes",Z331,Y331)</f>
        <v>#DIV/0!</v>
      </c>
      <c r="AB331" s="536" t="e">
        <f t="shared" si="71"/>
        <v>#DIV/0!</v>
      </c>
      <c r="AC331" s="537" t="e">
        <f t="shared" si="72"/>
        <v>#DIV/0!</v>
      </c>
      <c r="AD331" s="538" t="e">
        <f>IF(INPUTS!$B$15="yes",AC331,AB331)</f>
        <v>#DIV/0!</v>
      </c>
      <c r="AE331" s="36" t="str">
        <f t="shared" si="73"/>
        <v>no</v>
      </c>
      <c r="AF331" s="36"/>
      <c r="AG331" s="389" t="e">
        <f>P331*('upper bound Kenaga'!$F$36/100)</f>
        <v>#DIV/0!</v>
      </c>
      <c r="AH331" s="36"/>
      <c r="AI331" s="389" t="e">
        <f>P331*('upper bound Kenaga'!$F$96/100)</f>
        <v>#DIV/0!</v>
      </c>
      <c r="AJ331" s="36"/>
      <c r="AK331" s="36"/>
      <c r="AL331" s="36"/>
      <c r="AM331" s="36"/>
      <c r="AN331" s="36"/>
      <c r="AO331" s="36"/>
    </row>
    <row r="332" spans="10:41" s="1" customFormat="1">
      <c r="J332" s="6">
        <f>COUNTIF(K$21:K332,"=yes")</f>
        <v>1</v>
      </c>
      <c r="K332" s="533" t="str">
        <f>IF(LOOKUP(VALUE(M332),INPUTS!$G$6:$G$35)=M332,"yes","no")</f>
        <v>no</v>
      </c>
      <c r="L332" s="533">
        <f>IF(K332="yes",(LOOKUP(J332,INPUTS!$E$6:$E$35,INPUTS!$F$6:$F$35)),0)</f>
        <v>0</v>
      </c>
      <c r="M332" s="135">
        <f t="shared" si="74"/>
        <v>311</v>
      </c>
      <c r="N332" s="135">
        <f t="shared" si="75"/>
        <v>1</v>
      </c>
      <c r="O332" s="135">
        <f t="shared" si="76"/>
        <v>0</v>
      </c>
      <c r="P332" s="536" t="e">
        <f t="shared" si="77"/>
        <v>#DIV/0!</v>
      </c>
      <c r="Q332" s="537" t="e">
        <f t="shared" si="64"/>
        <v>#DIV/0!</v>
      </c>
      <c r="R332" s="538" t="e">
        <f>IF(INPUTS!$B$15="yes",Q332,P332)</f>
        <v>#DIV/0!</v>
      </c>
      <c r="S332" s="536" t="e">
        <f t="shared" si="65"/>
        <v>#DIV/0!</v>
      </c>
      <c r="T332" s="537" t="e">
        <f t="shared" si="66"/>
        <v>#DIV/0!</v>
      </c>
      <c r="U332" s="538" t="e">
        <f>IF(INPUTS!$B$15="yes",T332,S332)</f>
        <v>#DIV/0!</v>
      </c>
      <c r="V332" s="536" t="e">
        <f t="shared" si="67"/>
        <v>#DIV/0!</v>
      </c>
      <c r="W332" s="537" t="e">
        <f t="shared" si="68"/>
        <v>#DIV/0!</v>
      </c>
      <c r="X332" s="538" t="e">
        <f>IF(INPUTS!$B$15="yes",W332,V332)</f>
        <v>#DIV/0!</v>
      </c>
      <c r="Y332" s="536" t="e">
        <f t="shared" si="69"/>
        <v>#DIV/0!</v>
      </c>
      <c r="Z332" s="537" t="e">
        <f t="shared" si="70"/>
        <v>#DIV/0!</v>
      </c>
      <c r="AA332" s="538" t="e">
        <f>IF(INPUTS!$B$15="yes",Z332,Y332)</f>
        <v>#DIV/0!</v>
      </c>
      <c r="AB332" s="536" t="e">
        <f t="shared" si="71"/>
        <v>#DIV/0!</v>
      </c>
      <c r="AC332" s="537" t="e">
        <f t="shared" si="72"/>
        <v>#DIV/0!</v>
      </c>
      <c r="AD332" s="538" t="e">
        <f>IF(INPUTS!$B$15="yes",AC332,AB332)</f>
        <v>#DIV/0!</v>
      </c>
      <c r="AE332" s="36" t="str">
        <f t="shared" si="73"/>
        <v>no</v>
      </c>
      <c r="AF332" s="36"/>
      <c r="AG332" s="389" t="e">
        <f>P332*('upper bound Kenaga'!$F$36/100)</f>
        <v>#DIV/0!</v>
      </c>
      <c r="AH332" s="36"/>
      <c r="AI332" s="389" t="e">
        <f>P332*('upper bound Kenaga'!$F$96/100)</f>
        <v>#DIV/0!</v>
      </c>
      <c r="AJ332" s="36"/>
      <c r="AK332" s="36"/>
      <c r="AL332" s="36"/>
      <c r="AM332" s="36"/>
      <c r="AN332" s="36"/>
      <c r="AO332" s="36"/>
    </row>
    <row r="333" spans="10:41" s="1" customFormat="1">
      <c r="J333" s="6">
        <f>COUNTIF(K$21:K333,"=yes")</f>
        <v>1</v>
      </c>
      <c r="K333" s="533" t="str">
        <f>IF(LOOKUP(VALUE(M333),INPUTS!$G$6:$G$35)=M333,"yes","no")</f>
        <v>no</v>
      </c>
      <c r="L333" s="533">
        <f>IF(K333="yes",(LOOKUP(J333,INPUTS!$E$6:$E$35,INPUTS!$F$6:$F$35)),0)</f>
        <v>0</v>
      </c>
      <c r="M333" s="135">
        <f t="shared" si="74"/>
        <v>312</v>
      </c>
      <c r="N333" s="135">
        <f t="shared" si="75"/>
        <v>1</v>
      </c>
      <c r="O333" s="135">
        <f t="shared" si="76"/>
        <v>0</v>
      </c>
      <c r="P333" s="536" t="e">
        <f t="shared" si="77"/>
        <v>#DIV/0!</v>
      </c>
      <c r="Q333" s="537" t="e">
        <f t="shared" si="64"/>
        <v>#DIV/0!</v>
      </c>
      <c r="R333" s="538" t="e">
        <f>IF(INPUTS!$B$15="yes",Q333,P333)</f>
        <v>#DIV/0!</v>
      </c>
      <c r="S333" s="536" t="e">
        <f t="shared" si="65"/>
        <v>#DIV/0!</v>
      </c>
      <c r="T333" s="537" t="e">
        <f t="shared" si="66"/>
        <v>#DIV/0!</v>
      </c>
      <c r="U333" s="538" t="e">
        <f>IF(INPUTS!$B$15="yes",T333,S333)</f>
        <v>#DIV/0!</v>
      </c>
      <c r="V333" s="536" t="e">
        <f t="shared" si="67"/>
        <v>#DIV/0!</v>
      </c>
      <c r="W333" s="537" t="e">
        <f t="shared" si="68"/>
        <v>#DIV/0!</v>
      </c>
      <c r="X333" s="538" t="e">
        <f>IF(INPUTS!$B$15="yes",W333,V333)</f>
        <v>#DIV/0!</v>
      </c>
      <c r="Y333" s="536" t="e">
        <f t="shared" si="69"/>
        <v>#DIV/0!</v>
      </c>
      <c r="Z333" s="537" t="e">
        <f t="shared" si="70"/>
        <v>#DIV/0!</v>
      </c>
      <c r="AA333" s="538" t="e">
        <f>IF(INPUTS!$B$15="yes",Z333,Y333)</f>
        <v>#DIV/0!</v>
      </c>
      <c r="AB333" s="536" t="e">
        <f t="shared" si="71"/>
        <v>#DIV/0!</v>
      </c>
      <c r="AC333" s="537" t="e">
        <f t="shared" si="72"/>
        <v>#DIV/0!</v>
      </c>
      <c r="AD333" s="538" t="e">
        <f>IF(INPUTS!$B$15="yes",AC333,AB333)</f>
        <v>#DIV/0!</v>
      </c>
      <c r="AE333" s="36" t="str">
        <f t="shared" si="73"/>
        <v>no</v>
      </c>
      <c r="AF333" s="36"/>
      <c r="AG333" s="389" t="e">
        <f>P333*('upper bound Kenaga'!$F$36/100)</f>
        <v>#DIV/0!</v>
      </c>
      <c r="AH333" s="36"/>
      <c r="AI333" s="389" t="e">
        <f>P333*('upper bound Kenaga'!$F$96/100)</f>
        <v>#DIV/0!</v>
      </c>
      <c r="AJ333" s="36"/>
      <c r="AK333" s="36"/>
      <c r="AL333" s="36"/>
      <c r="AM333" s="36"/>
      <c r="AN333" s="36"/>
      <c r="AO333" s="36"/>
    </row>
    <row r="334" spans="10:41" s="1" customFormat="1">
      <c r="J334" s="6">
        <f>COUNTIF(K$21:K334,"=yes")</f>
        <v>1</v>
      </c>
      <c r="K334" s="533" t="str">
        <f>IF(LOOKUP(VALUE(M334),INPUTS!$G$6:$G$35)=M334,"yes","no")</f>
        <v>no</v>
      </c>
      <c r="L334" s="533">
        <f>IF(K334="yes",(LOOKUP(J334,INPUTS!$E$6:$E$35,INPUTS!$F$6:$F$35)),0)</f>
        <v>0</v>
      </c>
      <c r="M334" s="135">
        <f t="shared" si="74"/>
        <v>313</v>
      </c>
      <c r="N334" s="135">
        <f t="shared" si="75"/>
        <v>1</v>
      </c>
      <c r="O334" s="135">
        <f t="shared" si="76"/>
        <v>0</v>
      </c>
      <c r="P334" s="536" t="e">
        <f t="shared" si="77"/>
        <v>#DIV/0!</v>
      </c>
      <c r="Q334" s="537" t="e">
        <f t="shared" si="64"/>
        <v>#DIV/0!</v>
      </c>
      <c r="R334" s="538" t="e">
        <f>IF(INPUTS!$B$15="yes",Q334,P334)</f>
        <v>#DIV/0!</v>
      </c>
      <c r="S334" s="536" t="e">
        <f t="shared" si="65"/>
        <v>#DIV/0!</v>
      </c>
      <c r="T334" s="537" t="e">
        <f t="shared" si="66"/>
        <v>#DIV/0!</v>
      </c>
      <c r="U334" s="538" t="e">
        <f>IF(INPUTS!$B$15="yes",T334,S334)</f>
        <v>#DIV/0!</v>
      </c>
      <c r="V334" s="536" t="e">
        <f t="shared" si="67"/>
        <v>#DIV/0!</v>
      </c>
      <c r="W334" s="537" t="e">
        <f t="shared" si="68"/>
        <v>#DIV/0!</v>
      </c>
      <c r="X334" s="538" t="e">
        <f>IF(INPUTS!$B$15="yes",W334,V334)</f>
        <v>#DIV/0!</v>
      </c>
      <c r="Y334" s="536" t="e">
        <f t="shared" si="69"/>
        <v>#DIV/0!</v>
      </c>
      <c r="Z334" s="537" t="e">
        <f t="shared" si="70"/>
        <v>#DIV/0!</v>
      </c>
      <c r="AA334" s="538" t="e">
        <f>IF(INPUTS!$B$15="yes",Z334,Y334)</f>
        <v>#DIV/0!</v>
      </c>
      <c r="AB334" s="536" t="e">
        <f t="shared" si="71"/>
        <v>#DIV/0!</v>
      </c>
      <c r="AC334" s="537" t="e">
        <f t="shared" si="72"/>
        <v>#DIV/0!</v>
      </c>
      <c r="AD334" s="538" t="e">
        <f>IF(INPUTS!$B$15="yes",AC334,AB334)</f>
        <v>#DIV/0!</v>
      </c>
      <c r="AE334" s="36" t="str">
        <f t="shared" si="73"/>
        <v>no</v>
      </c>
      <c r="AF334" s="36"/>
      <c r="AG334" s="389" t="e">
        <f>P334*('upper bound Kenaga'!$F$36/100)</f>
        <v>#DIV/0!</v>
      </c>
      <c r="AH334" s="36"/>
      <c r="AI334" s="389" t="e">
        <f>P334*('upper bound Kenaga'!$F$96/100)</f>
        <v>#DIV/0!</v>
      </c>
      <c r="AJ334" s="36"/>
      <c r="AK334" s="36"/>
      <c r="AL334" s="36"/>
      <c r="AM334" s="36"/>
      <c r="AN334" s="36"/>
      <c r="AO334" s="36"/>
    </row>
    <row r="335" spans="10:41" s="1" customFormat="1">
      <c r="J335" s="6">
        <f>COUNTIF(K$21:K335,"=yes")</f>
        <v>1</v>
      </c>
      <c r="K335" s="533" t="str">
        <f>IF(LOOKUP(VALUE(M335),INPUTS!$G$6:$G$35)=M335,"yes","no")</f>
        <v>no</v>
      </c>
      <c r="L335" s="533">
        <f>IF(K335="yes",(LOOKUP(J335,INPUTS!$E$6:$E$35,INPUTS!$F$6:$F$35)),0)</f>
        <v>0</v>
      </c>
      <c r="M335" s="135">
        <f t="shared" si="74"/>
        <v>314</v>
      </c>
      <c r="N335" s="135">
        <f t="shared" si="75"/>
        <v>1</v>
      </c>
      <c r="O335" s="135">
        <f t="shared" si="76"/>
        <v>0</v>
      </c>
      <c r="P335" s="536" t="e">
        <f t="shared" si="77"/>
        <v>#DIV/0!</v>
      </c>
      <c r="Q335" s="537" t="e">
        <f t="shared" si="64"/>
        <v>#DIV/0!</v>
      </c>
      <c r="R335" s="538" t="e">
        <f>IF(INPUTS!$B$15="yes",Q335,P335)</f>
        <v>#DIV/0!</v>
      </c>
      <c r="S335" s="536" t="e">
        <f t="shared" si="65"/>
        <v>#DIV/0!</v>
      </c>
      <c r="T335" s="537" t="e">
        <f t="shared" si="66"/>
        <v>#DIV/0!</v>
      </c>
      <c r="U335" s="538" t="e">
        <f>IF(INPUTS!$B$15="yes",T335,S335)</f>
        <v>#DIV/0!</v>
      </c>
      <c r="V335" s="536" t="e">
        <f t="shared" si="67"/>
        <v>#DIV/0!</v>
      </c>
      <c r="W335" s="537" t="e">
        <f t="shared" si="68"/>
        <v>#DIV/0!</v>
      </c>
      <c r="X335" s="538" t="e">
        <f>IF(INPUTS!$B$15="yes",W335,V335)</f>
        <v>#DIV/0!</v>
      </c>
      <c r="Y335" s="536" t="e">
        <f t="shared" si="69"/>
        <v>#DIV/0!</v>
      </c>
      <c r="Z335" s="537" t="e">
        <f t="shared" si="70"/>
        <v>#DIV/0!</v>
      </c>
      <c r="AA335" s="538" t="e">
        <f>IF(INPUTS!$B$15="yes",Z335,Y335)</f>
        <v>#DIV/0!</v>
      </c>
      <c r="AB335" s="536" t="e">
        <f t="shared" si="71"/>
        <v>#DIV/0!</v>
      </c>
      <c r="AC335" s="537" t="e">
        <f t="shared" si="72"/>
        <v>#DIV/0!</v>
      </c>
      <c r="AD335" s="538" t="e">
        <f>IF(INPUTS!$B$15="yes",AC335,AB335)</f>
        <v>#DIV/0!</v>
      </c>
      <c r="AE335" s="36" t="str">
        <f t="shared" si="73"/>
        <v>no</v>
      </c>
      <c r="AF335" s="36"/>
      <c r="AG335" s="389" t="e">
        <f>P335*('upper bound Kenaga'!$F$36/100)</f>
        <v>#DIV/0!</v>
      </c>
      <c r="AH335" s="36"/>
      <c r="AI335" s="389" t="e">
        <f>P335*('upper bound Kenaga'!$F$96/100)</f>
        <v>#DIV/0!</v>
      </c>
      <c r="AJ335" s="36"/>
      <c r="AK335" s="36"/>
      <c r="AL335" s="36"/>
      <c r="AM335" s="36"/>
      <c r="AN335" s="36"/>
      <c r="AO335" s="36"/>
    </row>
    <row r="336" spans="10:41" s="1" customFormat="1">
      <c r="J336" s="6">
        <f>COUNTIF(K$21:K336,"=yes")</f>
        <v>1</v>
      </c>
      <c r="K336" s="533" t="str">
        <f>IF(LOOKUP(VALUE(M336),INPUTS!$G$6:$G$35)=M336,"yes","no")</f>
        <v>no</v>
      </c>
      <c r="L336" s="533">
        <f>IF(K336="yes",(LOOKUP(J336,INPUTS!$E$6:$E$35,INPUTS!$F$6:$F$35)),0)</f>
        <v>0</v>
      </c>
      <c r="M336" s="135">
        <f t="shared" si="74"/>
        <v>315</v>
      </c>
      <c r="N336" s="135">
        <f t="shared" si="75"/>
        <v>1</v>
      </c>
      <c r="O336" s="135">
        <f t="shared" si="76"/>
        <v>0</v>
      </c>
      <c r="P336" s="536" t="e">
        <f t="shared" si="77"/>
        <v>#DIV/0!</v>
      </c>
      <c r="Q336" s="537" t="e">
        <f t="shared" si="64"/>
        <v>#DIV/0!</v>
      </c>
      <c r="R336" s="538" t="e">
        <f>IF(INPUTS!$B$15="yes",Q336,P336)</f>
        <v>#DIV/0!</v>
      </c>
      <c r="S336" s="536" t="e">
        <f t="shared" si="65"/>
        <v>#DIV/0!</v>
      </c>
      <c r="T336" s="537" t="e">
        <f t="shared" si="66"/>
        <v>#DIV/0!</v>
      </c>
      <c r="U336" s="538" t="e">
        <f>IF(INPUTS!$B$15="yes",T336,S336)</f>
        <v>#DIV/0!</v>
      </c>
      <c r="V336" s="536" t="e">
        <f t="shared" si="67"/>
        <v>#DIV/0!</v>
      </c>
      <c r="W336" s="537" t="e">
        <f t="shared" si="68"/>
        <v>#DIV/0!</v>
      </c>
      <c r="X336" s="538" t="e">
        <f>IF(INPUTS!$B$15="yes",W336,V336)</f>
        <v>#DIV/0!</v>
      </c>
      <c r="Y336" s="536" t="e">
        <f t="shared" si="69"/>
        <v>#DIV/0!</v>
      </c>
      <c r="Z336" s="537" t="e">
        <f t="shared" si="70"/>
        <v>#DIV/0!</v>
      </c>
      <c r="AA336" s="538" t="e">
        <f>IF(INPUTS!$B$15="yes",Z336,Y336)</f>
        <v>#DIV/0!</v>
      </c>
      <c r="AB336" s="536" t="e">
        <f t="shared" si="71"/>
        <v>#DIV/0!</v>
      </c>
      <c r="AC336" s="537" t="e">
        <f t="shared" si="72"/>
        <v>#DIV/0!</v>
      </c>
      <c r="AD336" s="538" t="e">
        <f>IF(INPUTS!$B$15="yes",AC336,AB336)</f>
        <v>#DIV/0!</v>
      </c>
      <c r="AE336" s="36" t="str">
        <f t="shared" si="73"/>
        <v>no</v>
      </c>
      <c r="AF336" s="36"/>
      <c r="AG336" s="389" t="e">
        <f>P336*('upper bound Kenaga'!$F$36/100)</f>
        <v>#DIV/0!</v>
      </c>
      <c r="AH336" s="36"/>
      <c r="AI336" s="389" t="e">
        <f>P336*('upper bound Kenaga'!$F$96/100)</f>
        <v>#DIV/0!</v>
      </c>
      <c r="AJ336" s="36"/>
      <c r="AK336" s="36"/>
      <c r="AL336" s="36"/>
      <c r="AM336" s="36"/>
      <c r="AN336" s="36"/>
      <c r="AO336" s="36"/>
    </row>
    <row r="337" spans="10:41" s="1" customFormat="1">
      <c r="J337" s="6">
        <f>COUNTIF(K$21:K337,"=yes")</f>
        <v>1</v>
      </c>
      <c r="K337" s="533" t="str">
        <f>IF(LOOKUP(VALUE(M337),INPUTS!$G$6:$G$35)=M337,"yes","no")</f>
        <v>no</v>
      </c>
      <c r="L337" s="533">
        <f>IF(K337="yes",(LOOKUP(J337,INPUTS!$E$6:$E$35,INPUTS!$F$6:$F$35)),0)</f>
        <v>0</v>
      </c>
      <c r="M337" s="135">
        <f t="shared" si="74"/>
        <v>316</v>
      </c>
      <c r="N337" s="135">
        <f t="shared" si="75"/>
        <v>1</v>
      </c>
      <c r="O337" s="135">
        <f t="shared" si="76"/>
        <v>0</v>
      </c>
      <c r="P337" s="536" t="e">
        <f t="shared" si="77"/>
        <v>#DIV/0!</v>
      </c>
      <c r="Q337" s="537" t="e">
        <f t="shared" si="64"/>
        <v>#DIV/0!</v>
      </c>
      <c r="R337" s="538" t="e">
        <f>IF(INPUTS!$B$15="yes",Q337,P337)</f>
        <v>#DIV/0!</v>
      </c>
      <c r="S337" s="536" t="e">
        <f t="shared" si="65"/>
        <v>#DIV/0!</v>
      </c>
      <c r="T337" s="537" t="e">
        <f t="shared" si="66"/>
        <v>#DIV/0!</v>
      </c>
      <c r="U337" s="538" t="e">
        <f>IF(INPUTS!$B$15="yes",T337,S337)</f>
        <v>#DIV/0!</v>
      </c>
      <c r="V337" s="536" t="e">
        <f t="shared" si="67"/>
        <v>#DIV/0!</v>
      </c>
      <c r="W337" s="537" t="e">
        <f t="shared" si="68"/>
        <v>#DIV/0!</v>
      </c>
      <c r="X337" s="538" t="e">
        <f>IF(INPUTS!$B$15="yes",W337,V337)</f>
        <v>#DIV/0!</v>
      </c>
      <c r="Y337" s="536" t="e">
        <f t="shared" si="69"/>
        <v>#DIV/0!</v>
      </c>
      <c r="Z337" s="537" t="e">
        <f t="shared" si="70"/>
        <v>#DIV/0!</v>
      </c>
      <c r="AA337" s="538" t="e">
        <f>IF(INPUTS!$B$15="yes",Z337,Y337)</f>
        <v>#DIV/0!</v>
      </c>
      <c r="AB337" s="536" t="e">
        <f t="shared" si="71"/>
        <v>#DIV/0!</v>
      </c>
      <c r="AC337" s="537" t="e">
        <f t="shared" si="72"/>
        <v>#DIV/0!</v>
      </c>
      <c r="AD337" s="538" t="e">
        <f>IF(INPUTS!$B$15="yes",AC337,AB337)</f>
        <v>#DIV/0!</v>
      </c>
      <c r="AE337" s="36" t="str">
        <f t="shared" si="73"/>
        <v>no</v>
      </c>
      <c r="AF337" s="36"/>
      <c r="AG337" s="389" t="e">
        <f>P337*('upper bound Kenaga'!$F$36/100)</f>
        <v>#DIV/0!</v>
      </c>
      <c r="AH337" s="36"/>
      <c r="AI337" s="389" t="e">
        <f>P337*('upper bound Kenaga'!$F$96/100)</f>
        <v>#DIV/0!</v>
      </c>
      <c r="AJ337" s="36"/>
      <c r="AK337" s="36"/>
      <c r="AL337" s="36"/>
      <c r="AM337" s="36"/>
      <c r="AN337" s="36"/>
      <c r="AO337" s="36"/>
    </row>
    <row r="338" spans="10:41" s="1" customFormat="1">
      <c r="J338" s="6">
        <f>COUNTIF(K$21:K338,"=yes")</f>
        <v>1</v>
      </c>
      <c r="K338" s="533" t="str">
        <f>IF(LOOKUP(VALUE(M338),INPUTS!$G$6:$G$35)=M338,"yes","no")</f>
        <v>no</v>
      </c>
      <c r="L338" s="533">
        <f>IF(K338="yes",(LOOKUP(J338,INPUTS!$E$6:$E$35,INPUTS!$F$6:$F$35)),0)</f>
        <v>0</v>
      </c>
      <c r="M338" s="135">
        <f t="shared" si="74"/>
        <v>317</v>
      </c>
      <c r="N338" s="135">
        <f t="shared" si="75"/>
        <v>1</v>
      </c>
      <c r="O338" s="135">
        <f t="shared" si="76"/>
        <v>0</v>
      </c>
      <c r="P338" s="536" t="e">
        <f t="shared" si="77"/>
        <v>#DIV/0!</v>
      </c>
      <c r="Q338" s="537" t="e">
        <f t="shared" si="64"/>
        <v>#DIV/0!</v>
      </c>
      <c r="R338" s="538" t="e">
        <f>IF(INPUTS!$B$15="yes",Q338,P338)</f>
        <v>#DIV/0!</v>
      </c>
      <c r="S338" s="536" t="e">
        <f t="shared" si="65"/>
        <v>#DIV/0!</v>
      </c>
      <c r="T338" s="537" t="e">
        <f t="shared" si="66"/>
        <v>#DIV/0!</v>
      </c>
      <c r="U338" s="538" t="e">
        <f>IF(INPUTS!$B$15="yes",T338,S338)</f>
        <v>#DIV/0!</v>
      </c>
      <c r="V338" s="536" t="e">
        <f t="shared" si="67"/>
        <v>#DIV/0!</v>
      </c>
      <c r="W338" s="537" t="e">
        <f t="shared" si="68"/>
        <v>#DIV/0!</v>
      </c>
      <c r="X338" s="538" t="e">
        <f>IF(INPUTS!$B$15="yes",W338,V338)</f>
        <v>#DIV/0!</v>
      </c>
      <c r="Y338" s="536" t="e">
        <f t="shared" si="69"/>
        <v>#DIV/0!</v>
      </c>
      <c r="Z338" s="537" t="e">
        <f t="shared" si="70"/>
        <v>#DIV/0!</v>
      </c>
      <c r="AA338" s="538" t="e">
        <f>IF(INPUTS!$B$15="yes",Z338,Y338)</f>
        <v>#DIV/0!</v>
      </c>
      <c r="AB338" s="536" t="e">
        <f t="shared" si="71"/>
        <v>#DIV/0!</v>
      </c>
      <c r="AC338" s="537" t="e">
        <f t="shared" si="72"/>
        <v>#DIV/0!</v>
      </c>
      <c r="AD338" s="538" t="e">
        <f>IF(INPUTS!$B$15="yes",AC338,AB338)</f>
        <v>#DIV/0!</v>
      </c>
      <c r="AE338" s="36" t="str">
        <f t="shared" si="73"/>
        <v>no</v>
      </c>
      <c r="AF338" s="36"/>
      <c r="AG338" s="389" t="e">
        <f>P338*('upper bound Kenaga'!$F$36/100)</f>
        <v>#DIV/0!</v>
      </c>
      <c r="AH338" s="36"/>
      <c r="AI338" s="389" t="e">
        <f>P338*('upper bound Kenaga'!$F$96/100)</f>
        <v>#DIV/0!</v>
      </c>
      <c r="AJ338" s="36"/>
      <c r="AK338" s="36"/>
      <c r="AL338" s="36"/>
      <c r="AM338" s="36"/>
      <c r="AN338" s="36"/>
      <c r="AO338" s="36"/>
    </row>
    <row r="339" spans="10:41" s="1" customFormat="1">
      <c r="J339" s="6">
        <f>COUNTIF(K$21:K339,"=yes")</f>
        <v>1</v>
      </c>
      <c r="K339" s="533" t="str">
        <f>IF(LOOKUP(VALUE(M339),INPUTS!$G$6:$G$35)=M339,"yes","no")</f>
        <v>no</v>
      </c>
      <c r="L339" s="533">
        <f>IF(K339="yes",(LOOKUP(J339,INPUTS!$E$6:$E$35,INPUTS!$F$6:$F$35)),0)</f>
        <v>0</v>
      </c>
      <c r="M339" s="135">
        <f t="shared" si="74"/>
        <v>318</v>
      </c>
      <c r="N339" s="135">
        <f t="shared" si="75"/>
        <v>1</v>
      </c>
      <c r="O339" s="135">
        <f t="shared" si="76"/>
        <v>0</v>
      </c>
      <c r="P339" s="536" t="e">
        <f t="shared" si="77"/>
        <v>#DIV/0!</v>
      </c>
      <c r="Q339" s="537" t="e">
        <f t="shared" si="64"/>
        <v>#DIV/0!</v>
      </c>
      <c r="R339" s="538" t="e">
        <f>IF(INPUTS!$B$15="yes",Q339,P339)</f>
        <v>#DIV/0!</v>
      </c>
      <c r="S339" s="536" t="e">
        <f t="shared" si="65"/>
        <v>#DIV/0!</v>
      </c>
      <c r="T339" s="537" t="e">
        <f t="shared" si="66"/>
        <v>#DIV/0!</v>
      </c>
      <c r="U339" s="538" t="e">
        <f>IF(INPUTS!$B$15="yes",T339,S339)</f>
        <v>#DIV/0!</v>
      </c>
      <c r="V339" s="536" t="e">
        <f t="shared" si="67"/>
        <v>#DIV/0!</v>
      </c>
      <c r="W339" s="537" t="e">
        <f t="shared" si="68"/>
        <v>#DIV/0!</v>
      </c>
      <c r="X339" s="538" t="e">
        <f>IF(INPUTS!$B$15="yes",W339,V339)</f>
        <v>#DIV/0!</v>
      </c>
      <c r="Y339" s="536" t="e">
        <f t="shared" si="69"/>
        <v>#DIV/0!</v>
      </c>
      <c r="Z339" s="537" t="e">
        <f t="shared" si="70"/>
        <v>#DIV/0!</v>
      </c>
      <c r="AA339" s="538" t="e">
        <f>IF(INPUTS!$B$15="yes",Z339,Y339)</f>
        <v>#DIV/0!</v>
      </c>
      <c r="AB339" s="536" t="e">
        <f t="shared" si="71"/>
        <v>#DIV/0!</v>
      </c>
      <c r="AC339" s="537" t="e">
        <f t="shared" si="72"/>
        <v>#DIV/0!</v>
      </c>
      <c r="AD339" s="538" t="e">
        <f>IF(INPUTS!$B$15="yes",AC339,AB339)</f>
        <v>#DIV/0!</v>
      </c>
      <c r="AE339" s="36" t="str">
        <f t="shared" si="73"/>
        <v>no</v>
      </c>
      <c r="AF339" s="36"/>
      <c r="AG339" s="389" t="e">
        <f>P339*('upper bound Kenaga'!$F$36/100)</f>
        <v>#DIV/0!</v>
      </c>
      <c r="AH339" s="36"/>
      <c r="AI339" s="389" t="e">
        <f>P339*('upper bound Kenaga'!$F$96/100)</f>
        <v>#DIV/0!</v>
      </c>
      <c r="AJ339" s="36"/>
      <c r="AK339" s="36"/>
      <c r="AL339" s="36"/>
      <c r="AM339" s="36"/>
      <c r="AN339" s="36"/>
      <c r="AO339" s="36"/>
    </row>
    <row r="340" spans="10:41" s="1" customFormat="1">
      <c r="J340" s="6">
        <f>COUNTIF(K$21:K340,"=yes")</f>
        <v>1</v>
      </c>
      <c r="K340" s="533" t="str">
        <f>IF(LOOKUP(VALUE(M340),INPUTS!$G$6:$G$35)=M340,"yes","no")</f>
        <v>no</v>
      </c>
      <c r="L340" s="533">
        <f>IF(K340="yes",(LOOKUP(J340,INPUTS!$E$6:$E$35,INPUTS!$F$6:$F$35)),0)</f>
        <v>0</v>
      </c>
      <c r="M340" s="135">
        <f t="shared" si="74"/>
        <v>319</v>
      </c>
      <c r="N340" s="135">
        <f t="shared" si="75"/>
        <v>1</v>
      </c>
      <c r="O340" s="135">
        <f t="shared" si="76"/>
        <v>0</v>
      </c>
      <c r="P340" s="536" t="e">
        <f t="shared" si="77"/>
        <v>#DIV/0!</v>
      </c>
      <c r="Q340" s="537" t="e">
        <f t="shared" si="64"/>
        <v>#DIV/0!</v>
      </c>
      <c r="R340" s="538" t="e">
        <f>IF(INPUTS!$B$15="yes",Q340,P340)</f>
        <v>#DIV/0!</v>
      </c>
      <c r="S340" s="536" t="e">
        <f t="shared" si="65"/>
        <v>#DIV/0!</v>
      </c>
      <c r="T340" s="537" t="e">
        <f t="shared" si="66"/>
        <v>#DIV/0!</v>
      </c>
      <c r="U340" s="538" t="e">
        <f>IF(INPUTS!$B$15="yes",T340,S340)</f>
        <v>#DIV/0!</v>
      </c>
      <c r="V340" s="536" t="e">
        <f t="shared" si="67"/>
        <v>#DIV/0!</v>
      </c>
      <c r="W340" s="537" t="e">
        <f t="shared" si="68"/>
        <v>#DIV/0!</v>
      </c>
      <c r="X340" s="538" t="e">
        <f>IF(INPUTS!$B$15="yes",W340,V340)</f>
        <v>#DIV/0!</v>
      </c>
      <c r="Y340" s="536" t="e">
        <f t="shared" si="69"/>
        <v>#DIV/0!</v>
      </c>
      <c r="Z340" s="537" t="e">
        <f t="shared" si="70"/>
        <v>#DIV/0!</v>
      </c>
      <c r="AA340" s="538" t="e">
        <f>IF(INPUTS!$B$15="yes",Z340,Y340)</f>
        <v>#DIV/0!</v>
      </c>
      <c r="AB340" s="536" t="e">
        <f t="shared" si="71"/>
        <v>#DIV/0!</v>
      </c>
      <c r="AC340" s="537" t="e">
        <f t="shared" si="72"/>
        <v>#DIV/0!</v>
      </c>
      <c r="AD340" s="538" t="e">
        <f>IF(INPUTS!$B$15="yes",AC340,AB340)</f>
        <v>#DIV/0!</v>
      </c>
      <c r="AE340" s="36" t="str">
        <f t="shared" si="73"/>
        <v>no</v>
      </c>
      <c r="AF340" s="36"/>
      <c r="AG340" s="389" t="e">
        <f>P340*('upper bound Kenaga'!$F$36/100)</f>
        <v>#DIV/0!</v>
      </c>
      <c r="AH340" s="36"/>
      <c r="AI340" s="389" t="e">
        <f>P340*('upper bound Kenaga'!$F$96/100)</f>
        <v>#DIV/0!</v>
      </c>
      <c r="AJ340" s="36"/>
      <c r="AK340" s="36"/>
      <c r="AL340" s="36"/>
      <c r="AM340" s="36"/>
      <c r="AN340" s="36"/>
      <c r="AO340" s="36"/>
    </row>
    <row r="341" spans="10:41" s="1" customFormat="1">
      <c r="J341" s="6">
        <f>COUNTIF(K$21:K341,"=yes")</f>
        <v>1</v>
      </c>
      <c r="K341" s="533" t="str">
        <f>IF(LOOKUP(VALUE(M341),INPUTS!$G$6:$G$35)=M341,"yes","no")</f>
        <v>no</v>
      </c>
      <c r="L341" s="533">
        <f>IF(K341="yes",(LOOKUP(J341,INPUTS!$E$6:$E$35,INPUTS!$F$6:$F$35)),0)</f>
        <v>0</v>
      </c>
      <c r="M341" s="135">
        <f t="shared" si="74"/>
        <v>320</v>
      </c>
      <c r="N341" s="135">
        <f t="shared" si="75"/>
        <v>1</v>
      </c>
      <c r="O341" s="135">
        <f t="shared" si="76"/>
        <v>0</v>
      </c>
      <c r="P341" s="536" t="e">
        <f t="shared" si="77"/>
        <v>#DIV/0!</v>
      </c>
      <c r="Q341" s="537" t="e">
        <f t="shared" si="64"/>
        <v>#DIV/0!</v>
      </c>
      <c r="R341" s="538" t="e">
        <f>IF(INPUTS!$B$15="yes",Q341,P341)</f>
        <v>#DIV/0!</v>
      </c>
      <c r="S341" s="536" t="e">
        <f t="shared" si="65"/>
        <v>#DIV/0!</v>
      </c>
      <c r="T341" s="537" t="e">
        <f t="shared" si="66"/>
        <v>#DIV/0!</v>
      </c>
      <c r="U341" s="538" t="e">
        <f>IF(INPUTS!$B$15="yes",T341,S341)</f>
        <v>#DIV/0!</v>
      </c>
      <c r="V341" s="536" t="e">
        <f t="shared" si="67"/>
        <v>#DIV/0!</v>
      </c>
      <c r="W341" s="537" t="e">
        <f t="shared" si="68"/>
        <v>#DIV/0!</v>
      </c>
      <c r="X341" s="538" t="e">
        <f>IF(INPUTS!$B$15="yes",W341,V341)</f>
        <v>#DIV/0!</v>
      </c>
      <c r="Y341" s="536" t="e">
        <f t="shared" si="69"/>
        <v>#DIV/0!</v>
      </c>
      <c r="Z341" s="537" t="e">
        <f t="shared" si="70"/>
        <v>#DIV/0!</v>
      </c>
      <c r="AA341" s="538" t="e">
        <f>IF(INPUTS!$B$15="yes",Z341,Y341)</f>
        <v>#DIV/0!</v>
      </c>
      <c r="AB341" s="536" t="e">
        <f t="shared" si="71"/>
        <v>#DIV/0!</v>
      </c>
      <c r="AC341" s="537" t="e">
        <f t="shared" si="72"/>
        <v>#DIV/0!</v>
      </c>
      <c r="AD341" s="538" t="e">
        <f>IF(INPUTS!$B$15="yes",AC341,AB341)</f>
        <v>#DIV/0!</v>
      </c>
      <c r="AE341" s="36" t="str">
        <f t="shared" si="73"/>
        <v>no</v>
      </c>
      <c r="AF341" s="36"/>
      <c r="AG341" s="389" t="e">
        <f>P341*('upper bound Kenaga'!$F$36/100)</f>
        <v>#DIV/0!</v>
      </c>
      <c r="AH341" s="36"/>
      <c r="AI341" s="389" t="e">
        <f>P341*('upper bound Kenaga'!$F$96/100)</f>
        <v>#DIV/0!</v>
      </c>
      <c r="AJ341" s="36"/>
      <c r="AK341" s="36"/>
      <c r="AL341" s="36"/>
      <c r="AM341" s="36"/>
      <c r="AN341" s="36"/>
      <c r="AO341" s="36"/>
    </row>
    <row r="342" spans="10:41" s="1" customFormat="1">
      <c r="J342" s="6">
        <f>COUNTIF(K$21:K342,"=yes")</f>
        <v>1</v>
      </c>
      <c r="K342" s="533" t="str">
        <f>IF(LOOKUP(VALUE(M342),INPUTS!$G$6:$G$35)=M342,"yes","no")</f>
        <v>no</v>
      </c>
      <c r="L342" s="533">
        <f>IF(K342="yes",(LOOKUP(J342,INPUTS!$E$6:$E$35,INPUTS!$F$6:$F$35)),0)</f>
        <v>0</v>
      </c>
      <c r="M342" s="135">
        <f t="shared" si="74"/>
        <v>321</v>
      </c>
      <c r="N342" s="135">
        <f t="shared" si="75"/>
        <v>1</v>
      </c>
      <c r="O342" s="135">
        <f t="shared" si="76"/>
        <v>0</v>
      </c>
      <c r="P342" s="536" t="e">
        <f t="shared" si="77"/>
        <v>#DIV/0!</v>
      </c>
      <c r="Q342" s="537" t="e">
        <f t="shared" ref="Q342:Q391" si="78">IF($K342="yes",(EXP(-$R$16)*(Q341)+(240*$L342)),((EXP(-$R$16)*(Q341))))</f>
        <v>#DIV/0!</v>
      </c>
      <c r="R342" s="538" t="e">
        <f>IF(INPUTS!$B$15="yes",Q342,P342)</f>
        <v>#DIV/0!</v>
      </c>
      <c r="S342" s="536" t="e">
        <f t="shared" ref="S342:S391" si="79">IF(($N342&gt;$N341),(EXP(-$R$16)*(S341)+$R$12),((EXP(-$R$16)*(S341))))</f>
        <v>#DIV/0!</v>
      </c>
      <c r="T342" s="537" t="e">
        <f t="shared" ref="T342:T391" si="80">IF($K342="yes",(EXP(-$R$16)*(T341)+(110*$L342)),((EXP(-$R$16)*(T341))))</f>
        <v>#DIV/0!</v>
      </c>
      <c r="U342" s="538" t="e">
        <f>IF(INPUTS!$B$15="yes",T342,S342)</f>
        <v>#DIV/0!</v>
      </c>
      <c r="V342" s="536" t="e">
        <f t="shared" ref="V342:V391" si="81">IF(($N342&gt;$N341),(EXP(-$R$16)*(V341)+$R$13),((EXP(-$R$16)*(V341))))</f>
        <v>#DIV/0!</v>
      </c>
      <c r="W342" s="537" t="e">
        <f t="shared" ref="W342:W391" si="82">IF($K342="yes",(EXP(-$R$16)*(W341)+(135*$L342)),((EXP(-$R$16)*(W341))))</f>
        <v>#DIV/0!</v>
      </c>
      <c r="X342" s="538" t="e">
        <f>IF(INPUTS!$B$15="yes",W342,V342)</f>
        <v>#DIV/0!</v>
      </c>
      <c r="Y342" s="536" t="e">
        <f t="shared" ref="Y342:Y391" si="83">IF(($N342&gt;$N341),(EXP(-$R$16)*(Y341)+$R$14),((EXP(-$R$16)*(Y341))))</f>
        <v>#DIV/0!</v>
      </c>
      <c r="Z342" s="537" t="e">
        <f t="shared" ref="Z342:Z391" si="84">IF($K342="yes",(EXP(-$R$16)*(Z341)+(15*$L342)),((EXP(-$R$16)*(Z341))))</f>
        <v>#DIV/0!</v>
      </c>
      <c r="AA342" s="538" t="e">
        <f>IF(INPUTS!$B$15="yes",Z342,Y342)</f>
        <v>#DIV/0!</v>
      </c>
      <c r="AB342" s="536" t="e">
        <f t="shared" ref="AB342:AB391" si="85">IF(($N342&gt;$N341),(EXP(-$R$16)*(AB341)+$R$15),((EXP(-$R$16)*(AB341))))</f>
        <v>#DIV/0!</v>
      </c>
      <c r="AC342" s="537" t="e">
        <f t="shared" ref="AC342:AC391" si="86">IF($K342="yes",(EXP(-$R$16)*(AC341)+(94*$L342)),((EXP(-$R$16)*(AC341))))</f>
        <v>#DIV/0!</v>
      </c>
      <c r="AD342" s="538" t="e">
        <f>IF(INPUTS!$B$15="yes",AC342,AB342)</f>
        <v>#DIV/0!</v>
      </c>
      <c r="AE342" s="36" t="str">
        <f t="shared" si="73"/>
        <v>no</v>
      </c>
      <c r="AF342" s="36"/>
      <c r="AG342" s="389" t="e">
        <f>P342*('upper bound Kenaga'!$F$36/100)</f>
        <v>#DIV/0!</v>
      </c>
      <c r="AH342" s="36"/>
      <c r="AI342" s="389" t="e">
        <f>P342*('upper bound Kenaga'!$F$96/100)</f>
        <v>#DIV/0!</v>
      </c>
      <c r="AJ342" s="36"/>
      <c r="AK342" s="36"/>
      <c r="AL342" s="36"/>
      <c r="AM342" s="36"/>
      <c r="AN342" s="36"/>
      <c r="AO342" s="36"/>
    </row>
    <row r="343" spans="10:41" s="1" customFormat="1">
      <c r="J343" s="6">
        <f>COUNTIF(K$21:K343,"=yes")</f>
        <v>1</v>
      </c>
      <c r="K343" s="533" t="str">
        <f>IF(LOOKUP(VALUE(M343),INPUTS!$G$6:$G$35)=M343,"yes","no")</f>
        <v>no</v>
      </c>
      <c r="L343" s="533">
        <f>IF(K343="yes",(LOOKUP(J343,INPUTS!$E$6:$E$35,INPUTS!$F$6:$F$35)),0)</f>
        <v>0</v>
      </c>
      <c r="M343" s="135">
        <f t="shared" si="74"/>
        <v>322</v>
      </c>
      <c r="N343" s="135">
        <f t="shared" si="75"/>
        <v>1</v>
      </c>
      <c r="O343" s="135">
        <f t="shared" si="76"/>
        <v>0</v>
      </c>
      <c r="P343" s="536" t="e">
        <f t="shared" si="77"/>
        <v>#DIV/0!</v>
      </c>
      <c r="Q343" s="537" t="e">
        <f t="shared" si="78"/>
        <v>#DIV/0!</v>
      </c>
      <c r="R343" s="538" t="e">
        <f>IF(INPUTS!$B$15="yes",Q343,P343)</f>
        <v>#DIV/0!</v>
      </c>
      <c r="S343" s="536" t="e">
        <f t="shared" si="79"/>
        <v>#DIV/0!</v>
      </c>
      <c r="T343" s="537" t="e">
        <f t="shared" si="80"/>
        <v>#DIV/0!</v>
      </c>
      <c r="U343" s="538" t="e">
        <f>IF(INPUTS!$B$15="yes",T343,S343)</f>
        <v>#DIV/0!</v>
      </c>
      <c r="V343" s="536" t="e">
        <f t="shared" si="81"/>
        <v>#DIV/0!</v>
      </c>
      <c r="W343" s="537" t="e">
        <f t="shared" si="82"/>
        <v>#DIV/0!</v>
      </c>
      <c r="X343" s="538" t="e">
        <f>IF(INPUTS!$B$15="yes",W343,V343)</f>
        <v>#DIV/0!</v>
      </c>
      <c r="Y343" s="536" t="e">
        <f t="shared" si="83"/>
        <v>#DIV/0!</v>
      </c>
      <c r="Z343" s="537" t="e">
        <f t="shared" si="84"/>
        <v>#DIV/0!</v>
      </c>
      <c r="AA343" s="538" t="e">
        <f>IF(INPUTS!$B$15="yes",Z343,Y343)</f>
        <v>#DIV/0!</v>
      </c>
      <c r="AB343" s="536" t="e">
        <f t="shared" si="85"/>
        <v>#DIV/0!</v>
      </c>
      <c r="AC343" s="537" t="e">
        <f t="shared" si="86"/>
        <v>#DIV/0!</v>
      </c>
      <c r="AD343" s="538" t="e">
        <f>IF(INPUTS!$B$15="yes",AC343,AB343)</f>
        <v>#DIV/0!</v>
      </c>
      <c r="AE343" s="36" t="str">
        <f t="shared" si="73"/>
        <v>no</v>
      </c>
      <c r="AF343" s="36"/>
      <c r="AG343" s="389" t="e">
        <f>P343*('upper bound Kenaga'!$F$36/100)</f>
        <v>#DIV/0!</v>
      </c>
      <c r="AH343" s="36"/>
      <c r="AI343" s="389" t="e">
        <f>P343*('upper bound Kenaga'!$F$96/100)</f>
        <v>#DIV/0!</v>
      </c>
      <c r="AJ343" s="36"/>
      <c r="AK343" s="36"/>
      <c r="AL343" s="36"/>
      <c r="AM343" s="36"/>
      <c r="AN343" s="36"/>
      <c r="AO343" s="36"/>
    </row>
    <row r="344" spans="10:41" s="1" customFormat="1">
      <c r="J344" s="6">
        <f>COUNTIF(K$21:K344,"=yes")</f>
        <v>1</v>
      </c>
      <c r="K344" s="533" t="str">
        <f>IF(LOOKUP(VALUE(M344),INPUTS!$G$6:$G$35)=M344,"yes","no")</f>
        <v>no</v>
      </c>
      <c r="L344" s="533">
        <f>IF(K344="yes",(LOOKUP(J344,INPUTS!$E$6:$E$35,INPUTS!$F$6:$F$35)),0)</f>
        <v>0</v>
      </c>
      <c r="M344" s="135">
        <f t="shared" si="74"/>
        <v>323</v>
      </c>
      <c r="N344" s="135">
        <f t="shared" si="75"/>
        <v>1</v>
      </c>
      <c r="O344" s="135">
        <f t="shared" si="76"/>
        <v>0</v>
      </c>
      <c r="P344" s="536" t="e">
        <f t="shared" si="77"/>
        <v>#DIV/0!</v>
      </c>
      <c r="Q344" s="537" t="e">
        <f t="shared" si="78"/>
        <v>#DIV/0!</v>
      </c>
      <c r="R344" s="538" t="e">
        <f>IF(INPUTS!$B$15="yes",Q344,P344)</f>
        <v>#DIV/0!</v>
      </c>
      <c r="S344" s="536" t="e">
        <f t="shared" si="79"/>
        <v>#DIV/0!</v>
      </c>
      <c r="T344" s="537" t="e">
        <f t="shared" si="80"/>
        <v>#DIV/0!</v>
      </c>
      <c r="U344" s="538" t="e">
        <f>IF(INPUTS!$B$15="yes",T344,S344)</f>
        <v>#DIV/0!</v>
      </c>
      <c r="V344" s="536" t="e">
        <f t="shared" si="81"/>
        <v>#DIV/0!</v>
      </c>
      <c r="W344" s="537" t="e">
        <f t="shared" si="82"/>
        <v>#DIV/0!</v>
      </c>
      <c r="X344" s="538" t="e">
        <f>IF(INPUTS!$B$15="yes",W344,V344)</f>
        <v>#DIV/0!</v>
      </c>
      <c r="Y344" s="536" t="e">
        <f t="shared" si="83"/>
        <v>#DIV/0!</v>
      </c>
      <c r="Z344" s="537" t="e">
        <f t="shared" si="84"/>
        <v>#DIV/0!</v>
      </c>
      <c r="AA344" s="538" t="e">
        <f>IF(INPUTS!$B$15="yes",Z344,Y344)</f>
        <v>#DIV/0!</v>
      </c>
      <c r="AB344" s="536" t="e">
        <f t="shared" si="85"/>
        <v>#DIV/0!</v>
      </c>
      <c r="AC344" s="537" t="e">
        <f t="shared" si="86"/>
        <v>#DIV/0!</v>
      </c>
      <c r="AD344" s="538" t="e">
        <f>IF(INPUTS!$B$15="yes",AC344,AB344)</f>
        <v>#DIV/0!</v>
      </c>
      <c r="AE344" s="36" t="str">
        <f t="shared" si="73"/>
        <v>no</v>
      </c>
      <c r="AF344" s="36"/>
      <c r="AG344" s="389" t="e">
        <f>P344*('upper bound Kenaga'!$F$36/100)</f>
        <v>#DIV/0!</v>
      </c>
      <c r="AH344" s="36"/>
      <c r="AI344" s="389" t="e">
        <f>P344*('upper bound Kenaga'!$F$96/100)</f>
        <v>#DIV/0!</v>
      </c>
      <c r="AJ344" s="36"/>
      <c r="AK344" s="36"/>
      <c r="AL344" s="36"/>
      <c r="AM344" s="36"/>
      <c r="AN344" s="36"/>
      <c r="AO344" s="36"/>
    </row>
    <row r="345" spans="10:41" s="1" customFormat="1">
      <c r="J345" s="6">
        <f>COUNTIF(K$21:K345,"=yes")</f>
        <v>1</v>
      </c>
      <c r="K345" s="533" t="str">
        <f>IF(LOOKUP(VALUE(M345),INPUTS!$G$6:$G$35)=M345,"yes","no")</f>
        <v>no</v>
      </c>
      <c r="L345" s="533">
        <f>IF(K345="yes",(LOOKUP(J345,INPUTS!$E$6:$E$35,INPUTS!$F$6:$F$35)),0)</f>
        <v>0</v>
      </c>
      <c r="M345" s="135">
        <f t="shared" si="74"/>
        <v>324</v>
      </c>
      <c r="N345" s="135">
        <f t="shared" si="75"/>
        <v>1</v>
      </c>
      <c r="O345" s="135">
        <f t="shared" si="76"/>
        <v>0</v>
      </c>
      <c r="P345" s="536" t="e">
        <f t="shared" si="77"/>
        <v>#DIV/0!</v>
      </c>
      <c r="Q345" s="537" t="e">
        <f t="shared" si="78"/>
        <v>#DIV/0!</v>
      </c>
      <c r="R345" s="538" t="e">
        <f>IF(INPUTS!$B$15="yes",Q345,P345)</f>
        <v>#DIV/0!</v>
      </c>
      <c r="S345" s="536" t="e">
        <f t="shared" si="79"/>
        <v>#DIV/0!</v>
      </c>
      <c r="T345" s="537" t="e">
        <f t="shared" si="80"/>
        <v>#DIV/0!</v>
      </c>
      <c r="U345" s="538" t="e">
        <f>IF(INPUTS!$B$15="yes",T345,S345)</f>
        <v>#DIV/0!</v>
      </c>
      <c r="V345" s="536" t="e">
        <f t="shared" si="81"/>
        <v>#DIV/0!</v>
      </c>
      <c r="W345" s="537" t="e">
        <f t="shared" si="82"/>
        <v>#DIV/0!</v>
      </c>
      <c r="X345" s="538" t="e">
        <f>IF(INPUTS!$B$15="yes",W345,V345)</f>
        <v>#DIV/0!</v>
      </c>
      <c r="Y345" s="536" t="e">
        <f t="shared" si="83"/>
        <v>#DIV/0!</v>
      </c>
      <c r="Z345" s="537" t="e">
        <f t="shared" si="84"/>
        <v>#DIV/0!</v>
      </c>
      <c r="AA345" s="538" t="e">
        <f>IF(INPUTS!$B$15="yes",Z345,Y345)</f>
        <v>#DIV/0!</v>
      </c>
      <c r="AB345" s="536" t="e">
        <f t="shared" si="85"/>
        <v>#DIV/0!</v>
      </c>
      <c r="AC345" s="537" t="e">
        <f t="shared" si="86"/>
        <v>#DIV/0!</v>
      </c>
      <c r="AD345" s="538" t="e">
        <f>IF(INPUTS!$B$15="yes",AC345,AB345)</f>
        <v>#DIV/0!</v>
      </c>
      <c r="AE345" s="36" t="str">
        <f t="shared" si="73"/>
        <v>no</v>
      </c>
      <c r="AF345" s="36"/>
      <c r="AG345" s="389" t="e">
        <f>P345*('upper bound Kenaga'!$F$36/100)</f>
        <v>#DIV/0!</v>
      </c>
      <c r="AH345" s="36"/>
      <c r="AI345" s="389" t="e">
        <f>P345*('upper bound Kenaga'!$F$96/100)</f>
        <v>#DIV/0!</v>
      </c>
      <c r="AJ345" s="36"/>
      <c r="AK345" s="36"/>
      <c r="AL345" s="36"/>
      <c r="AM345" s="36"/>
      <c r="AN345" s="36"/>
      <c r="AO345" s="36"/>
    </row>
    <row r="346" spans="10:41" s="1" customFormat="1">
      <c r="J346" s="6">
        <f>COUNTIF(K$21:K346,"=yes")</f>
        <v>1</v>
      </c>
      <c r="K346" s="533" t="str">
        <f>IF(LOOKUP(VALUE(M346),INPUTS!$G$6:$G$35)=M346,"yes","no")</f>
        <v>no</v>
      </c>
      <c r="L346" s="533">
        <f>IF(K346="yes",(LOOKUP(J346,INPUTS!$E$6:$E$35,INPUTS!$F$6:$F$35)),0)</f>
        <v>0</v>
      </c>
      <c r="M346" s="135">
        <f t="shared" si="74"/>
        <v>325</v>
      </c>
      <c r="N346" s="135">
        <f t="shared" si="75"/>
        <v>1</v>
      </c>
      <c r="O346" s="135">
        <f t="shared" si="76"/>
        <v>0</v>
      </c>
      <c r="P346" s="536" t="e">
        <f t="shared" si="77"/>
        <v>#DIV/0!</v>
      </c>
      <c r="Q346" s="537" t="e">
        <f t="shared" si="78"/>
        <v>#DIV/0!</v>
      </c>
      <c r="R346" s="538" t="e">
        <f>IF(INPUTS!$B$15="yes",Q346,P346)</f>
        <v>#DIV/0!</v>
      </c>
      <c r="S346" s="536" t="e">
        <f t="shared" si="79"/>
        <v>#DIV/0!</v>
      </c>
      <c r="T346" s="537" t="e">
        <f t="shared" si="80"/>
        <v>#DIV/0!</v>
      </c>
      <c r="U346" s="538" t="e">
        <f>IF(INPUTS!$B$15="yes",T346,S346)</f>
        <v>#DIV/0!</v>
      </c>
      <c r="V346" s="536" t="e">
        <f t="shared" si="81"/>
        <v>#DIV/0!</v>
      </c>
      <c r="W346" s="537" t="e">
        <f t="shared" si="82"/>
        <v>#DIV/0!</v>
      </c>
      <c r="X346" s="538" t="e">
        <f>IF(INPUTS!$B$15="yes",W346,V346)</f>
        <v>#DIV/0!</v>
      </c>
      <c r="Y346" s="536" t="e">
        <f t="shared" si="83"/>
        <v>#DIV/0!</v>
      </c>
      <c r="Z346" s="537" t="e">
        <f t="shared" si="84"/>
        <v>#DIV/0!</v>
      </c>
      <c r="AA346" s="538" t="e">
        <f>IF(INPUTS!$B$15="yes",Z346,Y346)</f>
        <v>#DIV/0!</v>
      </c>
      <c r="AB346" s="536" t="e">
        <f t="shared" si="85"/>
        <v>#DIV/0!</v>
      </c>
      <c r="AC346" s="537" t="e">
        <f t="shared" si="86"/>
        <v>#DIV/0!</v>
      </c>
      <c r="AD346" s="538" t="e">
        <f>IF(INPUTS!$B$15="yes",AC346,AB346)</f>
        <v>#DIV/0!</v>
      </c>
      <c r="AE346" s="36" t="str">
        <f t="shared" ref="AE346:AE391" si="87">$B$11</f>
        <v>no</v>
      </c>
      <c r="AF346" s="36"/>
      <c r="AG346" s="389" t="e">
        <f>P346*('upper bound Kenaga'!$F$36/100)</f>
        <v>#DIV/0!</v>
      </c>
      <c r="AH346" s="36"/>
      <c r="AI346" s="389" t="e">
        <f>P346*('upper bound Kenaga'!$F$96/100)</f>
        <v>#DIV/0!</v>
      </c>
      <c r="AJ346" s="36"/>
      <c r="AK346" s="36"/>
      <c r="AL346" s="36"/>
      <c r="AM346" s="36"/>
      <c r="AN346" s="36"/>
      <c r="AO346" s="36"/>
    </row>
    <row r="347" spans="10:41" s="1" customFormat="1">
      <c r="J347" s="6">
        <f>COUNTIF(K$21:K347,"=yes")</f>
        <v>1</v>
      </c>
      <c r="K347" s="533" t="str">
        <f>IF(LOOKUP(VALUE(M347),INPUTS!$G$6:$G$35)=M347,"yes","no")</f>
        <v>no</v>
      </c>
      <c r="L347" s="533">
        <f>IF(K347="yes",(LOOKUP(J347,INPUTS!$E$6:$E$35,INPUTS!$F$6:$F$35)),0)</f>
        <v>0</v>
      </c>
      <c r="M347" s="135">
        <f t="shared" ref="M347:M391" si="88">(M346+1)</f>
        <v>326</v>
      </c>
      <c r="N347" s="135">
        <f t="shared" ref="N347:N391" si="89">IF($B$9&gt;N346,IF(O346=($B$8-1),(N346+1),(N346)),(N346))</f>
        <v>1</v>
      </c>
      <c r="O347" s="135">
        <f t="shared" ref="O347:O391" si="90">IF(O346&lt;($B$8-1),(1+O346),0)</f>
        <v>0</v>
      </c>
      <c r="P347" s="536" t="e">
        <f t="shared" si="77"/>
        <v>#DIV/0!</v>
      </c>
      <c r="Q347" s="537" t="e">
        <f t="shared" si="78"/>
        <v>#DIV/0!</v>
      </c>
      <c r="R347" s="538" t="e">
        <f>IF(INPUTS!$B$15="yes",Q347,P347)</f>
        <v>#DIV/0!</v>
      </c>
      <c r="S347" s="536" t="e">
        <f t="shared" si="79"/>
        <v>#DIV/0!</v>
      </c>
      <c r="T347" s="537" t="e">
        <f t="shared" si="80"/>
        <v>#DIV/0!</v>
      </c>
      <c r="U347" s="538" t="e">
        <f>IF(INPUTS!$B$15="yes",T347,S347)</f>
        <v>#DIV/0!</v>
      </c>
      <c r="V347" s="536" t="e">
        <f t="shared" si="81"/>
        <v>#DIV/0!</v>
      </c>
      <c r="W347" s="537" t="e">
        <f t="shared" si="82"/>
        <v>#DIV/0!</v>
      </c>
      <c r="X347" s="538" t="e">
        <f>IF(INPUTS!$B$15="yes",W347,V347)</f>
        <v>#DIV/0!</v>
      </c>
      <c r="Y347" s="536" t="e">
        <f t="shared" si="83"/>
        <v>#DIV/0!</v>
      </c>
      <c r="Z347" s="537" t="e">
        <f t="shared" si="84"/>
        <v>#DIV/0!</v>
      </c>
      <c r="AA347" s="538" t="e">
        <f>IF(INPUTS!$B$15="yes",Z347,Y347)</f>
        <v>#DIV/0!</v>
      </c>
      <c r="AB347" s="536" t="e">
        <f t="shared" si="85"/>
        <v>#DIV/0!</v>
      </c>
      <c r="AC347" s="537" t="e">
        <f t="shared" si="86"/>
        <v>#DIV/0!</v>
      </c>
      <c r="AD347" s="538" t="e">
        <f>IF(INPUTS!$B$15="yes",AC347,AB347)</f>
        <v>#DIV/0!</v>
      </c>
      <c r="AE347" s="36" t="str">
        <f t="shared" si="87"/>
        <v>no</v>
      </c>
      <c r="AF347" s="36"/>
      <c r="AG347" s="389" t="e">
        <f>P347*('upper bound Kenaga'!$F$36/100)</f>
        <v>#DIV/0!</v>
      </c>
      <c r="AH347" s="36"/>
      <c r="AI347" s="389" t="e">
        <f>P347*('upper bound Kenaga'!$F$96/100)</f>
        <v>#DIV/0!</v>
      </c>
      <c r="AJ347" s="36"/>
      <c r="AK347" s="36"/>
      <c r="AL347" s="36"/>
      <c r="AM347" s="36"/>
      <c r="AN347" s="36"/>
      <c r="AO347" s="36"/>
    </row>
    <row r="348" spans="10:41" s="1" customFormat="1">
      <c r="J348" s="6">
        <f>COUNTIF(K$21:K348,"=yes")</f>
        <v>1</v>
      </c>
      <c r="K348" s="533" t="str">
        <f>IF(LOOKUP(VALUE(M348),INPUTS!$G$6:$G$35)=M348,"yes","no")</f>
        <v>no</v>
      </c>
      <c r="L348" s="533">
        <f>IF(K348="yes",(LOOKUP(J348,INPUTS!$E$6:$E$35,INPUTS!$F$6:$F$35)),0)</f>
        <v>0</v>
      </c>
      <c r="M348" s="135">
        <f t="shared" si="88"/>
        <v>327</v>
      </c>
      <c r="N348" s="135">
        <f t="shared" si="89"/>
        <v>1</v>
      </c>
      <c r="O348" s="135">
        <f t="shared" si="90"/>
        <v>0</v>
      </c>
      <c r="P348" s="536" t="e">
        <f t="shared" si="77"/>
        <v>#DIV/0!</v>
      </c>
      <c r="Q348" s="537" t="e">
        <f t="shared" si="78"/>
        <v>#DIV/0!</v>
      </c>
      <c r="R348" s="538" t="e">
        <f>IF(INPUTS!$B$15="yes",Q348,P348)</f>
        <v>#DIV/0!</v>
      </c>
      <c r="S348" s="536" t="e">
        <f t="shared" si="79"/>
        <v>#DIV/0!</v>
      </c>
      <c r="T348" s="537" t="e">
        <f t="shared" si="80"/>
        <v>#DIV/0!</v>
      </c>
      <c r="U348" s="538" t="e">
        <f>IF(INPUTS!$B$15="yes",T348,S348)</f>
        <v>#DIV/0!</v>
      </c>
      <c r="V348" s="536" t="e">
        <f t="shared" si="81"/>
        <v>#DIV/0!</v>
      </c>
      <c r="W348" s="537" t="e">
        <f t="shared" si="82"/>
        <v>#DIV/0!</v>
      </c>
      <c r="X348" s="538" t="e">
        <f>IF(INPUTS!$B$15="yes",W348,V348)</f>
        <v>#DIV/0!</v>
      </c>
      <c r="Y348" s="536" t="e">
        <f t="shared" si="83"/>
        <v>#DIV/0!</v>
      </c>
      <c r="Z348" s="537" t="e">
        <f t="shared" si="84"/>
        <v>#DIV/0!</v>
      </c>
      <c r="AA348" s="538" t="e">
        <f>IF(INPUTS!$B$15="yes",Z348,Y348)</f>
        <v>#DIV/0!</v>
      </c>
      <c r="AB348" s="536" t="e">
        <f t="shared" si="85"/>
        <v>#DIV/0!</v>
      </c>
      <c r="AC348" s="537" t="e">
        <f t="shared" si="86"/>
        <v>#DIV/0!</v>
      </c>
      <c r="AD348" s="538" t="e">
        <f>IF(INPUTS!$B$15="yes",AC348,AB348)</f>
        <v>#DIV/0!</v>
      </c>
      <c r="AE348" s="36" t="str">
        <f t="shared" si="87"/>
        <v>no</v>
      </c>
      <c r="AF348" s="36"/>
      <c r="AG348" s="389" t="e">
        <f>P348*('upper bound Kenaga'!$F$36/100)</f>
        <v>#DIV/0!</v>
      </c>
      <c r="AH348" s="36"/>
      <c r="AI348" s="389" t="e">
        <f>P348*('upper bound Kenaga'!$F$96/100)</f>
        <v>#DIV/0!</v>
      </c>
      <c r="AJ348" s="36"/>
      <c r="AK348" s="36"/>
      <c r="AL348" s="36"/>
      <c r="AM348" s="36"/>
      <c r="AN348" s="36"/>
      <c r="AO348" s="36"/>
    </row>
    <row r="349" spans="10:41" s="1" customFormat="1">
      <c r="J349" s="6">
        <f>COUNTIF(K$21:K349,"=yes")</f>
        <v>1</v>
      </c>
      <c r="K349" s="533" t="str">
        <f>IF(LOOKUP(VALUE(M349),INPUTS!$G$6:$G$35)=M349,"yes","no")</f>
        <v>no</v>
      </c>
      <c r="L349" s="533">
        <f>IF(K349="yes",(LOOKUP(J349,INPUTS!$E$6:$E$35,INPUTS!$F$6:$F$35)),0)</f>
        <v>0</v>
      </c>
      <c r="M349" s="135">
        <f t="shared" si="88"/>
        <v>328</v>
      </c>
      <c r="N349" s="135">
        <f t="shared" si="89"/>
        <v>1</v>
      </c>
      <c r="O349" s="135">
        <f t="shared" si="90"/>
        <v>0</v>
      </c>
      <c r="P349" s="536" t="e">
        <f t="shared" si="77"/>
        <v>#DIV/0!</v>
      </c>
      <c r="Q349" s="537" t="e">
        <f t="shared" si="78"/>
        <v>#DIV/0!</v>
      </c>
      <c r="R349" s="538" t="e">
        <f>IF(INPUTS!$B$15="yes",Q349,P349)</f>
        <v>#DIV/0!</v>
      </c>
      <c r="S349" s="536" t="e">
        <f t="shared" si="79"/>
        <v>#DIV/0!</v>
      </c>
      <c r="T349" s="537" t="e">
        <f t="shared" si="80"/>
        <v>#DIV/0!</v>
      </c>
      <c r="U349" s="538" t="e">
        <f>IF(INPUTS!$B$15="yes",T349,S349)</f>
        <v>#DIV/0!</v>
      </c>
      <c r="V349" s="536" t="e">
        <f t="shared" si="81"/>
        <v>#DIV/0!</v>
      </c>
      <c r="W349" s="537" t="e">
        <f t="shared" si="82"/>
        <v>#DIV/0!</v>
      </c>
      <c r="X349" s="538" t="e">
        <f>IF(INPUTS!$B$15="yes",W349,V349)</f>
        <v>#DIV/0!</v>
      </c>
      <c r="Y349" s="536" t="e">
        <f t="shared" si="83"/>
        <v>#DIV/0!</v>
      </c>
      <c r="Z349" s="537" t="e">
        <f t="shared" si="84"/>
        <v>#DIV/0!</v>
      </c>
      <c r="AA349" s="538" t="e">
        <f>IF(INPUTS!$B$15="yes",Z349,Y349)</f>
        <v>#DIV/0!</v>
      </c>
      <c r="AB349" s="536" t="e">
        <f t="shared" si="85"/>
        <v>#DIV/0!</v>
      </c>
      <c r="AC349" s="537" t="e">
        <f t="shared" si="86"/>
        <v>#DIV/0!</v>
      </c>
      <c r="AD349" s="538" t="e">
        <f>IF(INPUTS!$B$15="yes",AC349,AB349)</f>
        <v>#DIV/0!</v>
      </c>
      <c r="AE349" s="36" t="str">
        <f t="shared" si="87"/>
        <v>no</v>
      </c>
      <c r="AF349" s="36"/>
      <c r="AG349" s="389" t="e">
        <f>P349*('upper bound Kenaga'!$F$36/100)</f>
        <v>#DIV/0!</v>
      </c>
      <c r="AH349" s="36"/>
      <c r="AI349" s="389" t="e">
        <f>P349*('upper bound Kenaga'!$F$96/100)</f>
        <v>#DIV/0!</v>
      </c>
      <c r="AJ349" s="36"/>
      <c r="AK349" s="36"/>
      <c r="AL349" s="36"/>
      <c r="AM349" s="36"/>
      <c r="AN349" s="36"/>
      <c r="AO349" s="36"/>
    </row>
    <row r="350" spans="10:41" s="1" customFormat="1">
      <c r="J350" s="6">
        <f>COUNTIF(K$21:K350,"=yes")</f>
        <v>1</v>
      </c>
      <c r="K350" s="533" t="str">
        <f>IF(LOOKUP(VALUE(M350),INPUTS!$G$6:$G$35)=M350,"yes","no")</f>
        <v>no</v>
      </c>
      <c r="L350" s="533">
        <f>IF(K350="yes",(LOOKUP(J350,INPUTS!$E$6:$E$35,INPUTS!$F$6:$F$35)),0)</f>
        <v>0</v>
      </c>
      <c r="M350" s="135">
        <f t="shared" si="88"/>
        <v>329</v>
      </c>
      <c r="N350" s="135">
        <f t="shared" si="89"/>
        <v>1</v>
      </c>
      <c r="O350" s="135">
        <f t="shared" si="90"/>
        <v>0</v>
      </c>
      <c r="P350" s="536" t="e">
        <f t="shared" si="77"/>
        <v>#DIV/0!</v>
      </c>
      <c r="Q350" s="537" t="e">
        <f t="shared" si="78"/>
        <v>#DIV/0!</v>
      </c>
      <c r="R350" s="538" t="e">
        <f>IF(INPUTS!$B$15="yes",Q350,P350)</f>
        <v>#DIV/0!</v>
      </c>
      <c r="S350" s="536" t="e">
        <f t="shared" si="79"/>
        <v>#DIV/0!</v>
      </c>
      <c r="T350" s="537" t="e">
        <f t="shared" si="80"/>
        <v>#DIV/0!</v>
      </c>
      <c r="U350" s="538" t="e">
        <f>IF(INPUTS!$B$15="yes",T350,S350)</f>
        <v>#DIV/0!</v>
      </c>
      <c r="V350" s="536" t="e">
        <f t="shared" si="81"/>
        <v>#DIV/0!</v>
      </c>
      <c r="W350" s="537" t="e">
        <f t="shared" si="82"/>
        <v>#DIV/0!</v>
      </c>
      <c r="X350" s="538" t="e">
        <f>IF(INPUTS!$B$15="yes",W350,V350)</f>
        <v>#DIV/0!</v>
      </c>
      <c r="Y350" s="536" t="e">
        <f t="shared" si="83"/>
        <v>#DIV/0!</v>
      </c>
      <c r="Z350" s="537" t="e">
        <f t="shared" si="84"/>
        <v>#DIV/0!</v>
      </c>
      <c r="AA350" s="538" t="e">
        <f>IF(INPUTS!$B$15="yes",Z350,Y350)</f>
        <v>#DIV/0!</v>
      </c>
      <c r="AB350" s="536" t="e">
        <f t="shared" si="85"/>
        <v>#DIV/0!</v>
      </c>
      <c r="AC350" s="537" t="e">
        <f t="shared" si="86"/>
        <v>#DIV/0!</v>
      </c>
      <c r="AD350" s="538" t="e">
        <f>IF(INPUTS!$B$15="yes",AC350,AB350)</f>
        <v>#DIV/0!</v>
      </c>
      <c r="AE350" s="36" t="str">
        <f t="shared" si="87"/>
        <v>no</v>
      </c>
      <c r="AF350" s="36"/>
      <c r="AG350" s="389" t="e">
        <f>P350*('upper bound Kenaga'!$F$36/100)</f>
        <v>#DIV/0!</v>
      </c>
      <c r="AH350" s="36"/>
      <c r="AI350" s="389" t="e">
        <f>P350*('upper bound Kenaga'!$F$96/100)</f>
        <v>#DIV/0!</v>
      </c>
      <c r="AJ350" s="36"/>
      <c r="AK350" s="36"/>
      <c r="AL350" s="36"/>
      <c r="AM350" s="36"/>
      <c r="AN350" s="36"/>
      <c r="AO350" s="36"/>
    </row>
    <row r="351" spans="10:41" s="1" customFormat="1">
      <c r="J351" s="6">
        <f>COUNTIF(K$21:K351,"=yes")</f>
        <v>1</v>
      </c>
      <c r="K351" s="533" t="str">
        <f>IF(LOOKUP(VALUE(M351),INPUTS!$G$6:$G$35)=M351,"yes","no")</f>
        <v>no</v>
      </c>
      <c r="L351" s="533">
        <f>IF(K351="yes",(LOOKUP(J351,INPUTS!$E$6:$E$35,INPUTS!$F$6:$F$35)),0)</f>
        <v>0</v>
      </c>
      <c r="M351" s="135">
        <f t="shared" si="88"/>
        <v>330</v>
      </c>
      <c r="N351" s="135">
        <f t="shared" si="89"/>
        <v>1</v>
      </c>
      <c r="O351" s="135">
        <f t="shared" si="90"/>
        <v>0</v>
      </c>
      <c r="P351" s="536" t="e">
        <f t="shared" ref="P351:P391" si="91">IF((N351&gt;N350),(EXP(-$R$16)*(P350)+$R$11),((EXP(-$R$16)*(P350))))</f>
        <v>#DIV/0!</v>
      </c>
      <c r="Q351" s="537" t="e">
        <f t="shared" si="78"/>
        <v>#DIV/0!</v>
      </c>
      <c r="R351" s="538" t="e">
        <f>IF(INPUTS!$B$15="yes",Q351,P351)</f>
        <v>#DIV/0!</v>
      </c>
      <c r="S351" s="536" t="e">
        <f t="shared" si="79"/>
        <v>#DIV/0!</v>
      </c>
      <c r="T351" s="537" t="e">
        <f t="shared" si="80"/>
        <v>#DIV/0!</v>
      </c>
      <c r="U351" s="538" t="e">
        <f>IF(INPUTS!$B$15="yes",T351,S351)</f>
        <v>#DIV/0!</v>
      </c>
      <c r="V351" s="536" t="e">
        <f t="shared" si="81"/>
        <v>#DIV/0!</v>
      </c>
      <c r="W351" s="537" t="e">
        <f t="shared" si="82"/>
        <v>#DIV/0!</v>
      </c>
      <c r="X351" s="538" t="e">
        <f>IF(INPUTS!$B$15="yes",W351,V351)</f>
        <v>#DIV/0!</v>
      </c>
      <c r="Y351" s="536" t="e">
        <f t="shared" si="83"/>
        <v>#DIV/0!</v>
      </c>
      <c r="Z351" s="537" t="e">
        <f t="shared" si="84"/>
        <v>#DIV/0!</v>
      </c>
      <c r="AA351" s="538" t="e">
        <f>IF(INPUTS!$B$15="yes",Z351,Y351)</f>
        <v>#DIV/0!</v>
      </c>
      <c r="AB351" s="536" t="e">
        <f t="shared" si="85"/>
        <v>#DIV/0!</v>
      </c>
      <c r="AC351" s="537" t="e">
        <f t="shared" si="86"/>
        <v>#DIV/0!</v>
      </c>
      <c r="AD351" s="538" t="e">
        <f>IF(INPUTS!$B$15="yes",AC351,AB351)</f>
        <v>#DIV/0!</v>
      </c>
      <c r="AE351" s="36" t="str">
        <f t="shared" si="87"/>
        <v>no</v>
      </c>
      <c r="AF351" s="36"/>
      <c r="AG351" s="389" t="e">
        <f>P351*('upper bound Kenaga'!$F$36/100)</f>
        <v>#DIV/0!</v>
      </c>
      <c r="AH351" s="36"/>
      <c r="AI351" s="389" t="e">
        <f>P351*('upper bound Kenaga'!$F$96/100)</f>
        <v>#DIV/0!</v>
      </c>
      <c r="AJ351" s="36"/>
      <c r="AK351" s="36"/>
      <c r="AL351" s="36"/>
      <c r="AM351" s="36"/>
      <c r="AN351" s="36"/>
      <c r="AO351" s="36"/>
    </row>
    <row r="352" spans="10:41" s="1" customFormat="1">
      <c r="J352" s="6">
        <f>COUNTIF(K$21:K352,"=yes")</f>
        <v>1</v>
      </c>
      <c r="K352" s="533" t="str">
        <f>IF(LOOKUP(VALUE(M352),INPUTS!$G$6:$G$35)=M352,"yes","no")</f>
        <v>no</v>
      </c>
      <c r="L352" s="533">
        <f>IF(K352="yes",(LOOKUP(J352,INPUTS!$E$6:$E$35,INPUTS!$F$6:$F$35)),0)</f>
        <v>0</v>
      </c>
      <c r="M352" s="135">
        <f t="shared" si="88"/>
        <v>331</v>
      </c>
      <c r="N352" s="135">
        <f t="shared" si="89"/>
        <v>1</v>
      </c>
      <c r="O352" s="135">
        <f t="shared" si="90"/>
        <v>0</v>
      </c>
      <c r="P352" s="536" t="e">
        <f t="shared" si="91"/>
        <v>#DIV/0!</v>
      </c>
      <c r="Q352" s="537" t="e">
        <f t="shared" si="78"/>
        <v>#DIV/0!</v>
      </c>
      <c r="R352" s="538" t="e">
        <f>IF(INPUTS!$B$15="yes",Q352,P352)</f>
        <v>#DIV/0!</v>
      </c>
      <c r="S352" s="536" t="e">
        <f t="shared" si="79"/>
        <v>#DIV/0!</v>
      </c>
      <c r="T352" s="537" t="e">
        <f t="shared" si="80"/>
        <v>#DIV/0!</v>
      </c>
      <c r="U352" s="538" t="e">
        <f>IF(INPUTS!$B$15="yes",T352,S352)</f>
        <v>#DIV/0!</v>
      </c>
      <c r="V352" s="536" t="e">
        <f t="shared" si="81"/>
        <v>#DIV/0!</v>
      </c>
      <c r="W352" s="537" t="e">
        <f t="shared" si="82"/>
        <v>#DIV/0!</v>
      </c>
      <c r="X352" s="538" t="e">
        <f>IF(INPUTS!$B$15="yes",W352,V352)</f>
        <v>#DIV/0!</v>
      </c>
      <c r="Y352" s="536" t="e">
        <f t="shared" si="83"/>
        <v>#DIV/0!</v>
      </c>
      <c r="Z352" s="537" t="e">
        <f t="shared" si="84"/>
        <v>#DIV/0!</v>
      </c>
      <c r="AA352" s="538" t="e">
        <f>IF(INPUTS!$B$15="yes",Z352,Y352)</f>
        <v>#DIV/0!</v>
      </c>
      <c r="AB352" s="536" t="e">
        <f t="shared" si="85"/>
        <v>#DIV/0!</v>
      </c>
      <c r="AC352" s="537" t="e">
        <f t="shared" si="86"/>
        <v>#DIV/0!</v>
      </c>
      <c r="AD352" s="538" t="e">
        <f>IF(INPUTS!$B$15="yes",AC352,AB352)</f>
        <v>#DIV/0!</v>
      </c>
      <c r="AE352" s="36" t="str">
        <f t="shared" si="87"/>
        <v>no</v>
      </c>
      <c r="AF352" s="36"/>
      <c r="AG352" s="389" t="e">
        <f>P352*('upper bound Kenaga'!$F$36/100)</f>
        <v>#DIV/0!</v>
      </c>
      <c r="AH352" s="36"/>
      <c r="AI352" s="389" t="e">
        <f>P352*('upper bound Kenaga'!$F$96/100)</f>
        <v>#DIV/0!</v>
      </c>
      <c r="AJ352" s="36"/>
      <c r="AK352" s="36"/>
      <c r="AL352" s="36"/>
      <c r="AM352" s="36"/>
      <c r="AN352" s="36"/>
      <c r="AO352" s="36"/>
    </row>
    <row r="353" spans="10:41" s="1" customFormat="1">
      <c r="J353" s="6">
        <f>COUNTIF(K$21:K353,"=yes")</f>
        <v>1</v>
      </c>
      <c r="K353" s="533" t="str">
        <f>IF(LOOKUP(VALUE(M353),INPUTS!$G$6:$G$35)=M353,"yes","no")</f>
        <v>no</v>
      </c>
      <c r="L353" s="533">
        <f>IF(K353="yes",(LOOKUP(J353,INPUTS!$E$6:$E$35,INPUTS!$F$6:$F$35)),0)</f>
        <v>0</v>
      </c>
      <c r="M353" s="135">
        <f t="shared" si="88"/>
        <v>332</v>
      </c>
      <c r="N353" s="135">
        <f t="shared" si="89"/>
        <v>1</v>
      </c>
      <c r="O353" s="135">
        <f t="shared" si="90"/>
        <v>0</v>
      </c>
      <c r="P353" s="536" t="e">
        <f t="shared" si="91"/>
        <v>#DIV/0!</v>
      </c>
      <c r="Q353" s="537" t="e">
        <f t="shared" si="78"/>
        <v>#DIV/0!</v>
      </c>
      <c r="R353" s="538" t="e">
        <f>IF(INPUTS!$B$15="yes",Q353,P353)</f>
        <v>#DIV/0!</v>
      </c>
      <c r="S353" s="536" t="e">
        <f t="shared" si="79"/>
        <v>#DIV/0!</v>
      </c>
      <c r="T353" s="537" t="e">
        <f t="shared" si="80"/>
        <v>#DIV/0!</v>
      </c>
      <c r="U353" s="538" t="e">
        <f>IF(INPUTS!$B$15="yes",T353,S353)</f>
        <v>#DIV/0!</v>
      </c>
      <c r="V353" s="536" t="e">
        <f t="shared" si="81"/>
        <v>#DIV/0!</v>
      </c>
      <c r="W353" s="537" t="e">
        <f t="shared" si="82"/>
        <v>#DIV/0!</v>
      </c>
      <c r="X353" s="538" t="e">
        <f>IF(INPUTS!$B$15="yes",W353,V353)</f>
        <v>#DIV/0!</v>
      </c>
      <c r="Y353" s="536" t="e">
        <f t="shared" si="83"/>
        <v>#DIV/0!</v>
      </c>
      <c r="Z353" s="537" t="e">
        <f t="shared" si="84"/>
        <v>#DIV/0!</v>
      </c>
      <c r="AA353" s="538" t="e">
        <f>IF(INPUTS!$B$15="yes",Z353,Y353)</f>
        <v>#DIV/0!</v>
      </c>
      <c r="AB353" s="536" t="e">
        <f t="shared" si="85"/>
        <v>#DIV/0!</v>
      </c>
      <c r="AC353" s="537" t="e">
        <f t="shared" si="86"/>
        <v>#DIV/0!</v>
      </c>
      <c r="AD353" s="538" t="e">
        <f>IF(INPUTS!$B$15="yes",AC353,AB353)</f>
        <v>#DIV/0!</v>
      </c>
      <c r="AE353" s="36" t="str">
        <f t="shared" si="87"/>
        <v>no</v>
      </c>
      <c r="AF353" s="36"/>
      <c r="AG353" s="389" t="e">
        <f>P353*('upper bound Kenaga'!$F$36/100)</f>
        <v>#DIV/0!</v>
      </c>
      <c r="AH353" s="36"/>
      <c r="AI353" s="389" t="e">
        <f>P353*('upper bound Kenaga'!$F$96/100)</f>
        <v>#DIV/0!</v>
      </c>
      <c r="AJ353" s="36"/>
      <c r="AK353" s="36"/>
      <c r="AL353" s="36"/>
      <c r="AM353" s="36"/>
      <c r="AN353" s="36"/>
      <c r="AO353" s="36"/>
    </row>
    <row r="354" spans="10:41" s="1" customFormat="1">
      <c r="J354" s="6">
        <f>COUNTIF(K$21:K354,"=yes")</f>
        <v>1</v>
      </c>
      <c r="K354" s="533" t="str">
        <f>IF(LOOKUP(VALUE(M354),INPUTS!$G$6:$G$35)=M354,"yes","no")</f>
        <v>no</v>
      </c>
      <c r="L354" s="533">
        <f>IF(K354="yes",(LOOKUP(J354,INPUTS!$E$6:$E$35,INPUTS!$F$6:$F$35)),0)</f>
        <v>0</v>
      </c>
      <c r="M354" s="135">
        <f t="shared" si="88"/>
        <v>333</v>
      </c>
      <c r="N354" s="135">
        <f t="shared" si="89"/>
        <v>1</v>
      </c>
      <c r="O354" s="135">
        <f t="shared" si="90"/>
        <v>0</v>
      </c>
      <c r="P354" s="536" t="e">
        <f t="shared" si="91"/>
        <v>#DIV/0!</v>
      </c>
      <c r="Q354" s="537" t="e">
        <f t="shared" si="78"/>
        <v>#DIV/0!</v>
      </c>
      <c r="R354" s="538" t="e">
        <f>IF(INPUTS!$B$15="yes",Q354,P354)</f>
        <v>#DIV/0!</v>
      </c>
      <c r="S354" s="536" t="e">
        <f t="shared" si="79"/>
        <v>#DIV/0!</v>
      </c>
      <c r="T354" s="537" t="e">
        <f t="shared" si="80"/>
        <v>#DIV/0!</v>
      </c>
      <c r="U354" s="538" t="e">
        <f>IF(INPUTS!$B$15="yes",T354,S354)</f>
        <v>#DIV/0!</v>
      </c>
      <c r="V354" s="536" t="e">
        <f t="shared" si="81"/>
        <v>#DIV/0!</v>
      </c>
      <c r="W354" s="537" t="e">
        <f t="shared" si="82"/>
        <v>#DIV/0!</v>
      </c>
      <c r="X354" s="538" t="e">
        <f>IF(INPUTS!$B$15="yes",W354,V354)</f>
        <v>#DIV/0!</v>
      </c>
      <c r="Y354" s="536" t="e">
        <f t="shared" si="83"/>
        <v>#DIV/0!</v>
      </c>
      <c r="Z354" s="537" t="e">
        <f t="shared" si="84"/>
        <v>#DIV/0!</v>
      </c>
      <c r="AA354" s="538" t="e">
        <f>IF(INPUTS!$B$15="yes",Z354,Y354)</f>
        <v>#DIV/0!</v>
      </c>
      <c r="AB354" s="536" t="e">
        <f t="shared" si="85"/>
        <v>#DIV/0!</v>
      </c>
      <c r="AC354" s="537" t="e">
        <f t="shared" si="86"/>
        <v>#DIV/0!</v>
      </c>
      <c r="AD354" s="538" t="e">
        <f>IF(INPUTS!$B$15="yes",AC354,AB354)</f>
        <v>#DIV/0!</v>
      </c>
      <c r="AE354" s="36" t="str">
        <f t="shared" si="87"/>
        <v>no</v>
      </c>
      <c r="AF354" s="36"/>
      <c r="AG354" s="389" t="e">
        <f>P354*('upper bound Kenaga'!$F$36/100)</f>
        <v>#DIV/0!</v>
      </c>
      <c r="AH354" s="36"/>
      <c r="AI354" s="389" t="e">
        <f>P354*('upper bound Kenaga'!$F$96/100)</f>
        <v>#DIV/0!</v>
      </c>
      <c r="AJ354" s="36"/>
      <c r="AK354" s="36"/>
      <c r="AL354" s="36"/>
      <c r="AM354" s="36"/>
      <c r="AN354" s="36"/>
      <c r="AO354" s="36"/>
    </row>
    <row r="355" spans="10:41" s="1" customFormat="1">
      <c r="J355" s="6">
        <f>COUNTIF(K$21:K355,"=yes")</f>
        <v>1</v>
      </c>
      <c r="K355" s="533" t="str">
        <f>IF(LOOKUP(VALUE(M355),INPUTS!$G$6:$G$35)=M355,"yes","no")</f>
        <v>no</v>
      </c>
      <c r="L355" s="533">
        <f>IF(K355="yes",(LOOKUP(J355,INPUTS!$E$6:$E$35,INPUTS!$F$6:$F$35)),0)</f>
        <v>0</v>
      </c>
      <c r="M355" s="135">
        <f t="shared" si="88"/>
        <v>334</v>
      </c>
      <c r="N355" s="135">
        <f t="shared" si="89"/>
        <v>1</v>
      </c>
      <c r="O355" s="135">
        <f t="shared" si="90"/>
        <v>0</v>
      </c>
      <c r="P355" s="536" t="e">
        <f t="shared" si="91"/>
        <v>#DIV/0!</v>
      </c>
      <c r="Q355" s="537" t="e">
        <f t="shared" si="78"/>
        <v>#DIV/0!</v>
      </c>
      <c r="R355" s="538" t="e">
        <f>IF(INPUTS!$B$15="yes",Q355,P355)</f>
        <v>#DIV/0!</v>
      </c>
      <c r="S355" s="536" t="e">
        <f t="shared" si="79"/>
        <v>#DIV/0!</v>
      </c>
      <c r="T355" s="537" t="e">
        <f t="shared" si="80"/>
        <v>#DIV/0!</v>
      </c>
      <c r="U355" s="538" t="e">
        <f>IF(INPUTS!$B$15="yes",T355,S355)</f>
        <v>#DIV/0!</v>
      </c>
      <c r="V355" s="536" t="e">
        <f t="shared" si="81"/>
        <v>#DIV/0!</v>
      </c>
      <c r="W355" s="537" t="e">
        <f t="shared" si="82"/>
        <v>#DIV/0!</v>
      </c>
      <c r="X355" s="538" t="e">
        <f>IF(INPUTS!$B$15="yes",W355,V355)</f>
        <v>#DIV/0!</v>
      </c>
      <c r="Y355" s="536" t="e">
        <f t="shared" si="83"/>
        <v>#DIV/0!</v>
      </c>
      <c r="Z355" s="537" t="e">
        <f t="shared" si="84"/>
        <v>#DIV/0!</v>
      </c>
      <c r="AA355" s="538" t="e">
        <f>IF(INPUTS!$B$15="yes",Z355,Y355)</f>
        <v>#DIV/0!</v>
      </c>
      <c r="AB355" s="536" t="e">
        <f t="shared" si="85"/>
        <v>#DIV/0!</v>
      </c>
      <c r="AC355" s="537" t="e">
        <f t="shared" si="86"/>
        <v>#DIV/0!</v>
      </c>
      <c r="AD355" s="538" t="e">
        <f>IF(INPUTS!$B$15="yes",AC355,AB355)</f>
        <v>#DIV/0!</v>
      </c>
      <c r="AE355" s="36" t="str">
        <f t="shared" si="87"/>
        <v>no</v>
      </c>
      <c r="AF355" s="36"/>
      <c r="AG355" s="389" t="e">
        <f>P355*('upper bound Kenaga'!$F$36/100)</f>
        <v>#DIV/0!</v>
      </c>
      <c r="AH355" s="36"/>
      <c r="AI355" s="389" t="e">
        <f>P355*('upper bound Kenaga'!$F$96/100)</f>
        <v>#DIV/0!</v>
      </c>
      <c r="AJ355" s="36"/>
      <c r="AK355" s="36"/>
      <c r="AL355" s="36"/>
      <c r="AM355" s="36"/>
      <c r="AN355" s="36"/>
      <c r="AO355" s="36"/>
    </row>
    <row r="356" spans="10:41" s="1" customFormat="1">
      <c r="J356" s="6">
        <f>COUNTIF(K$21:K356,"=yes")</f>
        <v>1</v>
      </c>
      <c r="K356" s="533" t="str">
        <f>IF(LOOKUP(VALUE(M356),INPUTS!$G$6:$G$35)=M356,"yes","no")</f>
        <v>no</v>
      </c>
      <c r="L356" s="533">
        <f>IF(K356="yes",(LOOKUP(J356,INPUTS!$E$6:$E$35,INPUTS!$F$6:$F$35)),0)</f>
        <v>0</v>
      </c>
      <c r="M356" s="135">
        <f t="shared" si="88"/>
        <v>335</v>
      </c>
      <c r="N356" s="135">
        <f t="shared" si="89"/>
        <v>1</v>
      </c>
      <c r="O356" s="135">
        <f t="shared" si="90"/>
        <v>0</v>
      </c>
      <c r="P356" s="536" t="e">
        <f t="shared" si="91"/>
        <v>#DIV/0!</v>
      </c>
      <c r="Q356" s="537" t="e">
        <f t="shared" si="78"/>
        <v>#DIV/0!</v>
      </c>
      <c r="R356" s="538" t="e">
        <f>IF(INPUTS!$B$15="yes",Q356,P356)</f>
        <v>#DIV/0!</v>
      </c>
      <c r="S356" s="536" t="e">
        <f t="shared" si="79"/>
        <v>#DIV/0!</v>
      </c>
      <c r="T356" s="537" t="e">
        <f t="shared" si="80"/>
        <v>#DIV/0!</v>
      </c>
      <c r="U356" s="538" t="e">
        <f>IF(INPUTS!$B$15="yes",T356,S356)</f>
        <v>#DIV/0!</v>
      </c>
      <c r="V356" s="536" t="e">
        <f t="shared" si="81"/>
        <v>#DIV/0!</v>
      </c>
      <c r="W356" s="537" t="e">
        <f t="shared" si="82"/>
        <v>#DIV/0!</v>
      </c>
      <c r="X356" s="538" t="e">
        <f>IF(INPUTS!$B$15="yes",W356,V356)</f>
        <v>#DIV/0!</v>
      </c>
      <c r="Y356" s="536" t="e">
        <f t="shared" si="83"/>
        <v>#DIV/0!</v>
      </c>
      <c r="Z356" s="537" t="e">
        <f t="shared" si="84"/>
        <v>#DIV/0!</v>
      </c>
      <c r="AA356" s="538" t="e">
        <f>IF(INPUTS!$B$15="yes",Z356,Y356)</f>
        <v>#DIV/0!</v>
      </c>
      <c r="AB356" s="536" t="e">
        <f t="shared" si="85"/>
        <v>#DIV/0!</v>
      </c>
      <c r="AC356" s="537" t="e">
        <f t="shared" si="86"/>
        <v>#DIV/0!</v>
      </c>
      <c r="AD356" s="538" t="e">
        <f>IF(INPUTS!$B$15="yes",AC356,AB356)</f>
        <v>#DIV/0!</v>
      </c>
      <c r="AE356" s="36" t="str">
        <f t="shared" si="87"/>
        <v>no</v>
      </c>
      <c r="AF356" s="36"/>
      <c r="AG356" s="389" t="e">
        <f>P356*('upper bound Kenaga'!$F$36/100)</f>
        <v>#DIV/0!</v>
      </c>
      <c r="AH356" s="36"/>
      <c r="AI356" s="389" t="e">
        <f>P356*('upper bound Kenaga'!$F$96/100)</f>
        <v>#DIV/0!</v>
      </c>
      <c r="AJ356" s="36"/>
      <c r="AK356" s="36"/>
      <c r="AL356" s="36"/>
      <c r="AM356" s="36"/>
      <c r="AN356" s="36"/>
      <c r="AO356" s="36"/>
    </row>
    <row r="357" spans="10:41" s="1" customFormat="1">
      <c r="J357" s="6">
        <f>COUNTIF(K$21:K357,"=yes")</f>
        <v>1</v>
      </c>
      <c r="K357" s="533" t="str">
        <f>IF(LOOKUP(VALUE(M357),INPUTS!$G$6:$G$35)=M357,"yes","no")</f>
        <v>no</v>
      </c>
      <c r="L357" s="533">
        <f>IF(K357="yes",(LOOKUP(J357,INPUTS!$E$6:$E$35,INPUTS!$F$6:$F$35)),0)</f>
        <v>0</v>
      </c>
      <c r="M357" s="135">
        <f t="shared" si="88"/>
        <v>336</v>
      </c>
      <c r="N357" s="135">
        <f t="shared" si="89"/>
        <v>1</v>
      </c>
      <c r="O357" s="135">
        <f t="shared" si="90"/>
        <v>0</v>
      </c>
      <c r="P357" s="536" t="e">
        <f t="shared" si="91"/>
        <v>#DIV/0!</v>
      </c>
      <c r="Q357" s="537" t="e">
        <f t="shared" si="78"/>
        <v>#DIV/0!</v>
      </c>
      <c r="R357" s="538" t="e">
        <f>IF(INPUTS!$B$15="yes",Q357,P357)</f>
        <v>#DIV/0!</v>
      </c>
      <c r="S357" s="536" t="e">
        <f t="shared" si="79"/>
        <v>#DIV/0!</v>
      </c>
      <c r="T357" s="537" t="e">
        <f t="shared" si="80"/>
        <v>#DIV/0!</v>
      </c>
      <c r="U357" s="538" t="e">
        <f>IF(INPUTS!$B$15="yes",T357,S357)</f>
        <v>#DIV/0!</v>
      </c>
      <c r="V357" s="536" t="e">
        <f t="shared" si="81"/>
        <v>#DIV/0!</v>
      </c>
      <c r="W357" s="537" t="e">
        <f t="shared" si="82"/>
        <v>#DIV/0!</v>
      </c>
      <c r="X357" s="538" t="e">
        <f>IF(INPUTS!$B$15="yes",W357,V357)</f>
        <v>#DIV/0!</v>
      </c>
      <c r="Y357" s="536" t="e">
        <f t="shared" si="83"/>
        <v>#DIV/0!</v>
      </c>
      <c r="Z357" s="537" t="e">
        <f t="shared" si="84"/>
        <v>#DIV/0!</v>
      </c>
      <c r="AA357" s="538" t="e">
        <f>IF(INPUTS!$B$15="yes",Z357,Y357)</f>
        <v>#DIV/0!</v>
      </c>
      <c r="AB357" s="536" t="e">
        <f t="shared" si="85"/>
        <v>#DIV/0!</v>
      </c>
      <c r="AC357" s="537" t="e">
        <f t="shared" si="86"/>
        <v>#DIV/0!</v>
      </c>
      <c r="AD357" s="538" t="e">
        <f>IF(INPUTS!$B$15="yes",AC357,AB357)</f>
        <v>#DIV/0!</v>
      </c>
      <c r="AE357" s="36" t="str">
        <f t="shared" si="87"/>
        <v>no</v>
      </c>
      <c r="AF357" s="36"/>
      <c r="AG357" s="389" t="e">
        <f>P357*('upper bound Kenaga'!$F$36/100)</f>
        <v>#DIV/0!</v>
      </c>
      <c r="AH357" s="36"/>
      <c r="AI357" s="389" t="e">
        <f>P357*('upper bound Kenaga'!$F$96/100)</f>
        <v>#DIV/0!</v>
      </c>
      <c r="AJ357" s="36"/>
      <c r="AK357" s="36"/>
      <c r="AL357" s="36"/>
      <c r="AM357" s="36"/>
      <c r="AN357" s="36"/>
      <c r="AO357" s="36"/>
    </row>
    <row r="358" spans="10:41" s="1" customFormat="1">
      <c r="J358" s="6">
        <f>COUNTIF(K$21:K358,"=yes")</f>
        <v>1</v>
      </c>
      <c r="K358" s="533" t="str">
        <f>IF(LOOKUP(VALUE(M358),INPUTS!$G$6:$G$35)=M358,"yes","no")</f>
        <v>no</v>
      </c>
      <c r="L358" s="533">
        <f>IF(K358="yes",(LOOKUP(J358,INPUTS!$E$6:$E$35,INPUTS!$F$6:$F$35)),0)</f>
        <v>0</v>
      </c>
      <c r="M358" s="135">
        <f t="shared" si="88"/>
        <v>337</v>
      </c>
      <c r="N358" s="135">
        <f t="shared" si="89"/>
        <v>1</v>
      </c>
      <c r="O358" s="135">
        <f t="shared" si="90"/>
        <v>0</v>
      </c>
      <c r="P358" s="536" t="e">
        <f t="shared" si="91"/>
        <v>#DIV/0!</v>
      </c>
      <c r="Q358" s="537" t="e">
        <f t="shared" si="78"/>
        <v>#DIV/0!</v>
      </c>
      <c r="R358" s="538" t="e">
        <f>IF(INPUTS!$B$15="yes",Q358,P358)</f>
        <v>#DIV/0!</v>
      </c>
      <c r="S358" s="536" t="e">
        <f t="shared" si="79"/>
        <v>#DIV/0!</v>
      </c>
      <c r="T358" s="537" t="e">
        <f t="shared" si="80"/>
        <v>#DIV/0!</v>
      </c>
      <c r="U358" s="538" t="e">
        <f>IF(INPUTS!$B$15="yes",T358,S358)</f>
        <v>#DIV/0!</v>
      </c>
      <c r="V358" s="536" t="e">
        <f t="shared" si="81"/>
        <v>#DIV/0!</v>
      </c>
      <c r="W358" s="537" t="e">
        <f t="shared" si="82"/>
        <v>#DIV/0!</v>
      </c>
      <c r="X358" s="538" t="e">
        <f>IF(INPUTS!$B$15="yes",W358,V358)</f>
        <v>#DIV/0!</v>
      </c>
      <c r="Y358" s="536" t="e">
        <f t="shared" si="83"/>
        <v>#DIV/0!</v>
      </c>
      <c r="Z358" s="537" t="e">
        <f t="shared" si="84"/>
        <v>#DIV/0!</v>
      </c>
      <c r="AA358" s="538" t="e">
        <f>IF(INPUTS!$B$15="yes",Z358,Y358)</f>
        <v>#DIV/0!</v>
      </c>
      <c r="AB358" s="536" t="e">
        <f t="shared" si="85"/>
        <v>#DIV/0!</v>
      </c>
      <c r="AC358" s="537" t="e">
        <f t="shared" si="86"/>
        <v>#DIV/0!</v>
      </c>
      <c r="AD358" s="538" t="e">
        <f>IF(INPUTS!$B$15="yes",AC358,AB358)</f>
        <v>#DIV/0!</v>
      </c>
      <c r="AE358" s="36" t="str">
        <f t="shared" si="87"/>
        <v>no</v>
      </c>
      <c r="AF358" s="36"/>
      <c r="AG358" s="389" t="e">
        <f>P358*('upper bound Kenaga'!$F$36/100)</f>
        <v>#DIV/0!</v>
      </c>
      <c r="AH358" s="36"/>
      <c r="AI358" s="389" t="e">
        <f>P358*('upper bound Kenaga'!$F$96/100)</f>
        <v>#DIV/0!</v>
      </c>
      <c r="AJ358" s="36"/>
      <c r="AK358" s="36"/>
      <c r="AL358" s="36"/>
      <c r="AM358" s="36"/>
      <c r="AN358" s="36"/>
      <c r="AO358" s="36"/>
    </row>
    <row r="359" spans="10:41" s="1" customFormat="1">
      <c r="J359" s="6">
        <f>COUNTIF(K$21:K359,"=yes")</f>
        <v>1</v>
      </c>
      <c r="K359" s="533" t="str">
        <f>IF(LOOKUP(VALUE(M359),INPUTS!$G$6:$G$35)=M359,"yes","no")</f>
        <v>no</v>
      </c>
      <c r="L359" s="533">
        <f>IF(K359="yes",(LOOKUP(J359,INPUTS!$E$6:$E$35,INPUTS!$F$6:$F$35)),0)</f>
        <v>0</v>
      </c>
      <c r="M359" s="135">
        <f t="shared" si="88"/>
        <v>338</v>
      </c>
      <c r="N359" s="135">
        <f t="shared" si="89"/>
        <v>1</v>
      </c>
      <c r="O359" s="135">
        <f t="shared" si="90"/>
        <v>0</v>
      </c>
      <c r="P359" s="536" t="e">
        <f t="shared" si="91"/>
        <v>#DIV/0!</v>
      </c>
      <c r="Q359" s="537" t="e">
        <f t="shared" si="78"/>
        <v>#DIV/0!</v>
      </c>
      <c r="R359" s="538" t="e">
        <f>IF(INPUTS!$B$15="yes",Q359,P359)</f>
        <v>#DIV/0!</v>
      </c>
      <c r="S359" s="536" t="e">
        <f t="shared" si="79"/>
        <v>#DIV/0!</v>
      </c>
      <c r="T359" s="537" t="e">
        <f t="shared" si="80"/>
        <v>#DIV/0!</v>
      </c>
      <c r="U359" s="538" t="e">
        <f>IF(INPUTS!$B$15="yes",T359,S359)</f>
        <v>#DIV/0!</v>
      </c>
      <c r="V359" s="536" t="e">
        <f t="shared" si="81"/>
        <v>#DIV/0!</v>
      </c>
      <c r="W359" s="537" t="e">
        <f t="shared" si="82"/>
        <v>#DIV/0!</v>
      </c>
      <c r="X359" s="538" t="e">
        <f>IF(INPUTS!$B$15="yes",W359,V359)</f>
        <v>#DIV/0!</v>
      </c>
      <c r="Y359" s="536" t="e">
        <f t="shared" si="83"/>
        <v>#DIV/0!</v>
      </c>
      <c r="Z359" s="537" t="e">
        <f t="shared" si="84"/>
        <v>#DIV/0!</v>
      </c>
      <c r="AA359" s="538" t="e">
        <f>IF(INPUTS!$B$15="yes",Z359,Y359)</f>
        <v>#DIV/0!</v>
      </c>
      <c r="AB359" s="536" t="e">
        <f t="shared" si="85"/>
        <v>#DIV/0!</v>
      </c>
      <c r="AC359" s="537" t="e">
        <f t="shared" si="86"/>
        <v>#DIV/0!</v>
      </c>
      <c r="AD359" s="538" t="e">
        <f>IF(INPUTS!$B$15="yes",AC359,AB359)</f>
        <v>#DIV/0!</v>
      </c>
      <c r="AE359" s="36" t="str">
        <f t="shared" si="87"/>
        <v>no</v>
      </c>
      <c r="AF359" s="36"/>
      <c r="AG359" s="389" t="e">
        <f>P359*('upper bound Kenaga'!$F$36/100)</f>
        <v>#DIV/0!</v>
      </c>
      <c r="AH359" s="36"/>
      <c r="AI359" s="389" t="e">
        <f>P359*('upper bound Kenaga'!$F$96/100)</f>
        <v>#DIV/0!</v>
      </c>
      <c r="AJ359" s="36"/>
      <c r="AK359" s="36"/>
      <c r="AL359" s="36"/>
      <c r="AM359" s="36"/>
      <c r="AN359" s="36"/>
      <c r="AO359" s="36"/>
    </row>
    <row r="360" spans="10:41" s="1" customFormat="1">
      <c r="J360" s="6">
        <f>COUNTIF(K$21:K360,"=yes")</f>
        <v>1</v>
      </c>
      <c r="K360" s="533" t="str">
        <f>IF(LOOKUP(VALUE(M360),INPUTS!$G$6:$G$35)=M360,"yes","no")</f>
        <v>no</v>
      </c>
      <c r="L360" s="533">
        <f>IF(K360="yes",(LOOKUP(J360,INPUTS!$E$6:$E$35,INPUTS!$F$6:$F$35)),0)</f>
        <v>0</v>
      </c>
      <c r="M360" s="135">
        <f t="shared" si="88"/>
        <v>339</v>
      </c>
      <c r="N360" s="135">
        <f t="shared" si="89"/>
        <v>1</v>
      </c>
      <c r="O360" s="135">
        <f t="shared" si="90"/>
        <v>0</v>
      </c>
      <c r="P360" s="536" t="e">
        <f t="shared" si="91"/>
        <v>#DIV/0!</v>
      </c>
      <c r="Q360" s="537" t="e">
        <f t="shared" si="78"/>
        <v>#DIV/0!</v>
      </c>
      <c r="R360" s="538" t="e">
        <f>IF(INPUTS!$B$15="yes",Q360,P360)</f>
        <v>#DIV/0!</v>
      </c>
      <c r="S360" s="536" t="e">
        <f t="shared" si="79"/>
        <v>#DIV/0!</v>
      </c>
      <c r="T360" s="537" t="e">
        <f t="shared" si="80"/>
        <v>#DIV/0!</v>
      </c>
      <c r="U360" s="538" t="e">
        <f>IF(INPUTS!$B$15="yes",T360,S360)</f>
        <v>#DIV/0!</v>
      </c>
      <c r="V360" s="536" t="e">
        <f t="shared" si="81"/>
        <v>#DIV/0!</v>
      </c>
      <c r="W360" s="537" t="e">
        <f t="shared" si="82"/>
        <v>#DIV/0!</v>
      </c>
      <c r="X360" s="538" t="e">
        <f>IF(INPUTS!$B$15="yes",W360,V360)</f>
        <v>#DIV/0!</v>
      </c>
      <c r="Y360" s="536" t="e">
        <f t="shared" si="83"/>
        <v>#DIV/0!</v>
      </c>
      <c r="Z360" s="537" t="e">
        <f t="shared" si="84"/>
        <v>#DIV/0!</v>
      </c>
      <c r="AA360" s="538" t="e">
        <f>IF(INPUTS!$B$15="yes",Z360,Y360)</f>
        <v>#DIV/0!</v>
      </c>
      <c r="AB360" s="536" t="e">
        <f t="shared" si="85"/>
        <v>#DIV/0!</v>
      </c>
      <c r="AC360" s="537" t="e">
        <f t="shared" si="86"/>
        <v>#DIV/0!</v>
      </c>
      <c r="AD360" s="538" t="e">
        <f>IF(INPUTS!$B$15="yes",AC360,AB360)</f>
        <v>#DIV/0!</v>
      </c>
      <c r="AE360" s="36" t="str">
        <f t="shared" si="87"/>
        <v>no</v>
      </c>
      <c r="AF360" s="36"/>
      <c r="AG360" s="389" t="e">
        <f>P360*('upper bound Kenaga'!$F$36/100)</f>
        <v>#DIV/0!</v>
      </c>
      <c r="AH360" s="36"/>
      <c r="AI360" s="389" t="e">
        <f>P360*('upper bound Kenaga'!$F$96/100)</f>
        <v>#DIV/0!</v>
      </c>
      <c r="AJ360" s="36"/>
      <c r="AK360" s="36"/>
      <c r="AL360" s="36"/>
      <c r="AM360" s="36"/>
      <c r="AN360" s="36"/>
      <c r="AO360" s="36"/>
    </row>
    <row r="361" spans="10:41" s="1" customFormat="1">
      <c r="J361" s="6">
        <f>COUNTIF(K$21:K361,"=yes")</f>
        <v>1</v>
      </c>
      <c r="K361" s="533" t="str">
        <f>IF(LOOKUP(VALUE(M361),INPUTS!$G$6:$G$35)=M361,"yes","no")</f>
        <v>no</v>
      </c>
      <c r="L361" s="533">
        <f>IF(K361="yes",(LOOKUP(J361,INPUTS!$E$6:$E$35,INPUTS!$F$6:$F$35)),0)</f>
        <v>0</v>
      </c>
      <c r="M361" s="135">
        <f t="shared" si="88"/>
        <v>340</v>
      </c>
      <c r="N361" s="135">
        <f t="shared" si="89"/>
        <v>1</v>
      </c>
      <c r="O361" s="135">
        <f t="shared" si="90"/>
        <v>0</v>
      </c>
      <c r="P361" s="536" t="e">
        <f t="shared" si="91"/>
        <v>#DIV/0!</v>
      </c>
      <c r="Q361" s="537" t="e">
        <f t="shared" si="78"/>
        <v>#DIV/0!</v>
      </c>
      <c r="R361" s="538" t="e">
        <f>IF(INPUTS!$B$15="yes",Q361,P361)</f>
        <v>#DIV/0!</v>
      </c>
      <c r="S361" s="536" t="e">
        <f t="shared" si="79"/>
        <v>#DIV/0!</v>
      </c>
      <c r="T361" s="537" t="e">
        <f t="shared" si="80"/>
        <v>#DIV/0!</v>
      </c>
      <c r="U361" s="538" t="e">
        <f>IF(INPUTS!$B$15="yes",T361,S361)</f>
        <v>#DIV/0!</v>
      </c>
      <c r="V361" s="536" t="e">
        <f t="shared" si="81"/>
        <v>#DIV/0!</v>
      </c>
      <c r="W361" s="537" t="e">
        <f t="shared" si="82"/>
        <v>#DIV/0!</v>
      </c>
      <c r="X361" s="538" t="e">
        <f>IF(INPUTS!$B$15="yes",W361,V361)</f>
        <v>#DIV/0!</v>
      </c>
      <c r="Y361" s="536" t="e">
        <f t="shared" si="83"/>
        <v>#DIV/0!</v>
      </c>
      <c r="Z361" s="537" t="e">
        <f t="shared" si="84"/>
        <v>#DIV/0!</v>
      </c>
      <c r="AA361" s="538" t="e">
        <f>IF(INPUTS!$B$15="yes",Z361,Y361)</f>
        <v>#DIV/0!</v>
      </c>
      <c r="AB361" s="536" t="e">
        <f t="shared" si="85"/>
        <v>#DIV/0!</v>
      </c>
      <c r="AC361" s="537" t="e">
        <f t="shared" si="86"/>
        <v>#DIV/0!</v>
      </c>
      <c r="AD361" s="538" t="e">
        <f>IF(INPUTS!$B$15="yes",AC361,AB361)</f>
        <v>#DIV/0!</v>
      </c>
      <c r="AE361" s="36" t="str">
        <f t="shared" si="87"/>
        <v>no</v>
      </c>
      <c r="AF361" s="36"/>
      <c r="AG361" s="389" t="e">
        <f>P361*('upper bound Kenaga'!$F$36/100)</f>
        <v>#DIV/0!</v>
      </c>
      <c r="AH361" s="36"/>
      <c r="AI361" s="389" t="e">
        <f>P361*('upper bound Kenaga'!$F$96/100)</f>
        <v>#DIV/0!</v>
      </c>
      <c r="AJ361" s="36"/>
      <c r="AK361" s="36"/>
      <c r="AL361" s="36"/>
      <c r="AM361" s="36"/>
      <c r="AN361" s="36"/>
      <c r="AO361" s="36"/>
    </row>
    <row r="362" spans="10:41" s="1" customFormat="1">
      <c r="J362" s="6">
        <f>COUNTIF(K$21:K362,"=yes")</f>
        <v>1</v>
      </c>
      <c r="K362" s="533" t="str">
        <f>IF(LOOKUP(VALUE(M362),INPUTS!$G$6:$G$35)=M362,"yes","no")</f>
        <v>no</v>
      </c>
      <c r="L362" s="533">
        <f>IF(K362="yes",(LOOKUP(J362,INPUTS!$E$6:$E$35,INPUTS!$F$6:$F$35)),0)</f>
        <v>0</v>
      </c>
      <c r="M362" s="135">
        <f t="shared" si="88"/>
        <v>341</v>
      </c>
      <c r="N362" s="135">
        <f t="shared" si="89"/>
        <v>1</v>
      </c>
      <c r="O362" s="135">
        <f t="shared" si="90"/>
        <v>0</v>
      </c>
      <c r="P362" s="536" t="e">
        <f t="shared" si="91"/>
        <v>#DIV/0!</v>
      </c>
      <c r="Q362" s="537" t="e">
        <f t="shared" si="78"/>
        <v>#DIV/0!</v>
      </c>
      <c r="R362" s="538" t="e">
        <f>IF(INPUTS!$B$15="yes",Q362,P362)</f>
        <v>#DIV/0!</v>
      </c>
      <c r="S362" s="536" t="e">
        <f t="shared" si="79"/>
        <v>#DIV/0!</v>
      </c>
      <c r="T362" s="537" t="e">
        <f t="shared" si="80"/>
        <v>#DIV/0!</v>
      </c>
      <c r="U362" s="538" t="e">
        <f>IF(INPUTS!$B$15="yes",T362,S362)</f>
        <v>#DIV/0!</v>
      </c>
      <c r="V362" s="536" t="e">
        <f t="shared" si="81"/>
        <v>#DIV/0!</v>
      </c>
      <c r="W362" s="537" t="e">
        <f t="shared" si="82"/>
        <v>#DIV/0!</v>
      </c>
      <c r="X362" s="538" t="e">
        <f>IF(INPUTS!$B$15="yes",W362,V362)</f>
        <v>#DIV/0!</v>
      </c>
      <c r="Y362" s="536" t="e">
        <f t="shared" si="83"/>
        <v>#DIV/0!</v>
      </c>
      <c r="Z362" s="537" t="e">
        <f t="shared" si="84"/>
        <v>#DIV/0!</v>
      </c>
      <c r="AA362" s="538" t="e">
        <f>IF(INPUTS!$B$15="yes",Z362,Y362)</f>
        <v>#DIV/0!</v>
      </c>
      <c r="AB362" s="536" t="e">
        <f t="shared" si="85"/>
        <v>#DIV/0!</v>
      </c>
      <c r="AC362" s="537" t="e">
        <f t="shared" si="86"/>
        <v>#DIV/0!</v>
      </c>
      <c r="AD362" s="538" t="e">
        <f>IF(INPUTS!$B$15="yes",AC362,AB362)</f>
        <v>#DIV/0!</v>
      </c>
      <c r="AE362" s="36" t="str">
        <f t="shared" si="87"/>
        <v>no</v>
      </c>
      <c r="AF362" s="36"/>
      <c r="AG362" s="389" t="e">
        <f>P362*('upper bound Kenaga'!$F$36/100)</f>
        <v>#DIV/0!</v>
      </c>
      <c r="AH362" s="36"/>
      <c r="AI362" s="389" t="e">
        <f>P362*('upper bound Kenaga'!$F$96/100)</f>
        <v>#DIV/0!</v>
      </c>
      <c r="AJ362" s="36"/>
      <c r="AK362" s="36"/>
      <c r="AL362" s="36"/>
      <c r="AM362" s="36"/>
      <c r="AN362" s="36"/>
      <c r="AO362" s="36"/>
    </row>
    <row r="363" spans="10:41" s="1" customFormat="1">
      <c r="J363" s="6">
        <f>COUNTIF(K$21:K363,"=yes")</f>
        <v>1</v>
      </c>
      <c r="K363" s="533" t="str">
        <f>IF(LOOKUP(VALUE(M363),INPUTS!$G$6:$G$35)=M363,"yes","no")</f>
        <v>no</v>
      </c>
      <c r="L363" s="533">
        <f>IF(K363="yes",(LOOKUP(J363,INPUTS!$E$6:$E$35,INPUTS!$F$6:$F$35)),0)</f>
        <v>0</v>
      </c>
      <c r="M363" s="135">
        <f t="shared" si="88"/>
        <v>342</v>
      </c>
      <c r="N363" s="135">
        <f t="shared" si="89"/>
        <v>1</v>
      </c>
      <c r="O363" s="135">
        <f t="shared" si="90"/>
        <v>0</v>
      </c>
      <c r="P363" s="536" t="e">
        <f t="shared" si="91"/>
        <v>#DIV/0!</v>
      </c>
      <c r="Q363" s="537" t="e">
        <f t="shared" si="78"/>
        <v>#DIV/0!</v>
      </c>
      <c r="R363" s="538" t="e">
        <f>IF(INPUTS!$B$15="yes",Q363,P363)</f>
        <v>#DIV/0!</v>
      </c>
      <c r="S363" s="536" t="e">
        <f t="shared" si="79"/>
        <v>#DIV/0!</v>
      </c>
      <c r="T363" s="537" t="e">
        <f t="shared" si="80"/>
        <v>#DIV/0!</v>
      </c>
      <c r="U363" s="538" t="e">
        <f>IF(INPUTS!$B$15="yes",T363,S363)</f>
        <v>#DIV/0!</v>
      </c>
      <c r="V363" s="536" t="e">
        <f t="shared" si="81"/>
        <v>#DIV/0!</v>
      </c>
      <c r="W363" s="537" t="e">
        <f t="shared" si="82"/>
        <v>#DIV/0!</v>
      </c>
      <c r="X363" s="538" t="e">
        <f>IF(INPUTS!$B$15="yes",W363,V363)</f>
        <v>#DIV/0!</v>
      </c>
      <c r="Y363" s="536" t="e">
        <f t="shared" si="83"/>
        <v>#DIV/0!</v>
      </c>
      <c r="Z363" s="537" t="e">
        <f t="shared" si="84"/>
        <v>#DIV/0!</v>
      </c>
      <c r="AA363" s="538" t="e">
        <f>IF(INPUTS!$B$15="yes",Z363,Y363)</f>
        <v>#DIV/0!</v>
      </c>
      <c r="AB363" s="536" t="e">
        <f t="shared" si="85"/>
        <v>#DIV/0!</v>
      </c>
      <c r="AC363" s="537" t="e">
        <f t="shared" si="86"/>
        <v>#DIV/0!</v>
      </c>
      <c r="AD363" s="538" t="e">
        <f>IF(INPUTS!$B$15="yes",AC363,AB363)</f>
        <v>#DIV/0!</v>
      </c>
      <c r="AE363" s="36" t="str">
        <f t="shared" si="87"/>
        <v>no</v>
      </c>
      <c r="AF363" s="36"/>
      <c r="AG363" s="389" t="e">
        <f>P363*('upper bound Kenaga'!$F$36/100)</f>
        <v>#DIV/0!</v>
      </c>
      <c r="AH363" s="36"/>
      <c r="AI363" s="389" t="e">
        <f>P363*('upper bound Kenaga'!$F$96/100)</f>
        <v>#DIV/0!</v>
      </c>
      <c r="AJ363" s="36"/>
      <c r="AK363" s="36"/>
      <c r="AL363" s="36"/>
      <c r="AM363" s="36"/>
      <c r="AN363" s="36"/>
      <c r="AO363" s="36"/>
    </row>
    <row r="364" spans="10:41" s="1" customFormat="1">
      <c r="J364" s="6">
        <f>COUNTIF(K$21:K364,"=yes")</f>
        <v>1</v>
      </c>
      <c r="K364" s="533" t="str">
        <f>IF(LOOKUP(VALUE(M364),INPUTS!$G$6:$G$35)=M364,"yes","no")</f>
        <v>no</v>
      </c>
      <c r="L364" s="533">
        <f>IF(K364="yes",(LOOKUP(J364,INPUTS!$E$6:$E$35,INPUTS!$F$6:$F$35)),0)</f>
        <v>0</v>
      </c>
      <c r="M364" s="135">
        <f t="shared" si="88"/>
        <v>343</v>
      </c>
      <c r="N364" s="135">
        <f t="shared" si="89"/>
        <v>1</v>
      </c>
      <c r="O364" s="135">
        <f t="shared" si="90"/>
        <v>0</v>
      </c>
      <c r="P364" s="536" t="e">
        <f t="shared" si="91"/>
        <v>#DIV/0!</v>
      </c>
      <c r="Q364" s="537" t="e">
        <f t="shared" si="78"/>
        <v>#DIV/0!</v>
      </c>
      <c r="R364" s="538" t="e">
        <f>IF(INPUTS!$B$15="yes",Q364,P364)</f>
        <v>#DIV/0!</v>
      </c>
      <c r="S364" s="536" t="e">
        <f t="shared" si="79"/>
        <v>#DIV/0!</v>
      </c>
      <c r="T364" s="537" t="e">
        <f t="shared" si="80"/>
        <v>#DIV/0!</v>
      </c>
      <c r="U364" s="538" t="e">
        <f>IF(INPUTS!$B$15="yes",T364,S364)</f>
        <v>#DIV/0!</v>
      </c>
      <c r="V364" s="536" t="e">
        <f t="shared" si="81"/>
        <v>#DIV/0!</v>
      </c>
      <c r="W364" s="537" t="e">
        <f t="shared" si="82"/>
        <v>#DIV/0!</v>
      </c>
      <c r="X364" s="538" t="e">
        <f>IF(INPUTS!$B$15="yes",W364,V364)</f>
        <v>#DIV/0!</v>
      </c>
      <c r="Y364" s="536" t="e">
        <f t="shared" si="83"/>
        <v>#DIV/0!</v>
      </c>
      <c r="Z364" s="537" t="e">
        <f t="shared" si="84"/>
        <v>#DIV/0!</v>
      </c>
      <c r="AA364" s="538" t="e">
        <f>IF(INPUTS!$B$15="yes",Z364,Y364)</f>
        <v>#DIV/0!</v>
      </c>
      <c r="AB364" s="536" t="e">
        <f t="shared" si="85"/>
        <v>#DIV/0!</v>
      </c>
      <c r="AC364" s="537" t="e">
        <f t="shared" si="86"/>
        <v>#DIV/0!</v>
      </c>
      <c r="AD364" s="538" t="e">
        <f>IF(INPUTS!$B$15="yes",AC364,AB364)</f>
        <v>#DIV/0!</v>
      </c>
      <c r="AE364" s="36" t="str">
        <f t="shared" si="87"/>
        <v>no</v>
      </c>
      <c r="AF364" s="36"/>
      <c r="AG364" s="389" t="e">
        <f>P364*('upper bound Kenaga'!$F$36/100)</f>
        <v>#DIV/0!</v>
      </c>
      <c r="AH364" s="36"/>
      <c r="AI364" s="389" t="e">
        <f>P364*('upper bound Kenaga'!$F$96/100)</f>
        <v>#DIV/0!</v>
      </c>
      <c r="AJ364" s="36"/>
      <c r="AK364" s="36"/>
      <c r="AL364" s="36"/>
      <c r="AM364" s="36"/>
      <c r="AN364" s="36"/>
      <c r="AO364" s="36"/>
    </row>
    <row r="365" spans="10:41" s="1" customFormat="1">
      <c r="J365" s="6">
        <f>COUNTIF(K$21:K365,"=yes")</f>
        <v>1</v>
      </c>
      <c r="K365" s="533" t="str">
        <f>IF(LOOKUP(VALUE(M365),INPUTS!$G$6:$G$35)=M365,"yes","no")</f>
        <v>no</v>
      </c>
      <c r="L365" s="533">
        <f>IF(K365="yes",(LOOKUP(J365,INPUTS!$E$6:$E$35,INPUTS!$F$6:$F$35)),0)</f>
        <v>0</v>
      </c>
      <c r="M365" s="135">
        <f t="shared" si="88"/>
        <v>344</v>
      </c>
      <c r="N365" s="135">
        <f t="shared" si="89"/>
        <v>1</v>
      </c>
      <c r="O365" s="135">
        <f t="shared" si="90"/>
        <v>0</v>
      </c>
      <c r="P365" s="536" t="e">
        <f t="shared" si="91"/>
        <v>#DIV/0!</v>
      </c>
      <c r="Q365" s="537" t="e">
        <f t="shared" si="78"/>
        <v>#DIV/0!</v>
      </c>
      <c r="R365" s="538" t="e">
        <f>IF(INPUTS!$B$15="yes",Q365,P365)</f>
        <v>#DIV/0!</v>
      </c>
      <c r="S365" s="536" t="e">
        <f t="shared" si="79"/>
        <v>#DIV/0!</v>
      </c>
      <c r="T365" s="537" t="e">
        <f t="shared" si="80"/>
        <v>#DIV/0!</v>
      </c>
      <c r="U365" s="538" t="e">
        <f>IF(INPUTS!$B$15="yes",T365,S365)</f>
        <v>#DIV/0!</v>
      </c>
      <c r="V365" s="536" t="e">
        <f t="shared" si="81"/>
        <v>#DIV/0!</v>
      </c>
      <c r="W365" s="537" t="e">
        <f t="shared" si="82"/>
        <v>#DIV/0!</v>
      </c>
      <c r="X365" s="538" t="e">
        <f>IF(INPUTS!$B$15="yes",W365,V365)</f>
        <v>#DIV/0!</v>
      </c>
      <c r="Y365" s="536" t="e">
        <f t="shared" si="83"/>
        <v>#DIV/0!</v>
      </c>
      <c r="Z365" s="537" t="e">
        <f t="shared" si="84"/>
        <v>#DIV/0!</v>
      </c>
      <c r="AA365" s="538" t="e">
        <f>IF(INPUTS!$B$15="yes",Z365,Y365)</f>
        <v>#DIV/0!</v>
      </c>
      <c r="AB365" s="536" t="e">
        <f t="shared" si="85"/>
        <v>#DIV/0!</v>
      </c>
      <c r="AC365" s="537" t="e">
        <f t="shared" si="86"/>
        <v>#DIV/0!</v>
      </c>
      <c r="AD365" s="538" t="e">
        <f>IF(INPUTS!$B$15="yes",AC365,AB365)</f>
        <v>#DIV/0!</v>
      </c>
      <c r="AE365" s="36" t="str">
        <f t="shared" si="87"/>
        <v>no</v>
      </c>
      <c r="AF365" s="36"/>
      <c r="AG365" s="389" t="e">
        <f>P365*('upper bound Kenaga'!$F$36/100)</f>
        <v>#DIV/0!</v>
      </c>
      <c r="AH365" s="36"/>
      <c r="AI365" s="389" t="e">
        <f>P365*('upper bound Kenaga'!$F$96/100)</f>
        <v>#DIV/0!</v>
      </c>
      <c r="AJ365" s="36"/>
      <c r="AK365" s="36"/>
      <c r="AL365" s="36"/>
      <c r="AM365" s="36"/>
      <c r="AN365" s="36"/>
      <c r="AO365" s="36"/>
    </row>
    <row r="366" spans="10:41" s="1" customFormat="1">
      <c r="J366" s="6">
        <f>COUNTIF(K$21:K366,"=yes")</f>
        <v>1</v>
      </c>
      <c r="K366" s="533" t="str">
        <f>IF(LOOKUP(VALUE(M366),INPUTS!$G$6:$G$35)=M366,"yes","no")</f>
        <v>no</v>
      </c>
      <c r="L366" s="533">
        <f>IF(K366="yes",(LOOKUP(J366,INPUTS!$E$6:$E$35,INPUTS!$F$6:$F$35)),0)</f>
        <v>0</v>
      </c>
      <c r="M366" s="135">
        <f t="shared" si="88"/>
        <v>345</v>
      </c>
      <c r="N366" s="135">
        <f t="shared" si="89"/>
        <v>1</v>
      </c>
      <c r="O366" s="135">
        <f t="shared" si="90"/>
        <v>0</v>
      </c>
      <c r="P366" s="536" t="e">
        <f t="shared" si="91"/>
        <v>#DIV/0!</v>
      </c>
      <c r="Q366" s="537" t="e">
        <f t="shared" si="78"/>
        <v>#DIV/0!</v>
      </c>
      <c r="R366" s="538" t="e">
        <f>IF(INPUTS!$B$15="yes",Q366,P366)</f>
        <v>#DIV/0!</v>
      </c>
      <c r="S366" s="536" t="e">
        <f t="shared" si="79"/>
        <v>#DIV/0!</v>
      </c>
      <c r="T366" s="537" t="e">
        <f t="shared" si="80"/>
        <v>#DIV/0!</v>
      </c>
      <c r="U366" s="538" t="e">
        <f>IF(INPUTS!$B$15="yes",T366,S366)</f>
        <v>#DIV/0!</v>
      </c>
      <c r="V366" s="536" t="e">
        <f t="shared" si="81"/>
        <v>#DIV/0!</v>
      </c>
      <c r="W366" s="537" t="e">
        <f t="shared" si="82"/>
        <v>#DIV/0!</v>
      </c>
      <c r="X366" s="538" t="e">
        <f>IF(INPUTS!$B$15="yes",W366,V366)</f>
        <v>#DIV/0!</v>
      </c>
      <c r="Y366" s="536" t="e">
        <f t="shared" si="83"/>
        <v>#DIV/0!</v>
      </c>
      <c r="Z366" s="537" t="e">
        <f t="shared" si="84"/>
        <v>#DIV/0!</v>
      </c>
      <c r="AA366" s="538" t="e">
        <f>IF(INPUTS!$B$15="yes",Z366,Y366)</f>
        <v>#DIV/0!</v>
      </c>
      <c r="AB366" s="536" t="e">
        <f t="shared" si="85"/>
        <v>#DIV/0!</v>
      </c>
      <c r="AC366" s="537" t="e">
        <f t="shared" si="86"/>
        <v>#DIV/0!</v>
      </c>
      <c r="AD366" s="538" t="e">
        <f>IF(INPUTS!$B$15="yes",AC366,AB366)</f>
        <v>#DIV/0!</v>
      </c>
      <c r="AE366" s="36" t="str">
        <f t="shared" si="87"/>
        <v>no</v>
      </c>
      <c r="AF366" s="36"/>
      <c r="AG366" s="389" t="e">
        <f>P366*('upper bound Kenaga'!$F$36/100)</f>
        <v>#DIV/0!</v>
      </c>
      <c r="AH366" s="36"/>
      <c r="AI366" s="389" t="e">
        <f>P366*('upper bound Kenaga'!$F$96/100)</f>
        <v>#DIV/0!</v>
      </c>
      <c r="AJ366" s="36"/>
      <c r="AK366" s="36"/>
      <c r="AL366" s="36"/>
      <c r="AM366" s="36"/>
      <c r="AN366" s="36"/>
      <c r="AO366" s="36"/>
    </row>
    <row r="367" spans="10:41" s="1" customFormat="1">
      <c r="J367" s="6">
        <f>COUNTIF(K$21:K367,"=yes")</f>
        <v>1</v>
      </c>
      <c r="K367" s="533" t="str">
        <f>IF(LOOKUP(VALUE(M367),INPUTS!$G$6:$G$35)=M367,"yes","no")</f>
        <v>no</v>
      </c>
      <c r="L367" s="533">
        <f>IF(K367="yes",(LOOKUP(J367,INPUTS!$E$6:$E$35,INPUTS!$F$6:$F$35)),0)</f>
        <v>0</v>
      </c>
      <c r="M367" s="135">
        <f t="shared" si="88"/>
        <v>346</v>
      </c>
      <c r="N367" s="135">
        <f t="shared" si="89"/>
        <v>1</v>
      </c>
      <c r="O367" s="135">
        <f t="shared" si="90"/>
        <v>0</v>
      </c>
      <c r="P367" s="536" t="e">
        <f t="shared" si="91"/>
        <v>#DIV/0!</v>
      </c>
      <c r="Q367" s="537" t="e">
        <f t="shared" si="78"/>
        <v>#DIV/0!</v>
      </c>
      <c r="R367" s="538" t="e">
        <f>IF(INPUTS!$B$15="yes",Q367,P367)</f>
        <v>#DIV/0!</v>
      </c>
      <c r="S367" s="536" t="e">
        <f t="shared" si="79"/>
        <v>#DIV/0!</v>
      </c>
      <c r="T367" s="537" t="e">
        <f t="shared" si="80"/>
        <v>#DIV/0!</v>
      </c>
      <c r="U367" s="538" t="e">
        <f>IF(INPUTS!$B$15="yes",T367,S367)</f>
        <v>#DIV/0!</v>
      </c>
      <c r="V367" s="536" t="e">
        <f t="shared" si="81"/>
        <v>#DIV/0!</v>
      </c>
      <c r="W367" s="537" t="e">
        <f t="shared" si="82"/>
        <v>#DIV/0!</v>
      </c>
      <c r="X367" s="538" t="e">
        <f>IF(INPUTS!$B$15="yes",W367,V367)</f>
        <v>#DIV/0!</v>
      </c>
      <c r="Y367" s="536" t="e">
        <f t="shared" si="83"/>
        <v>#DIV/0!</v>
      </c>
      <c r="Z367" s="537" t="e">
        <f t="shared" si="84"/>
        <v>#DIV/0!</v>
      </c>
      <c r="AA367" s="538" t="e">
        <f>IF(INPUTS!$B$15="yes",Z367,Y367)</f>
        <v>#DIV/0!</v>
      </c>
      <c r="AB367" s="536" t="e">
        <f t="shared" si="85"/>
        <v>#DIV/0!</v>
      </c>
      <c r="AC367" s="537" t="e">
        <f t="shared" si="86"/>
        <v>#DIV/0!</v>
      </c>
      <c r="AD367" s="538" t="e">
        <f>IF(INPUTS!$B$15="yes",AC367,AB367)</f>
        <v>#DIV/0!</v>
      </c>
      <c r="AE367" s="36" t="str">
        <f t="shared" si="87"/>
        <v>no</v>
      </c>
      <c r="AF367" s="36"/>
      <c r="AG367" s="389" t="e">
        <f>P367*('upper bound Kenaga'!$F$36/100)</f>
        <v>#DIV/0!</v>
      </c>
      <c r="AH367" s="36"/>
      <c r="AI367" s="389" t="e">
        <f>P367*('upper bound Kenaga'!$F$96/100)</f>
        <v>#DIV/0!</v>
      </c>
      <c r="AJ367" s="36"/>
      <c r="AK367" s="36"/>
      <c r="AL367" s="36"/>
      <c r="AM367" s="36"/>
      <c r="AN367" s="36"/>
      <c r="AO367" s="36"/>
    </row>
    <row r="368" spans="10:41" s="1" customFormat="1">
      <c r="J368" s="6">
        <f>COUNTIF(K$21:K368,"=yes")</f>
        <v>1</v>
      </c>
      <c r="K368" s="533" t="str">
        <f>IF(LOOKUP(VALUE(M368),INPUTS!$G$6:$G$35)=M368,"yes","no")</f>
        <v>no</v>
      </c>
      <c r="L368" s="533">
        <f>IF(K368="yes",(LOOKUP(J368,INPUTS!$E$6:$E$35,INPUTS!$F$6:$F$35)),0)</f>
        <v>0</v>
      </c>
      <c r="M368" s="135">
        <f t="shared" si="88"/>
        <v>347</v>
      </c>
      <c r="N368" s="135">
        <f t="shared" si="89"/>
        <v>1</v>
      </c>
      <c r="O368" s="135">
        <f t="shared" si="90"/>
        <v>0</v>
      </c>
      <c r="P368" s="536" t="e">
        <f t="shared" si="91"/>
        <v>#DIV/0!</v>
      </c>
      <c r="Q368" s="537" t="e">
        <f t="shared" si="78"/>
        <v>#DIV/0!</v>
      </c>
      <c r="R368" s="538" t="e">
        <f>IF(INPUTS!$B$15="yes",Q368,P368)</f>
        <v>#DIV/0!</v>
      </c>
      <c r="S368" s="536" t="e">
        <f t="shared" si="79"/>
        <v>#DIV/0!</v>
      </c>
      <c r="T368" s="537" t="e">
        <f t="shared" si="80"/>
        <v>#DIV/0!</v>
      </c>
      <c r="U368" s="538" t="e">
        <f>IF(INPUTS!$B$15="yes",T368,S368)</f>
        <v>#DIV/0!</v>
      </c>
      <c r="V368" s="536" t="e">
        <f t="shared" si="81"/>
        <v>#DIV/0!</v>
      </c>
      <c r="W368" s="537" t="e">
        <f t="shared" si="82"/>
        <v>#DIV/0!</v>
      </c>
      <c r="X368" s="538" t="e">
        <f>IF(INPUTS!$B$15="yes",W368,V368)</f>
        <v>#DIV/0!</v>
      </c>
      <c r="Y368" s="536" t="e">
        <f t="shared" si="83"/>
        <v>#DIV/0!</v>
      </c>
      <c r="Z368" s="537" t="e">
        <f t="shared" si="84"/>
        <v>#DIV/0!</v>
      </c>
      <c r="AA368" s="538" t="e">
        <f>IF(INPUTS!$B$15="yes",Z368,Y368)</f>
        <v>#DIV/0!</v>
      </c>
      <c r="AB368" s="536" t="e">
        <f t="shared" si="85"/>
        <v>#DIV/0!</v>
      </c>
      <c r="AC368" s="537" t="e">
        <f t="shared" si="86"/>
        <v>#DIV/0!</v>
      </c>
      <c r="AD368" s="538" t="e">
        <f>IF(INPUTS!$B$15="yes",AC368,AB368)</f>
        <v>#DIV/0!</v>
      </c>
      <c r="AE368" s="36" t="str">
        <f t="shared" si="87"/>
        <v>no</v>
      </c>
      <c r="AF368" s="36"/>
      <c r="AG368" s="389" t="e">
        <f>P368*('upper bound Kenaga'!$F$36/100)</f>
        <v>#DIV/0!</v>
      </c>
      <c r="AH368" s="36"/>
      <c r="AI368" s="389" t="e">
        <f>P368*('upper bound Kenaga'!$F$96/100)</f>
        <v>#DIV/0!</v>
      </c>
      <c r="AJ368" s="36"/>
      <c r="AK368" s="36"/>
      <c r="AL368" s="36"/>
      <c r="AM368" s="36"/>
      <c r="AN368" s="36"/>
      <c r="AO368" s="36"/>
    </row>
    <row r="369" spans="10:41" s="1" customFormat="1">
      <c r="J369" s="6">
        <f>COUNTIF(K$21:K369,"=yes")</f>
        <v>1</v>
      </c>
      <c r="K369" s="533" t="str">
        <f>IF(LOOKUP(VALUE(M369),INPUTS!$G$6:$G$35)=M369,"yes","no")</f>
        <v>no</v>
      </c>
      <c r="L369" s="533">
        <f>IF(K369="yes",(LOOKUP(J369,INPUTS!$E$6:$E$35,INPUTS!$F$6:$F$35)),0)</f>
        <v>0</v>
      </c>
      <c r="M369" s="135">
        <f t="shared" si="88"/>
        <v>348</v>
      </c>
      <c r="N369" s="135">
        <f t="shared" si="89"/>
        <v>1</v>
      </c>
      <c r="O369" s="135">
        <f t="shared" si="90"/>
        <v>0</v>
      </c>
      <c r="P369" s="536" t="e">
        <f t="shared" si="91"/>
        <v>#DIV/0!</v>
      </c>
      <c r="Q369" s="537" t="e">
        <f t="shared" si="78"/>
        <v>#DIV/0!</v>
      </c>
      <c r="R369" s="538" t="e">
        <f>IF(INPUTS!$B$15="yes",Q369,P369)</f>
        <v>#DIV/0!</v>
      </c>
      <c r="S369" s="536" t="e">
        <f t="shared" si="79"/>
        <v>#DIV/0!</v>
      </c>
      <c r="T369" s="537" t="e">
        <f t="shared" si="80"/>
        <v>#DIV/0!</v>
      </c>
      <c r="U369" s="538" t="e">
        <f>IF(INPUTS!$B$15="yes",T369,S369)</f>
        <v>#DIV/0!</v>
      </c>
      <c r="V369" s="536" t="e">
        <f t="shared" si="81"/>
        <v>#DIV/0!</v>
      </c>
      <c r="W369" s="537" t="e">
        <f t="shared" si="82"/>
        <v>#DIV/0!</v>
      </c>
      <c r="X369" s="538" t="e">
        <f>IF(INPUTS!$B$15="yes",W369,V369)</f>
        <v>#DIV/0!</v>
      </c>
      <c r="Y369" s="536" t="e">
        <f t="shared" si="83"/>
        <v>#DIV/0!</v>
      </c>
      <c r="Z369" s="537" t="e">
        <f t="shared" si="84"/>
        <v>#DIV/0!</v>
      </c>
      <c r="AA369" s="538" t="e">
        <f>IF(INPUTS!$B$15="yes",Z369,Y369)</f>
        <v>#DIV/0!</v>
      </c>
      <c r="AB369" s="536" t="e">
        <f t="shared" si="85"/>
        <v>#DIV/0!</v>
      </c>
      <c r="AC369" s="537" t="e">
        <f t="shared" si="86"/>
        <v>#DIV/0!</v>
      </c>
      <c r="AD369" s="538" t="e">
        <f>IF(INPUTS!$B$15="yes",AC369,AB369)</f>
        <v>#DIV/0!</v>
      </c>
      <c r="AE369" s="36" t="str">
        <f t="shared" si="87"/>
        <v>no</v>
      </c>
      <c r="AF369" s="36"/>
      <c r="AG369" s="389" t="e">
        <f>P369*('upper bound Kenaga'!$F$36/100)</f>
        <v>#DIV/0!</v>
      </c>
      <c r="AH369" s="36"/>
      <c r="AI369" s="389" t="e">
        <f>P369*('upper bound Kenaga'!$F$96/100)</f>
        <v>#DIV/0!</v>
      </c>
      <c r="AJ369" s="36"/>
      <c r="AK369" s="36"/>
      <c r="AL369" s="36"/>
      <c r="AM369" s="36"/>
      <c r="AN369" s="36"/>
      <c r="AO369" s="36"/>
    </row>
    <row r="370" spans="10:41" s="1" customFormat="1">
      <c r="J370" s="6">
        <f>COUNTIF(K$21:K370,"=yes")</f>
        <v>1</v>
      </c>
      <c r="K370" s="533" t="str">
        <f>IF(LOOKUP(VALUE(M370),INPUTS!$G$6:$G$35)=M370,"yes","no")</f>
        <v>no</v>
      </c>
      <c r="L370" s="533">
        <f>IF(K370="yes",(LOOKUP(J370,INPUTS!$E$6:$E$35,INPUTS!$F$6:$F$35)),0)</f>
        <v>0</v>
      </c>
      <c r="M370" s="135">
        <f t="shared" si="88"/>
        <v>349</v>
      </c>
      <c r="N370" s="135">
        <f t="shared" si="89"/>
        <v>1</v>
      </c>
      <c r="O370" s="135">
        <f t="shared" si="90"/>
        <v>0</v>
      </c>
      <c r="P370" s="536" t="e">
        <f t="shared" si="91"/>
        <v>#DIV/0!</v>
      </c>
      <c r="Q370" s="537" t="e">
        <f t="shared" si="78"/>
        <v>#DIV/0!</v>
      </c>
      <c r="R370" s="538" t="e">
        <f>IF(INPUTS!$B$15="yes",Q370,P370)</f>
        <v>#DIV/0!</v>
      </c>
      <c r="S370" s="536" t="e">
        <f t="shared" si="79"/>
        <v>#DIV/0!</v>
      </c>
      <c r="T370" s="537" t="e">
        <f t="shared" si="80"/>
        <v>#DIV/0!</v>
      </c>
      <c r="U370" s="538" t="e">
        <f>IF(INPUTS!$B$15="yes",T370,S370)</f>
        <v>#DIV/0!</v>
      </c>
      <c r="V370" s="536" t="e">
        <f t="shared" si="81"/>
        <v>#DIV/0!</v>
      </c>
      <c r="W370" s="537" t="e">
        <f t="shared" si="82"/>
        <v>#DIV/0!</v>
      </c>
      <c r="X370" s="538" t="e">
        <f>IF(INPUTS!$B$15="yes",W370,V370)</f>
        <v>#DIV/0!</v>
      </c>
      <c r="Y370" s="536" t="e">
        <f t="shared" si="83"/>
        <v>#DIV/0!</v>
      </c>
      <c r="Z370" s="537" t="e">
        <f t="shared" si="84"/>
        <v>#DIV/0!</v>
      </c>
      <c r="AA370" s="538" t="e">
        <f>IF(INPUTS!$B$15="yes",Z370,Y370)</f>
        <v>#DIV/0!</v>
      </c>
      <c r="AB370" s="536" t="e">
        <f t="shared" si="85"/>
        <v>#DIV/0!</v>
      </c>
      <c r="AC370" s="537" t="e">
        <f t="shared" si="86"/>
        <v>#DIV/0!</v>
      </c>
      <c r="AD370" s="538" t="e">
        <f>IF(INPUTS!$B$15="yes",AC370,AB370)</f>
        <v>#DIV/0!</v>
      </c>
      <c r="AE370" s="36" t="str">
        <f t="shared" si="87"/>
        <v>no</v>
      </c>
      <c r="AF370" s="36"/>
      <c r="AG370" s="389" t="e">
        <f>P370*('upper bound Kenaga'!$F$36/100)</f>
        <v>#DIV/0!</v>
      </c>
      <c r="AH370" s="36"/>
      <c r="AI370" s="389" t="e">
        <f>P370*('upper bound Kenaga'!$F$96/100)</f>
        <v>#DIV/0!</v>
      </c>
      <c r="AJ370" s="36"/>
      <c r="AK370" s="36"/>
      <c r="AL370" s="36"/>
      <c r="AM370" s="36"/>
      <c r="AN370" s="36"/>
      <c r="AO370" s="36"/>
    </row>
    <row r="371" spans="10:41" s="1" customFormat="1">
      <c r="J371" s="6">
        <f>COUNTIF(K$21:K371,"=yes")</f>
        <v>1</v>
      </c>
      <c r="K371" s="533" t="str">
        <f>IF(LOOKUP(VALUE(M371),INPUTS!$G$6:$G$35)=M371,"yes","no")</f>
        <v>no</v>
      </c>
      <c r="L371" s="533">
        <f>IF(K371="yes",(LOOKUP(J371,INPUTS!$E$6:$E$35,INPUTS!$F$6:$F$35)),0)</f>
        <v>0</v>
      </c>
      <c r="M371" s="135">
        <f t="shared" si="88"/>
        <v>350</v>
      </c>
      <c r="N371" s="135">
        <f t="shared" si="89"/>
        <v>1</v>
      </c>
      <c r="O371" s="135">
        <f t="shared" si="90"/>
        <v>0</v>
      </c>
      <c r="P371" s="536" t="e">
        <f t="shared" si="91"/>
        <v>#DIV/0!</v>
      </c>
      <c r="Q371" s="537" t="e">
        <f t="shared" si="78"/>
        <v>#DIV/0!</v>
      </c>
      <c r="R371" s="538" t="e">
        <f>IF(INPUTS!$B$15="yes",Q371,P371)</f>
        <v>#DIV/0!</v>
      </c>
      <c r="S371" s="536" t="e">
        <f t="shared" si="79"/>
        <v>#DIV/0!</v>
      </c>
      <c r="T371" s="537" t="e">
        <f t="shared" si="80"/>
        <v>#DIV/0!</v>
      </c>
      <c r="U371" s="538" t="e">
        <f>IF(INPUTS!$B$15="yes",T371,S371)</f>
        <v>#DIV/0!</v>
      </c>
      <c r="V371" s="536" t="e">
        <f t="shared" si="81"/>
        <v>#DIV/0!</v>
      </c>
      <c r="W371" s="537" t="e">
        <f t="shared" si="82"/>
        <v>#DIV/0!</v>
      </c>
      <c r="X371" s="538" t="e">
        <f>IF(INPUTS!$B$15="yes",W371,V371)</f>
        <v>#DIV/0!</v>
      </c>
      <c r="Y371" s="536" t="e">
        <f t="shared" si="83"/>
        <v>#DIV/0!</v>
      </c>
      <c r="Z371" s="537" t="e">
        <f t="shared" si="84"/>
        <v>#DIV/0!</v>
      </c>
      <c r="AA371" s="538" t="e">
        <f>IF(INPUTS!$B$15="yes",Z371,Y371)</f>
        <v>#DIV/0!</v>
      </c>
      <c r="AB371" s="536" t="e">
        <f t="shared" si="85"/>
        <v>#DIV/0!</v>
      </c>
      <c r="AC371" s="537" t="e">
        <f t="shared" si="86"/>
        <v>#DIV/0!</v>
      </c>
      <c r="AD371" s="538" t="e">
        <f>IF(INPUTS!$B$15="yes",AC371,AB371)</f>
        <v>#DIV/0!</v>
      </c>
      <c r="AE371" s="36" t="str">
        <f t="shared" si="87"/>
        <v>no</v>
      </c>
      <c r="AF371" s="36"/>
      <c r="AG371" s="389" t="e">
        <f>P371*('upper bound Kenaga'!$F$36/100)</f>
        <v>#DIV/0!</v>
      </c>
      <c r="AH371" s="36"/>
      <c r="AI371" s="389" t="e">
        <f>P371*('upper bound Kenaga'!$F$96/100)</f>
        <v>#DIV/0!</v>
      </c>
      <c r="AJ371" s="36"/>
      <c r="AK371" s="36"/>
      <c r="AL371" s="36"/>
      <c r="AM371" s="36"/>
      <c r="AN371" s="36"/>
      <c r="AO371" s="36"/>
    </row>
    <row r="372" spans="10:41" s="1" customFormat="1">
      <c r="J372" s="6">
        <f>COUNTIF(K$21:K372,"=yes")</f>
        <v>1</v>
      </c>
      <c r="K372" s="533" t="str">
        <f>IF(LOOKUP(VALUE(M372),INPUTS!$G$6:$G$35)=M372,"yes","no")</f>
        <v>no</v>
      </c>
      <c r="L372" s="533">
        <f>IF(K372="yes",(LOOKUP(J372,INPUTS!$E$6:$E$35,INPUTS!$F$6:$F$35)),0)</f>
        <v>0</v>
      </c>
      <c r="M372" s="135">
        <f t="shared" si="88"/>
        <v>351</v>
      </c>
      <c r="N372" s="135">
        <f t="shared" si="89"/>
        <v>1</v>
      </c>
      <c r="O372" s="135">
        <f t="shared" si="90"/>
        <v>0</v>
      </c>
      <c r="P372" s="536" t="e">
        <f t="shared" si="91"/>
        <v>#DIV/0!</v>
      </c>
      <c r="Q372" s="537" t="e">
        <f t="shared" si="78"/>
        <v>#DIV/0!</v>
      </c>
      <c r="R372" s="538" t="e">
        <f>IF(INPUTS!$B$15="yes",Q372,P372)</f>
        <v>#DIV/0!</v>
      </c>
      <c r="S372" s="536" t="e">
        <f t="shared" si="79"/>
        <v>#DIV/0!</v>
      </c>
      <c r="T372" s="537" t="e">
        <f t="shared" si="80"/>
        <v>#DIV/0!</v>
      </c>
      <c r="U372" s="538" t="e">
        <f>IF(INPUTS!$B$15="yes",T372,S372)</f>
        <v>#DIV/0!</v>
      </c>
      <c r="V372" s="536" t="e">
        <f t="shared" si="81"/>
        <v>#DIV/0!</v>
      </c>
      <c r="W372" s="537" t="e">
        <f t="shared" si="82"/>
        <v>#DIV/0!</v>
      </c>
      <c r="X372" s="538" t="e">
        <f>IF(INPUTS!$B$15="yes",W372,V372)</f>
        <v>#DIV/0!</v>
      </c>
      <c r="Y372" s="536" t="e">
        <f t="shared" si="83"/>
        <v>#DIV/0!</v>
      </c>
      <c r="Z372" s="537" t="e">
        <f t="shared" si="84"/>
        <v>#DIV/0!</v>
      </c>
      <c r="AA372" s="538" t="e">
        <f>IF(INPUTS!$B$15="yes",Z372,Y372)</f>
        <v>#DIV/0!</v>
      </c>
      <c r="AB372" s="536" t="e">
        <f t="shared" si="85"/>
        <v>#DIV/0!</v>
      </c>
      <c r="AC372" s="537" t="e">
        <f t="shared" si="86"/>
        <v>#DIV/0!</v>
      </c>
      <c r="AD372" s="538" t="e">
        <f>IF(INPUTS!$B$15="yes",AC372,AB372)</f>
        <v>#DIV/0!</v>
      </c>
      <c r="AE372" s="36" t="str">
        <f t="shared" si="87"/>
        <v>no</v>
      </c>
      <c r="AF372" s="36"/>
      <c r="AG372" s="389" t="e">
        <f>P372*('upper bound Kenaga'!$F$36/100)</f>
        <v>#DIV/0!</v>
      </c>
      <c r="AH372" s="36"/>
      <c r="AI372" s="389" t="e">
        <f>P372*('upper bound Kenaga'!$F$96/100)</f>
        <v>#DIV/0!</v>
      </c>
      <c r="AJ372" s="36"/>
      <c r="AK372" s="36"/>
      <c r="AL372" s="36"/>
      <c r="AM372" s="36"/>
      <c r="AN372" s="36"/>
      <c r="AO372" s="36"/>
    </row>
    <row r="373" spans="10:41" s="1" customFormat="1">
      <c r="J373" s="6">
        <f>COUNTIF(K$21:K373,"=yes")</f>
        <v>1</v>
      </c>
      <c r="K373" s="533" t="str">
        <f>IF(LOOKUP(VALUE(M373),INPUTS!$G$6:$G$35)=M373,"yes","no")</f>
        <v>no</v>
      </c>
      <c r="L373" s="533">
        <f>IF(K373="yes",(LOOKUP(J373,INPUTS!$E$6:$E$35,INPUTS!$F$6:$F$35)),0)</f>
        <v>0</v>
      </c>
      <c r="M373" s="135">
        <f t="shared" si="88"/>
        <v>352</v>
      </c>
      <c r="N373" s="135">
        <f t="shared" si="89"/>
        <v>1</v>
      </c>
      <c r="O373" s="135">
        <f t="shared" si="90"/>
        <v>0</v>
      </c>
      <c r="P373" s="536" t="e">
        <f t="shared" si="91"/>
        <v>#DIV/0!</v>
      </c>
      <c r="Q373" s="537" t="e">
        <f t="shared" si="78"/>
        <v>#DIV/0!</v>
      </c>
      <c r="R373" s="538" t="e">
        <f>IF(INPUTS!$B$15="yes",Q373,P373)</f>
        <v>#DIV/0!</v>
      </c>
      <c r="S373" s="536" t="e">
        <f t="shared" si="79"/>
        <v>#DIV/0!</v>
      </c>
      <c r="T373" s="537" t="e">
        <f t="shared" si="80"/>
        <v>#DIV/0!</v>
      </c>
      <c r="U373" s="538" t="e">
        <f>IF(INPUTS!$B$15="yes",T373,S373)</f>
        <v>#DIV/0!</v>
      </c>
      <c r="V373" s="536" t="e">
        <f t="shared" si="81"/>
        <v>#DIV/0!</v>
      </c>
      <c r="W373" s="537" t="e">
        <f t="shared" si="82"/>
        <v>#DIV/0!</v>
      </c>
      <c r="X373" s="538" t="e">
        <f>IF(INPUTS!$B$15="yes",W373,V373)</f>
        <v>#DIV/0!</v>
      </c>
      <c r="Y373" s="536" t="e">
        <f t="shared" si="83"/>
        <v>#DIV/0!</v>
      </c>
      <c r="Z373" s="537" t="e">
        <f t="shared" si="84"/>
        <v>#DIV/0!</v>
      </c>
      <c r="AA373" s="538" t="e">
        <f>IF(INPUTS!$B$15="yes",Z373,Y373)</f>
        <v>#DIV/0!</v>
      </c>
      <c r="AB373" s="536" t="e">
        <f t="shared" si="85"/>
        <v>#DIV/0!</v>
      </c>
      <c r="AC373" s="537" t="e">
        <f t="shared" si="86"/>
        <v>#DIV/0!</v>
      </c>
      <c r="AD373" s="538" t="e">
        <f>IF(INPUTS!$B$15="yes",AC373,AB373)</f>
        <v>#DIV/0!</v>
      </c>
      <c r="AE373" s="36" t="str">
        <f t="shared" si="87"/>
        <v>no</v>
      </c>
      <c r="AF373" s="36"/>
      <c r="AG373" s="389" t="e">
        <f>P373*('upper bound Kenaga'!$F$36/100)</f>
        <v>#DIV/0!</v>
      </c>
      <c r="AH373" s="36"/>
      <c r="AI373" s="389" t="e">
        <f>P373*('upper bound Kenaga'!$F$96/100)</f>
        <v>#DIV/0!</v>
      </c>
      <c r="AJ373" s="36"/>
      <c r="AK373" s="36"/>
      <c r="AL373" s="36"/>
      <c r="AM373" s="36"/>
      <c r="AN373" s="36"/>
      <c r="AO373" s="36"/>
    </row>
    <row r="374" spans="10:41" s="1" customFormat="1">
      <c r="J374" s="6">
        <f>COUNTIF(K$21:K374,"=yes")</f>
        <v>1</v>
      </c>
      <c r="K374" s="533" t="str">
        <f>IF(LOOKUP(VALUE(M374),INPUTS!$G$6:$G$35)=M374,"yes","no")</f>
        <v>no</v>
      </c>
      <c r="L374" s="533">
        <f>IF(K374="yes",(LOOKUP(J374,INPUTS!$E$6:$E$35,INPUTS!$F$6:$F$35)),0)</f>
        <v>0</v>
      </c>
      <c r="M374" s="135">
        <f t="shared" si="88"/>
        <v>353</v>
      </c>
      <c r="N374" s="135">
        <f t="shared" si="89"/>
        <v>1</v>
      </c>
      <c r="O374" s="135">
        <f t="shared" si="90"/>
        <v>0</v>
      </c>
      <c r="P374" s="536" t="e">
        <f t="shared" si="91"/>
        <v>#DIV/0!</v>
      </c>
      <c r="Q374" s="537" t="e">
        <f t="shared" si="78"/>
        <v>#DIV/0!</v>
      </c>
      <c r="R374" s="538" t="e">
        <f>IF(INPUTS!$B$15="yes",Q374,P374)</f>
        <v>#DIV/0!</v>
      </c>
      <c r="S374" s="536" t="e">
        <f t="shared" si="79"/>
        <v>#DIV/0!</v>
      </c>
      <c r="T374" s="537" t="e">
        <f t="shared" si="80"/>
        <v>#DIV/0!</v>
      </c>
      <c r="U374" s="538" t="e">
        <f>IF(INPUTS!$B$15="yes",T374,S374)</f>
        <v>#DIV/0!</v>
      </c>
      <c r="V374" s="536" t="e">
        <f t="shared" si="81"/>
        <v>#DIV/0!</v>
      </c>
      <c r="W374" s="537" t="e">
        <f t="shared" si="82"/>
        <v>#DIV/0!</v>
      </c>
      <c r="X374" s="538" t="e">
        <f>IF(INPUTS!$B$15="yes",W374,V374)</f>
        <v>#DIV/0!</v>
      </c>
      <c r="Y374" s="536" t="e">
        <f t="shared" si="83"/>
        <v>#DIV/0!</v>
      </c>
      <c r="Z374" s="537" t="e">
        <f t="shared" si="84"/>
        <v>#DIV/0!</v>
      </c>
      <c r="AA374" s="538" t="e">
        <f>IF(INPUTS!$B$15="yes",Z374,Y374)</f>
        <v>#DIV/0!</v>
      </c>
      <c r="AB374" s="536" t="e">
        <f t="shared" si="85"/>
        <v>#DIV/0!</v>
      </c>
      <c r="AC374" s="537" t="e">
        <f t="shared" si="86"/>
        <v>#DIV/0!</v>
      </c>
      <c r="AD374" s="538" t="e">
        <f>IF(INPUTS!$B$15="yes",AC374,AB374)</f>
        <v>#DIV/0!</v>
      </c>
      <c r="AE374" s="36" t="str">
        <f t="shared" si="87"/>
        <v>no</v>
      </c>
      <c r="AF374" s="36"/>
      <c r="AG374" s="389" t="e">
        <f>P374*('upper bound Kenaga'!$F$36/100)</f>
        <v>#DIV/0!</v>
      </c>
      <c r="AH374" s="36"/>
      <c r="AI374" s="389" t="e">
        <f>P374*('upper bound Kenaga'!$F$96/100)</f>
        <v>#DIV/0!</v>
      </c>
      <c r="AJ374" s="36"/>
      <c r="AK374" s="36"/>
      <c r="AL374" s="36"/>
      <c r="AM374" s="36"/>
      <c r="AN374" s="36"/>
      <c r="AO374" s="36"/>
    </row>
    <row r="375" spans="10:41" s="1" customFormat="1">
      <c r="J375" s="6">
        <f>COUNTIF(K$21:K375,"=yes")</f>
        <v>1</v>
      </c>
      <c r="K375" s="533" t="str">
        <f>IF(LOOKUP(VALUE(M375),INPUTS!$G$6:$G$35)=M375,"yes","no")</f>
        <v>no</v>
      </c>
      <c r="L375" s="533">
        <f>IF(K375="yes",(LOOKUP(J375,INPUTS!$E$6:$E$35,INPUTS!$F$6:$F$35)),0)</f>
        <v>0</v>
      </c>
      <c r="M375" s="135">
        <f t="shared" si="88"/>
        <v>354</v>
      </c>
      <c r="N375" s="135">
        <f t="shared" si="89"/>
        <v>1</v>
      </c>
      <c r="O375" s="135">
        <f t="shared" si="90"/>
        <v>0</v>
      </c>
      <c r="P375" s="536" t="e">
        <f t="shared" si="91"/>
        <v>#DIV/0!</v>
      </c>
      <c r="Q375" s="537" t="e">
        <f t="shared" si="78"/>
        <v>#DIV/0!</v>
      </c>
      <c r="R375" s="538" t="e">
        <f>IF(INPUTS!$B$15="yes",Q375,P375)</f>
        <v>#DIV/0!</v>
      </c>
      <c r="S375" s="536" t="e">
        <f t="shared" si="79"/>
        <v>#DIV/0!</v>
      </c>
      <c r="T375" s="537" t="e">
        <f t="shared" si="80"/>
        <v>#DIV/0!</v>
      </c>
      <c r="U375" s="538" t="e">
        <f>IF(INPUTS!$B$15="yes",T375,S375)</f>
        <v>#DIV/0!</v>
      </c>
      <c r="V375" s="536" t="e">
        <f t="shared" si="81"/>
        <v>#DIV/0!</v>
      </c>
      <c r="W375" s="537" t="e">
        <f t="shared" si="82"/>
        <v>#DIV/0!</v>
      </c>
      <c r="X375" s="538" t="e">
        <f>IF(INPUTS!$B$15="yes",W375,V375)</f>
        <v>#DIV/0!</v>
      </c>
      <c r="Y375" s="536" t="e">
        <f t="shared" si="83"/>
        <v>#DIV/0!</v>
      </c>
      <c r="Z375" s="537" t="e">
        <f t="shared" si="84"/>
        <v>#DIV/0!</v>
      </c>
      <c r="AA375" s="538" t="e">
        <f>IF(INPUTS!$B$15="yes",Z375,Y375)</f>
        <v>#DIV/0!</v>
      </c>
      <c r="AB375" s="536" t="e">
        <f t="shared" si="85"/>
        <v>#DIV/0!</v>
      </c>
      <c r="AC375" s="537" t="e">
        <f t="shared" si="86"/>
        <v>#DIV/0!</v>
      </c>
      <c r="AD375" s="538" t="e">
        <f>IF(INPUTS!$B$15="yes",AC375,AB375)</f>
        <v>#DIV/0!</v>
      </c>
      <c r="AE375" s="36" t="str">
        <f t="shared" si="87"/>
        <v>no</v>
      </c>
      <c r="AF375" s="36"/>
      <c r="AG375" s="389" t="e">
        <f>P375*('upper bound Kenaga'!$F$36/100)</f>
        <v>#DIV/0!</v>
      </c>
      <c r="AH375" s="36"/>
      <c r="AI375" s="389" t="e">
        <f>P375*('upper bound Kenaga'!$F$96/100)</f>
        <v>#DIV/0!</v>
      </c>
      <c r="AJ375" s="36"/>
      <c r="AK375" s="36"/>
      <c r="AL375" s="36"/>
      <c r="AM375" s="36"/>
      <c r="AN375" s="36"/>
      <c r="AO375" s="36"/>
    </row>
    <row r="376" spans="10:41" s="1" customFormat="1">
      <c r="J376" s="6">
        <f>COUNTIF(K$21:K376,"=yes")</f>
        <v>1</v>
      </c>
      <c r="K376" s="533" t="str">
        <f>IF(LOOKUP(VALUE(M376),INPUTS!$G$6:$G$35)=M376,"yes","no")</f>
        <v>no</v>
      </c>
      <c r="L376" s="533">
        <f>IF(K376="yes",(LOOKUP(J376,INPUTS!$E$6:$E$35,INPUTS!$F$6:$F$35)),0)</f>
        <v>0</v>
      </c>
      <c r="M376" s="135">
        <f t="shared" si="88"/>
        <v>355</v>
      </c>
      <c r="N376" s="135">
        <f t="shared" si="89"/>
        <v>1</v>
      </c>
      <c r="O376" s="135">
        <f t="shared" si="90"/>
        <v>0</v>
      </c>
      <c r="P376" s="536" t="e">
        <f t="shared" si="91"/>
        <v>#DIV/0!</v>
      </c>
      <c r="Q376" s="537" t="e">
        <f t="shared" si="78"/>
        <v>#DIV/0!</v>
      </c>
      <c r="R376" s="538" t="e">
        <f>IF(INPUTS!$B$15="yes",Q376,P376)</f>
        <v>#DIV/0!</v>
      </c>
      <c r="S376" s="536" t="e">
        <f t="shared" si="79"/>
        <v>#DIV/0!</v>
      </c>
      <c r="T376" s="537" t="e">
        <f t="shared" si="80"/>
        <v>#DIV/0!</v>
      </c>
      <c r="U376" s="538" t="e">
        <f>IF(INPUTS!$B$15="yes",T376,S376)</f>
        <v>#DIV/0!</v>
      </c>
      <c r="V376" s="536" t="e">
        <f t="shared" si="81"/>
        <v>#DIV/0!</v>
      </c>
      <c r="W376" s="537" t="e">
        <f t="shared" si="82"/>
        <v>#DIV/0!</v>
      </c>
      <c r="X376" s="538" t="e">
        <f>IF(INPUTS!$B$15="yes",W376,V376)</f>
        <v>#DIV/0!</v>
      </c>
      <c r="Y376" s="536" t="e">
        <f t="shared" si="83"/>
        <v>#DIV/0!</v>
      </c>
      <c r="Z376" s="537" t="e">
        <f t="shared" si="84"/>
        <v>#DIV/0!</v>
      </c>
      <c r="AA376" s="538" t="e">
        <f>IF(INPUTS!$B$15="yes",Z376,Y376)</f>
        <v>#DIV/0!</v>
      </c>
      <c r="AB376" s="536" t="e">
        <f t="shared" si="85"/>
        <v>#DIV/0!</v>
      </c>
      <c r="AC376" s="537" t="e">
        <f t="shared" si="86"/>
        <v>#DIV/0!</v>
      </c>
      <c r="AD376" s="538" t="e">
        <f>IF(INPUTS!$B$15="yes",AC376,AB376)</f>
        <v>#DIV/0!</v>
      </c>
      <c r="AE376" s="36" t="str">
        <f t="shared" si="87"/>
        <v>no</v>
      </c>
      <c r="AF376" s="36"/>
      <c r="AG376" s="389" t="e">
        <f>P376*('upper bound Kenaga'!$F$36/100)</f>
        <v>#DIV/0!</v>
      </c>
      <c r="AH376" s="36"/>
      <c r="AI376" s="389" t="e">
        <f>P376*('upper bound Kenaga'!$F$96/100)</f>
        <v>#DIV/0!</v>
      </c>
      <c r="AJ376" s="36"/>
      <c r="AK376" s="36"/>
      <c r="AL376" s="36"/>
      <c r="AM376" s="36"/>
      <c r="AN376" s="36"/>
      <c r="AO376" s="36"/>
    </row>
    <row r="377" spans="10:41" s="1" customFormat="1">
      <c r="J377" s="6">
        <f>COUNTIF(K$21:K377,"=yes")</f>
        <v>1</v>
      </c>
      <c r="K377" s="533" t="str">
        <f>IF(LOOKUP(VALUE(M377),INPUTS!$G$6:$G$35)=M377,"yes","no")</f>
        <v>no</v>
      </c>
      <c r="L377" s="533">
        <f>IF(K377="yes",(LOOKUP(J377,INPUTS!$E$6:$E$35,INPUTS!$F$6:$F$35)),0)</f>
        <v>0</v>
      </c>
      <c r="M377" s="135">
        <f t="shared" si="88"/>
        <v>356</v>
      </c>
      <c r="N377" s="135">
        <f t="shared" si="89"/>
        <v>1</v>
      </c>
      <c r="O377" s="135">
        <f t="shared" si="90"/>
        <v>0</v>
      </c>
      <c r="P377" s="536" t="e">
        <f t="shared" si="91"/>
        <v>#DIV/0!</v>
      </c>
      <c r="Q377" s="537" t="e">
        <f t="shared" si="78"/>
        <v>#DIV/0!</v>
      </c>
      <c r="R377" s="538" t="e">
        <f>IF(INPUTS!$B$15="yes",Q377,P377)</f>
        <v>#DIV/0!</v>
      </c>
      <c r="S377" s="536" t="e">
        <f t="shared" si="79"/>
        <v>#DIV/0!</v>
      </c>
      <c r="T377" s="537" t="e">
        <f t="shared" si="80"/>
        <v>#DIV/0!</v>
      </c>
      <c r="U377" s="538" t="e">
        <f>IF(INPUTS!$B$15="yes",T377,S377)</f>
        <v>#DIV/0!</v>
      </c>
      <c r="V377" s="536" t="e">
        <f t="shared" si="81"/>
        <v>#DIV/0!</v>
      </c>
      <c r="W377" s="537" t="e">
        <f t="shared" si="82"/>
        <v>#DIV/0!</v>
      </c>
      <c r="X377" s="538" t="e">
        <f>IF(INPUTS!$B$15="yes",W377,V377)</f>
        <v>#DIV/0!</v>
      </c>
      <c r="Y377" s="536" t="e">
        <f t="shared" si="83"/>
        <v>#DIV/0!</v>
      </c>
      <c r="Z377" s="537" t="e">
        <f t="shared" si="84"/>
        <v>#DIV/0!</v>
      </c>
      <c r="AA377" s="538" t="e">
        <f>IF(INPUTS!$B$15="yes",Z377,Y377)</f>
        <v>#DIV/0!</v>
      </c>
      <c r="AB377" s="536" t="e">
        <f t="shared" si="85"/>
        <v>#DIV/0!</v>
      </c>
      <c r="AC377" s="537" t="e">
        <f t="shared" si="86"/>
        <v>#DIV/0!</v>
      </c>
      <c r="AD377" s="538" t="e">
        <f>IF(INPUTS!$B$15="yes",AC377,AB377)</f>
        <v>#DIV/0!</v>
      </c>
      <c r="AE377" s="36" t="str">
        <f t="shared" si="87"/>
        <v>no</v>
      </c>
      <c r="AF377" s="36"/>
      <c r="AG377" s="389" t="e">
        <f>P377*('upper bound Kenaga'!$F$36/100)</f>
        <v>#DIV/0!</v>
      </c>
      <c r="AH377" s="36"/>
      <c r="AI377" s="389" t="e">
        <f>P377*('upper bound Kenaga'!$F$96/100)</f>
        <v>#DIV/0!</v>
      </c>
      <c r="AJ377" s="36"/>
      <c r="AK377" s="36"/>
      <c r="AL377" s="36"/>
      <c r="AM377" s="36"/>
      <c r="AN377" s="36"/>
      <c r="AO377" s="36"/>
    </row>
    <row r="378" spans="10:41" s="1" customFormat="1">
      <c r="J378" s="6">
        <f>COUNTIF(K$21:K378,"=yes")</f>
        <v>1</v>
      </c>
      <c r="K378" s="533" t="str">
        <f>IF(LOOKUP(VALUE(M378),INPUTS!$G$6:$G$35)=M378,"yes","no")</f>
        <v>no</v>
      </c>
      <c r="L378" s="533">
        <f>IF(K378="yes",(LOOKUP(J378,INPUTS!$E$6:$E$35,INPUTS!$F$6:$F$35)),0)</f>
        <v>0</v>
      </c>
      <c r="M378" s="135">
        <f t="shared" si="88"/>
        <v>357</v>
      </c>
      <c r="N378" s="135">
        <f t="shared" si="89"/>
        <v>1</v>
      </c>
      <c r="O378" s="135">
        <f t="shared" si="90"/>
        <v>0</v>
      </c>
      <c r="P378" s="536" t="e">
        <f t="shared" si="91"/>
        <v>#DIV/0!</v>
      </c>
      <c r="Q378" s="537" t="e">
        <f t="shared" si="78"/>
        <v>#DIV/0!</v>
      </c>
      <c r="R378" s="538" t="e">
        <f>IF(INPUTS!$B$15="yes",Q378,P378)</f>
        <v>#DIV/0!</v>
      </c>
      <c r="S378" s="536" t="e">
        <f t="shared" si="79"/>
        <v>#DIV/0!</v>
      </c>
      <c r="T378" s="537" t="e">
        <f t="shared" si="80"/>
        <v>#DIV/0!</v>
      </c>
      <c r="U378" s="538" t="e">
        <f>IF(INPUTS!$B$15="yes",T378,S378)</f>
        <v>#DIV/0!</v>
      </c>
      <c r="V378" s="536" t="e">
        <f t="shared" si="81"/>
        <v>#DIV/0!</v>
      </c>
      <c r="W378" s="537" t="e">
        <f t="shared" si="82"/>
        <v>#DIV/0!</v>
      </c>
      <c r="X378" s="538" t="e">
        <f>IF(INPUTS!$B$15="yes",W378,V378)</f>
        <v>#DIV/0!</v>
      </c>
      <c r="Y378" s="536" t="e">
        <f t="shared" si="83"/>
        <v>#DIV/0!</v>
      </c>
      <c r="Z378" s="537" t="e">
        <f t="shared" si="84"/>
        <v>#DIV/0!</v>
      </c>
      <c r="AA378" s="538" t="e">
        <f>IF(INPUTS!$B$15="yes",Z378,Y378)</f>
        <v>#DIV/0!</v>
      </c>
      <c r="AB378" s="536" t="e">
        <f t="shared" si="85"/>
        <v>#DIV/0!</v>
      </c>
      <c r="AC378" s="537" t="e">
        <f t="shared" si="86"/>
        <v>#DIV/0!</v>
      </c>
      <c r="AD378" s="538" t="e">
        <f>IF(INPUTS!$B$15="yes",AC378,AB378)</f>
        <v>#DIV/0!</v>
      </c>
      <c r="AE378" s="36" t="str">
        <f t="shared" si="87"/>
        <v>no</v>
      </c>
      <c r="AF378" s="36"/>
      <c r="AG378" s="389" t="e">
        <f>P378*('upper bound Kenaga'!$F$36/100)</f>
        <v>#DIV/0!</v>
      </c>
      <c r="AH378" s="36"/>
      <c r="AI378" s="389" t="e">
        <f>P378*('upper bound Kenaga'!$F$96/100)</f>
        <v>#DIV/0!</v>
      </c>
      <c r="AJ378" s="36"/>
      <c r="AK378" s="36"/>
      <c r="AL378" s="36"/>
      <c r="AM378" s="36"/>
      <c r="AN378" s="36"/>
      <c r="AO378" s="36"/>
    </row>
    <row r="379" spans="10:41" s="1" customFormat="1">
      <c r="J379" s="6">
        <f>COUNTIF(K$21:K379,"=yes")</f>
        <v>1</v>
      </c>
      <c r="K379" s="533" t="str">
        <f>IF(LOOKUP(VALUE(M379),INPUTS!$G$6:$G$35)=M379,"yes","no")</f>
        <v>no</v>
      </c>
      <c r="L379" s="533">
        <f>IF(K379="yes",(LOOKUP(J379,INPUTS!$E$6:$E$35,INPUTS!$F$6:$F$35)),0)</f>
        <v>0</v>
      </c>
      <c r="M379" s="135">
        <f t="shared" si="88"/>
        <v>358</v>
      </c>
      <c r="N379" s="135">
        <f t="shared" si="89"/>
        <v>1</v>
      </c>
      <c r="O379" s="135">
        <f t="shared" si="90"/>
        <v>0</v>
      </c>
      <c r="P379" s="536" t="e">
        <f t="shared" si="91"/>
        <v>#DIV/0!</v>
      </c>
      <c r="Q379" s="537" t="e">
        <f t="shared" si="78"/>
        <v>#DIV/0!</v>
      </c>
      <c r="R379" s="538" t="e">
        <f>IF(INPUTS!$B$15="yes",Q379,P379)</f>
        <v>#DIV/0!</v>
      </c>
      <c r="S379" s="536" t="e">
        <f t="shared" si="79"/>
        <v>#DIV/0!</v>
      </c>
      <c r="T379" s="537" t="e">
        <f t="shared" si="80"/>
        <v>#DIV/0!</v>
      </c>
      <c r="U379" s="538" t="e">
        <f>IF(INPUTS!$B$15="yes",T379,S379)</f>
        <v>#DIV/0!</v>
      </c>
      <c r="V379" s="536" t="e">
        <f t="shared" si="81"/>
        <v>#DIV/0!</v>
      </c>
      <c r="W379" s="537" t="e">
        <f t="shared" si="82"/>
        <v>#DIV/0!</v>
      </c>
      <c r="X379" s="538" t="e">
        <f>IF(INPUTS!$B$15="yes",W379,V379)</f>
        <v>#DIV/0!</v>
      </c>
      <c r="Y379" s="536" t="e">
        <f t="shared" si="83"/>
        <v>#DIV/0!</v>
      </c>
      <c r="Z379" s="537" t="e">
        <f t="shared" si="84"/>
        <v>#DIV/0!</v>
      </c>
      <c r="AA379" s="538" t="e">
        <f>IF(INPUTS!$B$15="yes",Z379,Y379)</f>
        <v>#DIV/0!</v>
      </c>
      <c r="AB379" s="536" t="e">
        <f t="shared" si="85"/>
        <v>#DIV/0!</v>
      </c>
      <c r="AC379" s="537" t="e">
        <f t="shared" si="86"/>
        <v>#DIV/0!</v>
      </c>
      <c r="AD379" s="538" t="e">
        <f>IF(INPUTS!$B$15="yes",AC379,AB379)</f>
        <v>#DIV/0!</v>
      </c>
      <c r="AE379" s="36" t="str">
        <f t="shared" si="87"/>
        <v>no</v>
      </c>
      <c r="AF379" s="36"/>
      <c r="AG379" s="389" t="e">
        <f>P379*('upper bound Kenaga'!$F$36/100)</f>
        <v>#DIV/0!</v>
      </c>
      <c r="AH379" s="36"/>
      <c r="AI379" s="389" t="e">
        <f>P379*('upper bound Kenaga'!$F$96/100)</f>
        <v>#DIV/0!</v>
      </c>
      <c r="AJ379" s="36"/>
      <c r="AK379" s="36"/>
      <c r="AL379" s="36"/>
      <c r="AM379" s="36"/>
      <c r="AN379" s="36"/>
      <c r="AO379" s="36"/>
    </row>
    <row r="380" spans="10:41" s="1" customFormat="1">
      <c r="J380" s="6">
        <f>COUNTIF(K$21:K380,"=yes")</f>
        <v>1</v>
      </c>
      <c r="K380" s="533" t="str">
        <f>IF(LOOKUP(VALUE(M380),INPUTS!$G$6:$G$35)=M380,"yes","no")</f>
        <v>no</v>
      </c>
      <c r="L380" s="533">
        <f>IF(K380="yes",(LOOKUP(J380,INPUTS!$E$6:$E$35,INPUTS!$F$6:$F$35)),0)</f>
        <v>0</v>
      </c>
      <c r="M380" s="135">
        <f t="shared" si="88"/>
        <v>359</v>
      </c>
      <c r="N380" s="135">
        <f t="shared" si="89"/>
        <v>1</v>
      </c>
      <c r="O380" s="135">
        <f t="shared" si="90"/>
        <v>0</v>
      </c>
      <c r="P380" s="536" t="e">
        <f t="shared" si="91"/>
        <v>#DIV/0!</v>
      </c>
      <c r="Q380" s="537" t="e">
        <f t="shared" si="78"/>
        <v>#DIV/0!</v>
      </c>
      <c r="R380" s="538" t="e">
        <f>IF(INPUTS!$B$15="yes",Q380,P380)</f>
        <v>#DIV/0!</v>
      </c>
      <c r="S380" s="536" t="e">
        <f t="shared" si="79"/>
        <v>#DIV/0!</v>
      </c>
      <c r="T380" s="537" t="e">
        <f t="shared" si="80"/>
        <v>#DIV/0!</v>
      </c>
      <c r="U380" s="538" t="e">
        <f>IF(INPUTS!$B$15="yes",T380,S380)</f>
        <v>#DIV/0!</v>
      </c>
      <c r="V380" s="536" t="e">
        <f t="shared" si="81"/>
        <v>#DIV/0!</v>
      </c>
      <c r="W380" s="537" t="e">
        <f t="shared" si="82"/>
        <v>#DIV/0!</v>
      </c>
      <c r="X380" s="538" t="e">
        <f>IF(INPUTS!$B$15="yes",W380,V380)</f>
        <v>#DIV/0!</v>
      </c>
      <c r="Y380" s="536" t="e">
        <f t="shared" si="83"/>
        <v>#DIV/0!</v>
      </c>
      <c r="Z380" s="537" t="e">
        <f t="shared" si="84"/>
        <v>#DIV/0!</v>
      </c>
      <c r="AA380" s="538" t="e">
        <f>IF(INPUTS!$B$15="yes",Z380,Y380)</f>
        <v>#DIV/0!</v>
      </c>
      <c r="AB380" s="536" t="e">
        <f t="shared" si="85"/>
        <v>#DIV/0!</v>
      </c>
      <c r="AC380" s="537" t="e">
        <f t="shared" si="86"/>
        <v>#DIV/0!</v>
      </c>
      <c r="AD380" s="538" t="e">
        <f>IF(INPUTS!$B$15="yes",AC380,AB380)</f>
        <v>#DIV/0!</v>
      </c>
      <c r="AE380" s="36" t="str">
        <f t="shared" si="87"/>
        <v>no</v>
      </c>
      <c r="AF380" s="36"/>
      <c r="AG380" s="389" t="e">
        <f>P380*('upper bound Kenaga'!$F$36/100)</f>
        <v>#DIV/0!</v>
      </c>
      <c r="AH380" s="36"/>
      <c r="AI380" s="389" t="e">
        <f>P380*('upper bound Kenaga'!$F$96/100)</f>
        <v>#DIV/0!</v>
      </c>
      <c r="AJ380" s="36"/>
      <c r="AK380" s="36"/>
      <c r="AL380" s="36"/>
      <c r="AM380" s="36"/>
      <c r="AN380" s="36"/>
      <c r="AO380" s="36"/>
    </row>
    <row r="381" spans="10:41" s="1" customFormat="1">
      <c r="J381" s="6">
        <f>COUNTIF(K$21:K381,"=yes")</f>
        <v>1</v>
      </c>
      <c r="K381" s="533" t="str">
        <f>IF(LOOKUP(VALUE(M381),INPUTS!$G$6:$G$35)=M381,"yes","no")</f>
        <v>no</v>
      </c>
      <c r="L381" s="533">
        <f>IF(K381="yes",(LOOKUP(J381,INPUTS!$E$6:$E$35,INPUTS!$F$6:$F$35)),0)</f>
        <v>0</v>
      </c>
      <c r="M381" s="135">
        <f t="shared" si="88"/>
        <v>360</v>
      </c>
      <c r="N381" s="135">
        <f t="shared" si="89"/>
        <v>1</v>
      </c>
      <c r="O381" s="135">
        <f t="shared" si="90"/>
        <v>0</v>
      </c>
      <c r="P381" s="536" t="e">
        <f t="shared" si="91"/>
        <v>#DIV/0!</v>
      </c>
      <c r="Q381" s="537" t="e">
        <f t="shared" si="78"/>
        <v>#DIV/0!</v>
      </c>
      <c r="R381" s="538" t="e">
        <f>IF(INPUTS!$B$15="yes",Q381,P381)</f>
        <v>#DIV/0!</v>
      </c>
      <c r="S381" s="536" t="e">
        <f t="shared" si="79"/>
        <v>#DIV/0!</v>
      </c>
      <c r="T381" s="537" t="e">
        <f t="shared" si="80"/>
        <v>#DIV/0!</v>
      </c>
      <c r="U381" s="538" t="e">
        <f>IF(INPUTS!$B$15="yes",T381,S381)</f>
        <v>#DIV/0!</v>
      </c>
      <c r="V381" s="536" t="e">
        <f t="shared" si="81"/>
        <v>#DIV/0!</v>
      </c>
      <c r="W381" s="537" t="e">
        <f t="shared" si="82"/>
        <v>#DIV/0!</v>
      </c>
      <c r="X381" s="538" t="e">
        <f>IF(INPUTS!$B$15="yes",W381,V381)</f>
        <v>#DIV/0!</v>
      </c>
      <c r="Y381" s="536" t="e">
        <f t="shared" si="83"/>
        <v>#DIV/0!</v>
      </c>
      <c r="Z381" s="537" t="e">
        <f t="shared" si="84"/>
        <v>#DIV/0!</v>
      </c>
      <c r="AA381" s="538" t="e">
        <f>IF(INPUTS!$B$15="yes",Z381,Y381)</f>
        <v>#DIV/0!</v>
      </c>
      <c r="AB381" s="536" t="e">
        <f t="shared" si="85"/>
        <v>#DIV/0!</v>
      </c>
      <c r="AC381" s="537" t="e">
        <f t="shared" si="86"/>
        <v>#DIV/0!</v>
      </c>
      <c r="AD381" s="538" t="e">
        <f>IF(INPUTS!$B$15="yes",AC381,AB381)</f>
        <v>#DIV/0!</v>
      </c>
      <c r="AE381" s="36" t="str">
        <f t="shared" si="87"/>
        <v>no</v>
      </c>
      <c r="AF381" s="36"/>
      <c r="AG381" s="389" t="e">
        <f>P381*('upper bound Kenaga'!$F$36/100)</f>
        <v>#DIV/0!</v>
      </c>
      <c r="AH381" s="36"/>
      <c r="AI381" s="389" t="e">
        <f>P381*('upper bound Kenaga'!$F$96/100)</f>
        <v>#DIV/0!</v>
      </c>
      <c r="AJ381" s="36"/>
      <c r="AK381" s="36"/>
      <c r="AL381" s="36"/>
      <c r="AM381" s="36"/>
      <c r="AN381" s="36"/>
      <c r="AO381" s="36"/>
    </row>
    <row r="382" spans="10:41" s="1" customFormat="1">
      <c r="J382" s="6">
        <f>COUNTIF(K$21:K382,"=yes")</f>
        <v>1</v>
      </c>
      <c r="K382" s="533" t="str">
        <f>IF(LOOKUP(VALUE(M382),INPUTS!$G$6:$G$35)=M382,"yes","no")</f>
        <v>no</v>
      </c>
      <c r="L382" s="533">
        <f>IF(K382="yes",(LOOKUP(J382,INPUTS!$E$6:$E$35,INPUTS!$F$6:$F$35)),0)</f>
        <v>0</v>
      </c>
      <c r="M382" s="135">
        <f t="shared" si="88"/>
        <v>361</v>
      </c>
      <c r="N382" s="135">
        <f t="shared" si="89"/>
        <v>1</v>
      </c>
      <c r="O382" s="135">
        <f t="shared" si="90"/>
        <v>0</v>
      </c>
      <c r="P382" s="536" t="e">
        <f t="shared" si="91"/>
        <v>#DIV/0!</v>
      </c>
      <c r="Q382" s="537" t="e">
        <f t="shared" si="78"/>
        <v>#DIV/0!</v>
      </c>
      <c r="R382" s="538" t="e">
        <f>IF(INPUTS!$B$15="yes",Q382,P382)</f>
        <v>#DIV/0!</v>
      </c>
      <c r="S382" s="536" t="e">
        <f t="shared" si="79"/>
        <v>#DIV/0!</v>
      </c>
      <c r="T382" s="537" t="e">
        <f t="shared" si="80"/>
        <v>#DIV/0!</v>
      </c>
      <c r="U382" s="538" t="e">
        <f>IF(INPUTS!$B$15="yes",T382,S382)</f>
        <v>#DIV/0!</v>
      </c>
      <c r="V382" s="536" t="e">
        <f t="shared" si="81"/>
        <v>#DIV/0!</v>
      </c>
      <c r="W382" s="537" t="e">
        <f t="shared" si="82"/>
        <v>#DIV/0!</v>
      </c>
      <c r="X382" s="538" t="e">
        <f>IF(INPUTS!$B$15="yes",W382,V382)</f>
        <v>#DIV/0!</v>
      </c>
      <c r="Y382" s="536" t="e">
        <f t="shared" si="83"/>
        <v>#DIV/0!</v>
      </c>
      <c r="Z382" s="537" t="e">
        <f t="shared" si="84"/>
        <v>#DIV/0!</v>
      </c>
      <c r="AA382" s="538" t="e">
        <f>IF(INPUTS!$B$15="yes",Z382,Y382)</f>
        <v>#DIV/0!</v>
      </c>
      <c r="AB382" s="536" t="e">
        <f t="shared" si="85"/>
        <v>#DIV/0!</v>
      </c>
      <c r="AC382" s="537" t="e">
        <f t="shared" si="86"/>
        <v>#DIV/0!</v>
      </c>
      <c r="AD382" s="538" t="e">
        <f>IF(INPUTS!$B$15="yes",AC382,AB382)</f>
        <v>#DIV/0!</v>
      </c>
      <c r="AE382" s="36" t="str">
        <f t="shared" si="87"/>
        <v>no</v>
      </c>
      <c r="AF382" s="36"/>
      <c r="AG382" s="389" t="e">
        <f>P382*('upper bound Kenaga'!$F$36/100)</f>
        <v>#DIV/0!</v>
      </c>
      <c r="AH382" s="36"/>
      <c r="AI382" s="389" t="e">
        <f>P382*('upper bound Kenaga'!$F$96/100)</f>
        <v>#DIV/0!</v>
      </c>
      <c r="AJ382" s="36"/>
      <c r="AK382" s="36"/>
      <c r="AL382" s="36"/>
      <c r="AM382" s="36"/>
      <c r="AN382" s="36"/>
      <c r="AO382" s="36"/>
    </row>
    <row r="383" spans="10:41" s="1" customFormat="1">
      <c r="J383" s="6">
        <f>COUNTIF(K$21:K383,"=yes")</f>
        <v>1</v>
      </c>
      <c r="K383" s="533" t="str">
        <f>IF(LOOKUP(VALUE(M383),INPUTS!$G$6:$G$35)=M383,"yes","no")</f>
        <v>no</v>
      </c>
      <c r="L383" s="533">
        <f>IF(K383="yes",(LOOKUP(J383,INPUTS!$E$6:$E$35,INPUTS!$F$6:$F$35)),0)</f>
        <v>0</v>
      </c>
      <c r="M383" s="135">
        <f t="shared" si="88"/>
        <v>362</v>
      </c>
      <c r="N383" s="135">
        <f t="shared" si="89"/>
        <v>1</v>
      </c>
      <c r="O383" s="135">
        <f t="shared" si="90"/>
        <v>0</v>
      </c>
      <c r="P383" s="536" t="e">
        <f t="shared" si="91"/>
        <v>#DIV/0!</v>
      </c>
      <c r="Q383" s="537" t="e">
        <f t="shared" si="78"/>
        <v>#DIV/0!</v>
      </c>
      <c r="R383" s="538" t="e">
        <f>IF(INPUTS!$B$15="yes",Q383,P383)</f>
        <v>#DIV/0!</v>
      </c>
      <c r="S383" s="536" t="e">
        <f t="shared" si="79"/>
        <v>#DIV/0!</v>
      </c>
      <c r="T383" s="537" t="e">
        <f t="shared" si="80"/>
        <v>#DIV/0!</v>
      </c>
      <c r="U383" s="538" t="e">
        <f>IF(INPUTS!$B$15="yes",T383,S383)</f>
        <v>#DIV/0!</v>
      </c>
      <c r="V383" s="536" t="e">
        <f t="shared" si="81"/>
        <v>#DIV/0!</v>
      </c>
      <c r="W383" s="537" t="e">
        <f t="shared" si="82"/>
        <v>#DIV/0!</v>
      </c>
      <c r="X383" s="538" t="e">
        <f>IF(INPUTS!$B$15="yes",W383,V383)</f>
        <v>#DIV/0!</v>
      </c>
      <c r="Y383" s="536" t="e">
        <f t="shared" si="83"/>
        <v>#DIV/0!</v>
      </c>
      <c r="Z383" s="537" t="e">
        <f t="shared" si="84"/>
        <v>#DIV/0!</v>
      </c>
      <c r="AA383" s="538" t="e">
        <f>IF(INPUTS!$B$15="yes",Z383,Y383)</f>
        <v>#DIV/0!</v>
      </c>
      <c r="AB383" s="536" t="e">
        <f t="shared" si="85"/>
        <v>#DIV/0!</v>
      </c>
      <c r="AC383" s="537" t="e">
        <f t="shared" si="86"/>
        <v>#DIV/0!</v>
      </c>
      <c r="AD383" s="538" t="e">
        <f>IF(INPUTS!$B$15="yes",AC383,AB383)</f>
        <v>#DIV/0!</v>
      </c>
      <c r="AE383" s="36" t="str">
        <f t="shared" si="87"/>
        <v>no</v>
      </c>
      <c r="AF383" s="36"/>
      <c r="AG383" s="389" t="e">
        <f>P383*('upper bound Kenaga'!$F$36/100)</f>
        <v>#DIV/0!</v>
      </c>
      <c r="AH383" s="36"/>
      <c r="AI383" s="389" t="e">
        <f>P383*('upper bound Kenaga'!$F$96/100)</f>
        <v>#DIV/0!</v>
      </c>
      <c r="AJ383" s="36"/>
      <c r="AK383" s="36"/>
      <c r="AL383" s="36"/>
      <c r="AM383" s="36"/>
      <c r="AN383" s="36"/>
      <c r="AO383" s="36"/>
    </row>
    <row r="384" spans="10:41" s="1" customFormat="1">
      <c r="J384" s="6">
        <f>COUNTIF(K$21:K384,"=yes")</f>
        <v>1</v>
      </c>
      <c r="K384" s="533" t="str">
        <f>IF(LOOKUP(VALUE(M384),INPUTS!$G$6:$G$35)=M384,"yes","no")</f>
        <v>no</v>
      </c>
      <c r="L384" s="533">
        <f>IF(K384="yes",(LOOKUP(J384,INPUTS!$E$6:$E$35,INPUTS!$F$6:$F$35)),0)</f>
        <v>0</v>
      </c>
      <c r="M384" s="135">
        <f t="shared" si="88"/>
        <v>363</v>
      </c>
      <c r="N384" s="135">
        <f t="shared" si="89"/>
        <v>1</v>
      </c>
      <c r="O384" s="135">
        <f t="shared" si="90"/>
        <v>0</v>
      </c>
      <c r="P384" s="536" t="e">
        <f t="shared" si="91"/>
        <v>#DIV/0!</v>
      </c>
      <c r="Q384" s="537" t="e">
        <f t="shared" si="78"/>
        <v>#DIV/0!</v>
      </c>
      <c r="R384" s="538" t="e">
        <f>IF(INPUTS!$B$15="yes",Q384,P384)</f>
        <v>#DIV/0!</v>
      </c>
      <c r="S384" s="536" t="e">
        <f t="shared" si="79"/>
        <v>#DIV/0!</v>
      </c>
      <c r="T384" s="537" t="e">
        <f t="shared" si="80"/>
        <v>#DIV/0!</v>
      </c>
      <c r="U384" s="538" t="e">
        <f>IF(INPUTS!$B$15="yes",T384,S384)</f>
        <v>#DIV/0!</v>
      </c>
      <c r="V384" s="536" t="e">
        <f t="shared" si="81"/>
        <v>#DIV/0!</v>
      </c>
      <c r="W384" s="537" t="e">
        <f t="shared" si="82"/>
        <v>#DIV/0!</v>
      </c>
      <c r="X384" s="538" t="e">
        <f>IF(INPUTS!$B$15="yes",W384,V384)</f>
        <v>#DIV/0!</v>
      </c>
      <c r="Y384" s="536" t="e">
        <f t="shared" si="83"/>
        <v>#DIV/0!</v>
      </c>
      <c r="Z384" s="537" t="e">
        <f t="shared" si="84"/>
        <v>#DIV/0!</v>
      </c>
      <c r="AA384" s="538" t="e">
        <f>IF(INPUTS!$B$15="yes",Z384,Y384)</f>
        <v>#DIV/0!</v>
      </c>
      <c r="AB384" s="536" t="e">
        <f t="shared" si="85"/>
        <v>#DIV/0!</v>
      </c>
      <c r="AC384" s="537" t="e">
        <f t="shared" si="86"/>
        <v>#DIV/0!</v>
      </c>
      <c r="AD384" s="538" t="e">
        <f>IF(INPUTS!$B$15="yes",AC384,AB384)</f>
        <v>#DIV/0!</v>
      </c>
      <c r="AE384" s="36" t="str">
        <f t="shared" si="87"/>
        <v>no</v>
      </c>
      <c r="AF384" s="36"/>
      <c r="AG384" s="389" t="e">
        <f>P384*('upper bound Kenaga'!$F$36/100)</f>
        <v>#DIV/0!</v>
      </c>
      <c r="AH384" s="36"/>
      <c r="AI384" s="389" t="e">
        <f>P384*('upper bound Kenaga'!$F$96/100)</f>
        <v>#DIV/0!</v>
      </c>
      <c r="AJ384" s="36"/>
      <c r="AK384" s="36"/>
      <c r="AL384" s="36"/>
      <c r="AM384" s="36"/>
      <c r="AN384" s="36"/>
      <c r="AO384" s="36"/>
    </row>
    <row r="385" spans="10:41" s="1" customFormat="1">
      <c r="J385" s="6">
        <f>COUNTIF(K$21:K385,"=yes")</f>
        <v>1</v>
      </c>
      <c r="K385" s="533" t="str">
        <f>IF(LOOKUP(VALUE(M385),INPUTS!$G$6:$G$35)=M385,"yes","no")</f>
        <v>no</v>
      </c>
      <c r="L385" s="533">
        <f>IF(K385="yes",(LOOKUP(J385,INPUTS!$E$6:$E$35,INPUTS!$F$6:$F$35)),0)</f>
        <v>0</v>
      </c>
      <c r="M385" s="135">
        <f t="shared" si="88"/>
        <v>364</v>
      </c>
      <c r="N385" s="135">
        <f t="shared" si="89"/>
        <v>1</v>
      </c>
      <c r="O385" s="135">
        <f t="shared" si="90"/>
        <v>0</v>
      </c>
      <c r="P385" s="536" t="e">
        <f t="shared" si="91"/>
        <v>#DIV/0!</v>
      </c>
      <c r="Q385" s="537" t="e">
        <f t="shared" si="78"/>
        <v>#DIV/0!</v>
      </c>
      <c r="R385" s="538" t="e">
        <f>IF(INPUTS!$B$15="yes",Q385,P385)</f>
        <v>#DIV/0!</v>
      </c>
      <c r="S385" s="536" t="e">
        <f t="shared" si="79"/>
        <v>#DIV/0!</v>
      </c>
      <c r="T385" s="537" t="e">
        <f t="shared" si="80"/>
        <v>#DIV/0!</v>
      </c>
      <c r="U385" s="538" t="e">
        <f>IF(INPUTS!$B$15="yes",T385,S385)</f>
        <v>#DIV/0!</v>
      </c>
      <c r="V385" s="536" t="e">
        <f t="shared" si="81"/>
        <v>#DIV/0!</v>
      </c>
      <c r="W385" s="537" t="e">
        <f t="shared" si="82"/>
        <v>#DIV/0!</v>
      </c>
      <c r="X385" s="538" t="e">
        <f>IF(INPUTS!$B$15="yes",W385,V385)</f>
        <v>#DIV/0!</v>
      </c>
      <c r="Y385" s="536" t="e">
        <f t="shared" si="83"/>
        <v>#DIV/0!</v>
      </c>
      <c r="Z385" s="537" t="e">
        <f t="shared" si="84"/>
        <v>#DIV/0!</v>
      </c>
      <c r="AA385" s="538" t="e">
        <f>IF(INPUTS!$B$15="yes",Z385,Y385)</f>
        <v>#DIV/0!</v>
      </c>
      <c r="AB385" s="536" t="e">
        <f t="shared" si="85"/>
        <v>#DIV/0!</v>
      </c>
      <c r="AC385" s="537" t="e">
        <f t="shared" si="86"/>
        <v>#DIV/0!</v>
      </c>
      <c r="AD385" s="538" t="e">
        <f>IF(INPUTS!$B$15="yes",AC385,AB385)</f>
        <v>#DIV/0!</v>
      </c>
      <c r="AE385" s="36" t="str">
        <f t="shared" si="87"/>
        <v>no</v>
      </c>
      <c r="AF385" s="36"/>
      <c r="AG385" s="389" t="e">
        <f>P385*('upper bound Kenaga'!$F$36/100)</f>
        <v>#DIV/0!</v>
      </c>
      <c r="AH385" s="36"/>
      <c r="AI385" s="389" t="e">
        <f>P385*('upper bound Kenaga'!$F$96/100)</f>
        <v>#DIV/0!</v>
      </c>
      <c r="AJ385" s="36"/>
      <c r="AK385" s="36"/>
      <c r="AL385" s="36"/>
      <c r="AM385" s="36"/>
      <c r="AN385" s="36"/>
      <c r="AO385" s="36"/>
    </row>
    <row r="386" spans="10:41" s="1" customFormat="1">
      <c r="J386" s="6">
        <f>COUNTIF(K$21:K386,"=yes")</f>
        <v>1</v>
      </c>
      <c r="K386" s="533" t="str">
        <f>IF(LOOKUP(VALUE(M386),INPUTS!$G$6:$G$35)=M386,"yes","no")</f>
        <v>no</v>
      </c>
      <c r="L386" s="533">
        <f>IF(K386="yes",(LOOKUP(J386,INPUTS!$E$6:$E$35,INPUTS!$F$6:$F$35)),0)</f>
        <v>0</v>
      </c>
      <c r="M386" s="135">
        <f t="shared" si="88"/>
        <v>365</v>
      </c>
      <c r="N386" s="135">
        <f t="shared" si="89"/>
        <v>1</v>
      </c>
      <c r="O386" s="135">
        <f t="shared" si="90"/>
        <v>0</v>
      </c>
      <c r="P386" s="536" t="e">
        <f t="shared" si="91"/>
        <v>#DIV/0!</v>
      </c>
      <c r="Q386" s="537" t="e">
        <f t="shared" si="78"/>
        <v>#DIV/0!</v>
      </c>
      <c r="R386" s="538" t="e">
        <f>IF(INPUTS!$B$15="yes",Q386,P386)</f>
        <v>#DIV/0!</v>
      </c>
      <c r="S386" s="536" t="e">
        <f t="shared" si="79"/>
        <v>#DIV/0!</v>
      </c>
      <c r="T386" s="537" t="e">
        <f t="shared" si="80"/>
        <v>#DIV/0!</v>
      </c>
      <c r="U386" s="538" t="e">
        <f>IF(INPUTS!$B$15="yes",T386,S386)</f>
        <v>#DIV/0!</v>
      </c>
      <c r="V386" s="536" t="e">
        <f t="shared" si="81"/>
        <v>#DIV/0!</v>
      </c>
      <c r="W386" s="537" t="e">
        <f t="shared" si="82"/>
        <v>#DIV/0!</v>
      </c>
      <c r="X386" s="538" t="e">
        <f>IF(INPUTS!$B$15="yes",W386,V386)</f>
        <v>#DIV/0!</v>
      </c>
      <c r="Y386" s="536" t="e">
        <f t="shared" si="83"/>
        <v>#DIV/0!</v>
      </c>
      <c r="Z386" s="537" t="e">
        <f t="shared" si="84"/>
        <v>#DIV/0!</v>
      </c>
      <c r="AA386" s="538" t="e">
        <f>IF(INPUTS!$B$15="yes",Z386,Y386)</f>
        <v>#DIV/0!</v>
      </c>
      <c r="AB386" s="536" t="e">
        <f t="shared" si="85"/>
        <v>#DIV/0!</v>
      </c>
      <c r="AC386" s="537" t="e">
        <f t="shared" si="86"/>
        <v>#DIV/0!</v>
      </c>
      <c r="AD386" s="538" t="e">
        <f>IF(INPUTS!$B$15="yes",AC386,AB386)</f>
        <v>#DIV/0!</v>
      </c>
      <c r="AE386" s="36" t="str">
        <f t="shared" si="87"/>
        <v>no</v>
      </c>
      <c r="AF386" s="36"/>
      <c r="AG386" s="389" t="e">
        <f>P386*('upper bound Kenaga'!$F$36/100)</f>
        <v>#DIV/0!</v>
      </c>
      <c r="AH386" s="36"/>
      <c r="AI386" s="389" t="e">
        <f>P386*('upper bound Kenaga'!$F$96/100)</f>
        <v>#DIV/0!</v>
      </c>
      <c r="AJ386" s="36"/>
      <c r="AK386" s="36"/>
      <c r="AL386" s="36"/>
      <c r="AM386" s="36"/>
      <c r="AN386" s="36"/>
      <c r="AO386" s="36"/>
    </row>
    <row r="387" spans="10:41" s="1" customFormat="1">
      <c r="J387" s="6">
        <f>COUNTIF(K$21:K387,"=yes")</f>
        <v>1</v>
      </c>
      <c r="K387" s="533" t="str">
        <f>IF(LOOKUP(VALUE(M387),INPUTS!$G$6:$G$35)=M387,"yes","no")</f>
        <v>no</v>
      </c>
      <c r="L387" s="533">
        <f>IF(K387="yes",(LOOKUP(J387,INPUTS!$E$6:$E$35,INPUTS!$F$6:$F$35)),0)</f>
        <v>0</v>
      </c>
      <c r="M387" s="135">
        <f t="shared" si="88"/>
        <v>366</v>
      </c>
      <c r="N387" s="135">
        <f t="shared" si="89"/>
        <v>1</v>
      </c>
      <c r="O387" s="135">
        <f t="shared" si="90"/>
        <v>0</v>
      </c>
      <c r="P387" s="536" t="e">
        <f t="shared" si="91"/>
        <v>#DIV/0!</v>
      </c>
      <c r="Q387" s="537" t="e">
        <f t="shared" si="78"/>
        <v>#DIV/0!</v>
      </c>
      <c r="R387" s="538" t="e">
        <f>IF(INPUTS!$B$15="yes",Q387,P387)</f>
        <v>#DIV/0!</v>
      </c>
      <c r="S387" s="536" t="e">
        <f t="shared" si="79"/>
        <v>#DIV/0!</v>
      </c>
      <c r="T387" s="537" t="e">
        <f t="shared" si="80"/>
        <v>#DIV/0!</v>
      </c>
      <c r="U387" s="538" t="e">
        <f>IF(INPUTS!$B$15="yes",T387,S387)</f>
        <v>#DIV/0!</v>
      </c>
      <c r="V387" s="536" t="e">
        <f t="shared" si="81"/>
        <v>#DIV/0!</v>
      </c>
      <c r="W387" s="537" t="e">
        <f t="shared" si="82"/>
        <v>#DIV/0!</v>
      </c>
      <c r="X387" s="538" t="e">
        <f>IF(INPUTS!$B$15="yes",W387,V387)</f>
        <v>#DIV/0!</v>
      </c>
      <c r="Y387" s="536" t="e">
        <f t="shared" si="83"/>
        <v>#DIV/0!</v>
      </c>
      <c r="Z387" s="537" t="e">
        <f t="shared" si="84"/>
        <v>#DIV/0!</v>
      </c>
      <c r="AA387" s="538" t="e">
        <f>IF(INPUTS!$B$15="yes",Z387,Y387)</f>
        <v>#DIV/0!</v>
      </c>
      <c r="AB387" s="536" t="e">
        <f t="shared" si="85"/>
        <v>#DIV/0!</v>
      </c>
      <c r="AC387" s="537" t="e">
        <f t="shared" si="86"/>
        <v>#DIV/0!</v>
      </c>
      <c r="AD387" s="538" t="e">
        <f>IF(INPUTS!$B$15="yes",AC387,AB387)</f>
        <v>#DIV/0!</v>
      </c>
      <c r="AE387" s="36" t="str">
        <f t="shared" si="87"/>
        <v>no</v>
      </c>
      <c r="AF387" s="36"/>
      <c r="AG387" s="389" t="e">
        <f>P387*('upper bound Kenaga'!$F$36/100)</f>
        <v>#DIV/0!</v>
      </c>
      <c r="AH387" s="36"/>
      <c r="AI387" s="389" t="e">
        <f>P387*('upper bound Kenaga'!$F$96/100)</f>
        <v>#DIV/0!</v>
      </c>
      <c r="AJ387" s="36"/>
      <c r="AK387" s="36"/>
      <c r="AL387" s="36"/>
      <c r="AM387" s="36"/>
      <c r="AN387" s="36"/>
      <c r="AO387" s="36"/>
    </row>
    <row r="388" spans="10:41" s="1" customFormat="1">
      <c r="J388" s="6">
        <f>COUNTIF(K$21:K388,"=yes")</f>
        <v>1</v>
      </c>
      <c r="K388" s="533" t="str">
        <f>IF(LOOKUP(VALUE(M388),INPUTS!$G$6:$G$35)=M388,"yes","no")</f>
        <v>no</v>
      </c>
      <c r="L388" s="533">
        <f>IF(K388="yes",(LOOKUP(J388,INPUTS!$E$6:$E$35,INPUTS!$F$6:$F$35)),0)</f>
        <v>0</v>
      </c>
      <c r="M388" s="135">
        <f t="shared" si="88"/>
        <v>367</v>
      </c>
      <c r="N388" s="135">
        <f t="shared" si="89"/>
        <v>1</v>
      </c>
      <c r="O388" s="135">
        <f t="shared" si="90"/>
        <v>0</v>
      </c>
      <c r="P388" s="536" t="e">
        <f t="shared" si="91"/>
        <v>#DIV/0!</v>
      </c>
      <c r="Q388" s="537" t="e">
        <f t="shared" si="78"/>
        <v>#DIV/0!</v>
      </c>
      <c r="R388" s="538" t="e">
        <f>IF(INPUTS!$B$15="yes",Q388,P388)</f>
        <v>#DIV/0!</v>
      </c>
      <c r="S388" s="536" t="e">
        <f t="shared" si="79"/>
        <v>#DIV/0!</v>
      </c>
      <c r="T388" s="537" t="e">
        <f t="shared" si="80"/>
        <v>#DIV/0!</v>
      </c>
      <c r="U388" s="538" t="e">
        <f>IF(INPUTS!$B$15="yes",T388,S388)</f>
        <v>#DIV/0!</v>
      </c>
      <c r="V388" s="536" t="e">
        <f t="shared" si="81"/>
        <v>#DIV/0!</v>
      </c>
      <c r="W388" s="537" t="e">
        <f t="shared" si="82"/>
        <v>#DIV/0!</v>
      </c>
      <c r="X388" s="538" t="e">
        <f>IF(INPUTS!$B$15="yes",W388,V388)</f>
        <v>#DIV/0!</v>
      </c>
      <c r="Y388" s="536" t="e">
        <f t="shared" si="83"/>
        <v>#DIV/0!</v>
      </c>
      <c r="Z388" s="537" t="e">
        <f t="shared" si="84"/>
        <v>#DIV/0!</v>
      </c>
      <c r="AA388" s="538" t="e">
        <f>IF(INPUTS!$B$15="yes",Z388,Y388)</f>
        <v>#DIV/0!</v>
      </c>
      <c r="AB388" s="536" t="e">
        <f t="shared" si="85"/>
        <v>#DIV/0!</v>
      </c>
      <c r="AC388" s="537" t="e">
        <f t="shared" si="86"/>
        <v>#DIV/0!</v>
      </c>
      <c r="AD388" s="538" t="e">
        <f>IF(INPUTS!$B$15="yes",AC388,AB388)</f>
        <v>#DIV/0!</v>
      </c>
      <c r="AE388" s="36" t="str">
        <f t="shared" si="87"/>
        <v>no</v>
      </c>
      <c r="AF388" s="36"/>
      <c r="AG388" s="389" t="e">
        <f>P388*('upper bound Kenaga'!$F$36/100)</f>
        <v>#DIV/0!</v>
      </c>
      <c r="AH388" s="36"/>
      <c r="AI388" s="389" t="e">
        <f>P388*('upper bound Kenaga'!$F$96/100)</f>
        <v>#DIV/0!</v>
      </c>
      <c r="AJ388" s="36"/>
      <c r="AK388" s="36"/>
      <c r="AL388" s="36"/>
      <c r="AM388" s="36"/>
      <c r="AN388" s="36"/>
      <c r="AO388" s="36"/>
    </row>
    <row r="389" spans="10:41" s="1" customFormat="1">
      <c r="J389" s="6">
        <f>COUNTIF(K$21:K389,"=yes")</f>
        <v>1</v>
      </c>
      <c r="K389" s="533" t="str">
        <f>IF(LOOKUP(VALUE(M389),INPUTS!$G$6:$G$35)=M389,"yes","no")</f>
        <v>no</v>
      </c>
      <c r="L389" s="533">
        <f>IF(K389="yes",(LOOKUP(J389,INPUTS!$E$6:$E$35,INPUTS!$F$6:$F$35)),0)</f>
        <v>0</v>
      </c>
      <c r="M389" s="135">
        <f t="shared" si="88"/>
        <v>368</v>
      </c>
      <c r="N389" s="135">
        <f t="shared" si="89"/>
        <v>1</v>
      </c>
      <c r="O389" s="135">
        <f t="shared" si="90"/>
        <v>0</v>
      </c>
      <c r="P389" s="536" t="e">
        <f t="shared" si="91"/>
        <v>#DIV/0!</v>
      </c>
      <c r="Q389" s="537" t="e">
        <f t="shared" si="78"/>
        <v>#DIV/0!</v>
      </c>
      <c r="R389" s="538" t="e">
        <f>IF(INPUTS!$B$15="yes",Q389,P389)</f>
        <v>#DIV/0!</v>
      </c>
      <c r="S389" s="536" t="e">
        <f t="shared" si="79"/>
        <v>#DIV/0!</v>
      </c>
      <c r="T389" s="537" t="e">
        <f t="shared" si="80"/>
        <v>#DIV/0!</v>
      </c>
      <c r="U389" s="538" t="e">
        <f>IF(INPUTS!$B$15="yes",T389,S389)</f>
        <v>#DIV/0!</v>
      </c>
      <c r="V389" s="536" t="e">
        <f t="shared" si="81"/>
        <v>#DIV/0!</v>
      </c>
      <c r="W389" s="537" t="e">
        <f t="shared" si="82"/>
        <v>#DIV/0!</v>
      </c>
      <c r="X389" s="538" t="e">
        <f>IF(INPUTS!$B$15="yes",W389,V389)</f>
        <v>#DIV/0!</v>
      </c>
      <c r="Y389" s="536" t="e">
        <f t="shared" si="83"/>
        <v>#DIV/0!</v>
      </c>
      <c r="Z389" s="537" t="e">
        <f t="shared" si="84"/>
        <v>#DIV/0!</v>
      </c>
      <c r="AA389" s="538" t="e">
        <f>IF(INPUTS!$B$15="yes",Z389,Y389)</f>
        <v>#DIV/0!</v>
      </c>
      <c r="AB389" s="536" t="e">
        <f t="shared" si="85"/>
        <v>#DIV/0!</v>
      </c>
      <c r="AC389" s="537" t="e">
        <f t="shared" si="86"/>
        <v>#DIV/0!</v>
      </c>
      <c r="AD389" s="538" t="e">
        <f>IF(INPUTS!$B$15="yes",AC389,AB389)</f>
        <v>#DIV/0!</v>
      </c>
      <c r="AE389" s="36" t="str">
        <f t="shared" si="87"/>
        <v>no</v>
      </c>
      <c r="AF389" s="36"/>
      <c r="AG389" s="389" t="e">
        <f>P389*('upper bound Kenaga'!$F$36/100)</f>
        <v>#DIV/0!</v>
      </c>
      <c r="AH389" s="36"/>
      <c r="AI389" s="389" t="e">
        <f>P389*('upper bound Kenaga'!$F$96/100)</f>
        <v>#DIV/0!</v>
      </c>
      <c r="AJ389" s="36"/>
      <c r="AK389" s="36"/>
      <c r="AL389" s="36"/>
      <c r="AM389" s="36"/>
      <c r="AN389" s="36"/>
      <c r="AO389" s="36"/>
    </row>
    <row r="390" spans="10:41" s="1" customFormat="1">
      <c r="J390" s="6">
        <f>COUNTIF(K$21:K390,"=yes")</f>
        <v>1</v>
      </c>
      <c r="K390" s="533" t="str">
        <f>IF(LOOKUP(VALUE(M390),INPUTS!$G$6:$G$35)=M390,"yes","no")</f>
        <v>no</v>
      </c>
      <c r="L390" s="533">
        <f>IF(K390="yes",(LOOKUP(J390,INPUTS!$E$6:$E$35,INPUTS!$F$6:$F$35)),0)</f>
        <v>0</v>
      </c>
      <c r="M390" s="135">
        <f t="shared" si="88"/>
        <v>369</v>
      </c>
      <c r="N390" s="135">
        <f t="shared" si="89"/>
        <v>1</v>
      </c>
      <c r="O390" s="135">
        <f t="shared" si="90"/>
        <v>0</v>
      </c>
      <c r="P390" s="536" t="e">
        <f t="shared" si="91"/>
        <v>#DIV/0!</v>
      </c>
      <c r="Q390" s="537" t="e">
        <f t="shared" si="78"/>
        <v>#DIV/0!</v>
      </c>
      <c r="R390" s="538" t="e">
        <f>IF(INPUTS!$B$15="yes",Q390,P390)</f>
        <v>#DIV/0!</v>
      </c>
      <c r="S390" s="536" t="e">
        <f t="shared" si="79"/>
        <v>#DIV/0!</v>
      </c>
      <c r="T390" s="537" t="e">
        <f t="shared" si="80"/>
        <v>#DIV/0!</v>
      </c>
      <c r="U390" s="538" t="e">
        <f>IF(INPUTS!$B$15="yes",T390,S390)</f>
        <v>#DIV/0!</v>
      </c>
      <c r="V390" s="536" t="e">
        <f t="shared" si="81"/>
        <v>#DIV/0!</v>
      </c>
      <c r="W390" s="537" t="e">
        <f t="shared" si="82"/>
        <v>#DIV/0!</v>
      </c>
      <c r="X390" s="538" t="e">
        <f>IF(INPUTS!$B$15="yes",W390,V390)</f>
        <v>#DIV/0!</v>
      </c>
      <c r="Y390" s="536" t="e">
        <f t="shared" si="83"/>
        <v>#DIV/0!</v>
      </c>
      <c r="Z390" s="537" t="e">
        <f t="shared" si="84"/>
        <v>#DIV/0!</v>
      </c>
      <c r="AA390" s="538" t="e">
        <f>IF(INPUTS!$B$15="yes",Z390,Y390)</f>
        <v>#DIV/0!</v>
      </c>
      <c r="AB390" s="536" t="e">
        <f t="shared" si="85"/>
        <v>#DIV/0!</v>
      </c>
      <c r="AC390" s="537" t="e">
        <f t="shared" si="86"/>
        <v>#DIV/0!</v>
      </c>
      <c r="AD390" s="538" t="e">
        <f>IF(INPUTS!$B$15="yes",AC390,AB390)</f>
        <v>#DIV/0!</v>
      </c>
      <c r="AE390" s="36" t="str">
        <f t="shared" si="87"/>
        <v>no</v>
      </c>
      <c r="AF390" s="36"/>
      <c r="AG390" s="389" t="e">
        <f>P390*('upper bound Kenaga'!$F$36/100)</f>
        <v>#DIV/0!</v>
      </c>
      <c r="AH390" s="36"/>
      <c r="AI390" s="389" t="e">
        <f>P390*('upper bound Kenaga'!$F$96/100)</f>
        <v>#DIV/0!</v>
      </c>
      <c r="AJ390" s="36"/>
      <c r="AK390" s="36"/>
      <c r="AL390" s="36"/>
      <c r="AM390" s="36"/>
      <c r="AN390" s="36"/>
      <c r="AO390" s="36"/>
    </row>
    <row r="391" spans="10:41" s="1" customFormat="1" ht="13.5" thickBot="1">
      <c r="J391" s="6">
        <f>COUNTIF(K$21:K391,"=yes")</f>
        <v>1</v>
      </c>
      <c r="K391" s="533" t="str">
        <f>IF(LOOKUP(VALUE(M391),INPUTS!$G$6:$G$35)=M391,"yes","no")</f>
        <v>no</v>
      </c>
      <c r="L391" s="533">
        <f>IF(K391="yes",(LOOKUP(J391,INPUTS!$E$6:$E$35,INPUTS!$F$6:$F$35)),0)</f>
        <v>0</v>
      </c>
      <c r="M391" s="135">
        <f t="shared" si="88"/>
        <v>370</v>
      </c>
      <c r="N391" s="135">
        <f t="shared" si="89"/>
        <v>1</v>
      </c>
      <c r="O391" s="135">
        <f t="shared" si="90"/>
        <v>0</v>
      </c>
      <c r="P391" s="539" t="e">
        <f t="shared" si="91"/>
        <v>#DIV/0!</v>
      </c>
      <c r="Q391" s="537" t="e">
        <f t="shared" si="78"/>
        <v>#DIV/0!</v>
      </c>
      <c r="R391" s="538" t="e">
        <f>IF(INPUTS!$B$15="yes",Q391,P391)</f>
        <v>#DIV/0!</v>
      </c>
      <c r="S391" s="536" t="e">
        <f t="shared" si="79"/>
        <v>#DIV/0!</v>
      </c>
      <c r="T391" s="537" t="e">
        <f t="shared" si="80"/>
        <v>#DIV/0!</v>
      </c>
      <c r="U391" s="538" t="e">
        <f>IF(INPUTS!$B$15="yes",T391,S391)</f>
        <v>#DIV/0!</v>
      </c>
      <c r="V391" s="536" t="e">
        <f t="shared" si="81"/>
        <v>#DIV/0!</v>
      </c>
      <c r="W391" s="537" t="e">
        <f t="shared" si="82"/>
        <v>#DIV/0!</v>
      </c>
      <c r="X391" s="538" t="e">
        <f>IF(INPUTS!$B$15="yes",W391,V391)</f>
        <v>#DIV/0!</v>
      </c>
      <c r="Y391" s="536" t="e">
        <f t="shared" si="83"/>
        <v>#DIV/0!</v>
      </c>
      <c r="Z391" s="537" t="e">
        <f t="shared" si="84"/>
        <v>#DIV/0!</v>
      </c>
      <c r="AA391" s="538" t="e">
        <f>IF(INPUTS!$B$15="yes",Z391,Y391)</f>
        <v>#DIV/0!</v>
      </c>
      <c r="AB391" s="536" t="e">
        <f t="shared" si="85"/>
        <v>#DIV/0!</v>
      </c>
      <c r="AC391" s="537" t="e">
        <f t="shared" si="86"/>
        <v>#DIV/0!</v>
      </c>
      <c r="AD391" s="538" t="e">
        <f>IF(INPUTS!$B$15="yes",AC391,AB391)</f>
        <v>#DIV/0!</v>
      </c>
      <c r="AE391" s="36" t="str">
        <f t="shared" si="87"/>
        <v>no</v>
      </c>
      <c r="AF391" s="36"/>
      <c r="AG391" s="389" t="e">
        <f>P391*('upper bound Kenaga'!$F$36/100)</f>
        <v>#DIV/0!</v>
      </c>
      <c r="AH391" s="36"/>
      <c r="AI391" s="389" t="e">
        <f>P391*('upper bound Kenaga'!$F$96/100)</f>
        <v>#DIV/0!</v>
      </c>
      <c r="AJ391" s="36"/>
      <c r="AK391" s="36"/>
      <c r="AL391" s="36"/>
      <c r="AM391" s="36"/>
      <c r="AN391" s="36"/>
      <c r="AO391" s="36"/>
    </row>
    <row r="392" spans="10:41" s="1" customFormat="1">
      <c r="J392" s="6"/>
      <c r="K392"/>
      <c r="M392" s="6"/>
      <c r="N392" s="6"/>
      <c r="O392" s="6"/>
      <c r="P392" s="6"/>
      <c r="Q392" s="6"/>
      <c r="R392" s="6"/>
      <c r="S392" s="6"/>
      <c r="T392" s="6"/>
      <c r="AF392" s="36"/>
      <c r="AG392" s="36"/>
      <c r="AH392" s="36"/>
      <c r="AI392" s="36"/>
      <c r="AJ392" s="36"/>
      <c r="AK392" s="36"/>
    </row>
  </sheetData>
  <sheetProtection password="85F4" sheet="1" objects="1" scenarios="1" formatCells="0" formatColumns="0" formatRows="0"/>
  <mergeCells count="43">
    <mergeCell ref="A137:A139"/>
    <mergeCell ref="B137:C137"/>
    <mergeCell ref="D137:E137"/>
    <mergeCell ref="F137:G137"/>
    <mergeCell ref="B121:D121"/>
    <mergeCell ref="E121:G121"/>
    <mergeCell ref="D125:E125"/>
    <mergeCell ref="F125:G125"/>
    <mergeCell ref="A125:A127"/>
    <mergeCell ref="B125:C125"/>
    <mergeCell ref="E113:G113"/>
    <mergeCell ref="A112:A114"/>
    <mergeCell ref="B113:D113"/>
    <mergeCell ref="F58:G58"/>
    <mergeCell ref="A50:A52"/>
    <mergeCell ref="A58:A60"/>
    <mergeCell ref="B58:D58"/>
    <mergeCell ref="B112:D112"/>
    <mergeCell ref="B50:D50"/>
    <mergeCell ref="A67:A68"/>
    <mergeCell ref="B76:C77"/>
    <mergeCell ref="B67:D67"/>
    <mergeCell ref="E51:G51"/>
    <mergeCell ref="A1:C2"/>
    <mergeCell ref="A25:A26"/>
    <mergeCell ref="B22:C22"/>
    <mergeCell ref="B23:C23"/>
    <mergeCell ref="A20:A23"/>
    <mergeCell ref="B20:C20"/>
    <mergeCell ref="B21:C21"/>
    <mergeCell ref="B3:C3"/>
    <mergeCell ref="B4:C4"/>
    <mergeCell ref="B5:C5"/>
    <mergeCell ref="B12:C12"/>
    <mergeCell ref="A15:A18"/>
    <mergeCell ref="AG15:AL15"/>
    <mergeCell ref="A13:D14"/>
    <mergeCell ref="K18:L18"/>
    <mergeCell ref="S19:U19"/>
    <mergeCell ref="V19:X19"/>
    <mergeCell ref="Y19:AA19"/>
    <mergeCell ref="AB19:AD19"/>
    <mergeCell ref="P19:R19"/>
  </mergeCells>
  <phoneticPr fontId="25" type="noConversion"/>
  <conditionalFormatting sqref="A6:C6">
    <cfRule type="expression" dxfId="4" priority="3">
      <formula>$B$11="yes"</formula>
    </cfRule>
  </conditionalFormatting>
  <conditionalFormatting sqref="A8:C8">
    <cfRule type="expression" dxfId="3" priority="2">
      <formula>$B$11="yes"</formula>
    </cfRule>
  </conditionalFormatting>
  <conditionalFormatting sqref="A9:C9">
    <cfRule type="expression" dxfId="2" priority="1">
      <formula>$B$11="yes"</formula>
    </cfRule>
  </conditionalFormatting>
  <pageMargins left="0.75" right="0.75" top="0.5" bottom="0.76" header="0.28000000000000003" footer="0.26"/>
  <pageSetup scale="54" fitToHeight="3" orientation="portrait" r:id="rId1"/>
  <headerFooter alignWithMargins="0">
    <oddHeader>&amp;Z&amp;F</oddHeader>
    <oddFooter>&amp;A&amp;RPage &amp;P</oddFooter>
  </headerFooter>
  <rowBreaks count="2" manualBreakCount="2">
    <brk id="89" max="7" man="1"/>
    <brk id="180" max="7" man="1"/>
  </rowBreaks>
  <drawing r:id="rId2"/>
  <legacyDrawing r:id="rId3"/>
</worksheet>
</file>

<file path=xl/worksheets/sheet5.xml><?xml version="1.0" encoding="utf-8"?>
<worksheet xmlns="http://schemas.openxmlformats.org/spreadsheetml/2006/main" xmlns:r="http://schemas.openxmlformats.org/officeDocument/2006/relationships">
  <sheetPr codeName="Sheet5">
    <tabColor theme="3"/>
  </sheetPr>
  <dimension ref="A1:AP392"/>
  <sheetViews>
    <sheetView view="pageBreakPreview" zoomScale="110" zoomScaleNormal="75" zoomScaleSheetLayoutView="110" workbookViewId="0">
      <selection sqref="A1:C2"/>
    </sheetView>
  </sheetViews>
  <sheetFormatPr defaultColWidth="8.42578125" defaultRowHeight="12.75"/>
  <cols>
    <col min="1" max="1" width="38.5703125" style="1" customWidth="1"/>
    <col min="2" max="2" width="19.5703125" style="1" customWidth="1"/>
    <col min="3" max="3" width="19.28515625" style="1" customWidth="1"/>
    <col min="4" max="4" width="15.28515625" style="3" customWidth="1"/>
    <col min="5" max="5" width="16.5703125" style="1" customWidth="1"/>
    <col min="6" max="6" width="14.7109375" style="1" customWidth="1"/>
    <col min="7" max="7" width="14.5703125" style="1" customWidth="1"/>
    <col min="8" max="8" width="26.85546875" style="1" customWidth="1"/>
    <col min="9" max="9" width="14.5703125" style="1" customWidth="1"/>
    <col min="10" max="10" width="9.7109375" style="6" customWidth="1"/>
    <col min="11" max="11" width="40.85546875" customWidth="1"/>
    <col min="12" max="12" width="35.42578125" style="1" customWidth="1"/>
    <col min="13" max="13" width="14.42578125" style="6" customWidth="1"/>
    <col min="14" max="14" width="8.42578125" style="6" customWidth="1"/>
    <col min="15" max="15" width="8.28515625" style="6" customWidth="1"/>
    <col min="16" max="20" width="24.7109375" style="6" customWidth="1"/>
    <col min="21" max="21" width="19.140625" style="1" customWidth="1"/>
    <col min="22" max="22" width="16.28515625" style="1" customWidth="1"/>
    <col min="23" max="23" width="17.85546875" style="1" customWidth="1"/>
    <col min="24" max="24" width="18.5703125" style="1" customWidth="1"/>
    <col min="25" max="25" width="16" style="1" customWidth="1"/>
    <col min="26" max="26" width="18.28515625" style="1" customWidth="1"/>
    <col min="27" max="27" width="16.7109375" style="1" customWidth="1"/>
    <col min="28" max="28" width="16" style="1" customWidth="1"/>
    <col min="29" max="29" width="18.28515625" style="1" customWidth="1"/>
    <col min="30" max="30" width="16.7109375" style="1" customWidth="1"/>
    <col min="31" max="31" width="8.42578125" style="1" customWidth="1"/>
    <col min="32" max="32" width="24.42578125" style="1" bestFit="1" customWidth="1"/>
    <col min="33" max="33" width="0.5703125" style="1" customWidth="1"/>
    <col min="34" max="34" width="32.85546875" style="1" bestFit="1" customWidth="1"/>
    <col min="35" max="35" width="0.7109375" style="1" customWidth="1"/>
    <col min="36" max="36" width="26.85546875" style="1" customWidth="1"/>
    <col min="37" max="37" width="31.7109375" style="1" bestFit="1" customWidth="1"/>
    <col min="38" max="42" width="8.42578125" style="1" customWidth="1"/>
    <col min="43" max="43" width="11.5703125" style="1" customWidth="1"/>
    <col min="44" max="16384" width="8.42578125" style="1"/>
  </cols>
  <sheetData>
    <row r="1" spans="1:42" ht="15">
      <c r="A1" s="862" t="s">
        <v>131</v>
      </c>
      <c r="B1" s="863"/>
      <c r="C1" s="863"/>
      <c r="D1" s="623"/>
      <c r="E1" s="680" t="s">
        <v>58</v>
      </c>
      <c r="F1" s="616"/>
      <c r="G1" s="616"/>
      <c r="H1" s="616"/>
      <c r="K1" s="36"/>
      <c r="L1" s="36"/>
      <c r="M1" s="135"/>
      <c r="N1" s="135"/>
      <c r="O1" s="135"/>
      <c r="P1" s="135"/>
      <c r="Q1" s="135"/>
      <c r="R1" s="135"/>
      <c r="S1" s="135"/>
      <c r="T1" s="135"/>
      <c r="U1" s="36"/>
      <c r="V1" s="36"/>
      <c r="W1" s="36"/>
      <c r="X1" s="36"/>
      <c r="Y1" s="36"/>
      <c r="Z1" s="36"/>
      <c r="AA1" s="36"/>
      <c r="AB1" s="36"/>
      <c r="AC1" s="36"/>
      <c r="AD1" s="36"/>
      <c r="AE1" s="36"/>
      <c r="AF1" s="36"/>
      <c r="AG1" s="36"/>
      <c r="AH1" s="36"/>
      <c r="AI1" s="36"/>
      <c r="AJ1" s="36"/>
      <c r="AK1" s="36"/>
      <c r="AL1" s="36"/>
      <c r="AM1" s="36"/>
      <c r="AN1" s="36"/>
      <c r="AO1" s="36"/>
    </row>
    <row r="2" spans="1:42" ht="15" customHeight="1" thickBot="1">
      <c r="A2" s="864"/>
      <c r="B2" s="864"/>
      <c r="C2" s="864"/>
      <c r="D2" s="623"/>
      <c r="E2" s="680" t="s">
        <v>59</v>
      </c>
      <c r="F2" s="616"/>
      <c r="G2" s="616"/>
      <c r="H2" s="616"/>
      <c r="K2" s="36"/>
      <c r="L2" s="36"/>
      <c r="M2" s="135"/>
      <c r="N2" s="135"/>
      <c r="O2" s="135"/>
      <c r="P2" s="135"/>
      <c r="Q2" s="135"/>
      <c r="R2" s="135"/>
      <c r="S2" s="135"/>
      <c r="T2" s="135"/>
      <c r="U2" s="36"/>
      <c r="V2" s="36"/>
      <c r="W2" s="36"/>
      <c r="X2" s="36"/>
      <c r="Y2" s="36"/>
      <c r="Z2" s="36"/>
      <c r="AA2" s="36"/>
      <c r="AB2" s="36"/>
      <c r="AC2" s="36"/>
      <c r="AD2" s="36"/>
      <c r="AE2" s="36"/>
      <c r="AF2" s="36"/>
      <c r="AG2" s="36"/>
      <c r="AH2" s="36"/>
      <c r="AI2" s="36"/>
      <c r="AJ2" s="36"/>
      <c r="AK2" s="36"/>
      <c r="AL2" s="36"/>
      <c r="AM2" s="36"/>
      <c r="AN2" s="36"/>
      <c r="AO2" s="36"/>
    </row>
    <row r="3" spans="1:42" ht="20.25" customHeight="1">
      <c r="A3" s="281" t="s">
        <v>0</v>
      </c>
      <c r="B3" s="877">
        <f>INPUTS!B6</f>
        <v>0</v>
      </c>
      <c r="C3" s="878"/>
      <c r="D3" s="622"/>
      <c r="E3" s="680" t="s">
        <v>60</v>
      </c>
      <c r="F3" s="616"/>
      <c r="G3" s="616"/>
      <c r="H3" s="616"/>
      <c r="K3" s="36"/>
      <c r="L3" s="36"/>
      <c r="M3" s="135"/>
      <c r="N3" s="135"/>
      <c r="O3" s="135"/>
      <c r="P3" s="135"/>
      <c r="Q3" s="135"/>
      <c r="R3" s="135"/>
      <c r="S3" s="135"/>
      <c r="T3" s="135"/>
      <c r="U3" s="36"/>
      <c r="V3" s="36"/>
      <c r="W3" s="36"/>
      <c r="X3" s="36"/>
      <c r="Y3" s="36"/>
      <c r="Z3" s="36"/>
      <c r="AA3" s="36"/>
      <c r="AB3" s="36"/>
      <c r="AC3" s="36"/>
      <c r="AD3" s="36"/>
      <c r="AE3" s="36"/>
      <c r="AF3" s="36"/>
      <c r="AG3" s="36"/>
      <c r="AH3" s="36"/>
      <c r="AI3" s="36"/>
      <c r="AJ3" s="36"/>
      <c r="AK3" s="36"/>
      <c r="AL3" s="36"/>
      <c r="AM3" s="36"/>
      <c r="AN3" s="36"/>
      <c r="AO3" s="36"/>
    </row>
    <row r="4" spans="1:42" ht="15" customHeight="1">
      <c r="A4" s="235" t="s">
        <v>1</v>
      </c>
      <c r="B4" s="879">
        <f>INPUTS!B8</f>
        <v>0</v>
      </c>
      <c r="C4" s="880"/>
      <c r="D4" s="622"/>
      <c r="E4" s="680" t="s">
        <v>61</v>
      </c>
      <c r="F4" s="616"/>
      <c r="G4" s="616"/>
      <c r="H4" s="616"/>
      <c r="K4" s="36"/>
      <c r="L4" s="36"/>
      <c r="M4" s="135"/>
      <c r="N4" s="135"/>
      <c r="O4" s="135"/>
      <c r="P4" s="135"/>
      <c r="Q4" s="135"/>
      <c r="R4" s="135"/>
      <c r="S4" s="135"/>
      <c r="T4" s="135"/>
      <c r="U4" s="36"/>
      <c r="V4" s="36"/>
      <c r="W4" s="36"/>
      <c r="X4" s="36"/>
      <c r="Y4" s="36"/>
      <c r="Z4" s="36"/>
      <c r="AA4" s="36"/>
      <c r="AB4" s="36"/>
      <c r="AC4" s="36"/>
      <c r="AD4" s="36"/>
      <c r="AE4" s="36"/>
      <c r="AF4" s="36"/>
      <c r="AG4" s="36"/>
      <c r="AH4" s="36"/>
      <c r="AI4" s="36"/>
      <c r="AJ4" s="36"/>
      <c r="AK4" s="36"/>
      <c r="AL4" s="36"/>
      <c r="AM4" s="36"/>
      <c r="AN4" s="36"/>
      <c r="AO4" s="36"/>
    </row>
    <row r="5" spans="1:42" ht="15" customHeight="1">
      <c r="A5" s="234" t="s">
        <v>2</v>
      </c>
      <c r="B5" s="879">
        <f>INPUTS!B9</f>
        <v>0</v>
      </c>
      <c r="C5" s="880"/>
      <c r="D5" s="622"/>
      <c r="E5" s="616"/>
      <c r="F5" s="616"/>
      <c r="G5" s="616"/>
      <c r="H5" s="616"/>
      <c r="K5" s="36"/>
      <c r="L5" s="36"/>
      <c r="M5" s="135"/>
      <c r="N5" s="135"/>
      <c r="O5" s="135"/>
      <c r="P5" s="135" t="s">
        <v>3</v>
      </c>
      <c r="Q5" s="135"/>
      <c r="R5" s="135"/>
      <c r="S5" s="135"/>
      <c r="T5" s="135"/>
      <c r="U5" s="135"/>
      <c r="V5" s="36"/>
      <c r="W5" s="36"/>
      <c r="X5" s="36"/>
      <c r="Y5" s="36"/>
      <c r="Z5" s="36"/>
      <c r="AA5" s="36"/>
      <c r="AB5" s="36"/>
      <c r="AC5" s="36"/>
      <c r="AD5" s="36"/>
      <c r="AE5" s="36"/>
      <c r="AF5" s="36"/>
      <c r="AG5" s="36"/>
      <c r="AH5" s="36"/>
      <c r="AI5" s="36"/>
      <c r="AJ5" s="36"/>
      <c r="AK5" s="36"/>
      <c r="AL5" s="36"/>
      <c r="AM5" s="36"/>
      <c r="AN5" s="36"/>
      <c r="AO5" s="36"/>
      <c r="AP5" s="36"/>
    </row>
    <row r="6" spans="1:42" ht="15" customHeight="1">
      <c r="A6" s="234" t="s">
        <v>4</v>
      </c>
      <c r="B6" s="282">
        <f>INPUTS!B11*INPUTS!B10</f>
        <v>0</v>
      </c>
      <c r="C6" s="283" t="s">
        <v>5</v>
      </c>
      <c r="D6" s="622"/>
      <c r="E6" s="681" t="s">
        <v>219</v>
      </c>
      <c r="F6" s="616"/>
      <c r="G6" s="616"/>
      <c r="H6" s="616"/>
      <c r="K6" s="36"/>
      <c r="L6" s="36"/>
      <c r="M6" s="135"/>
      <c r="N6" s="135"/>
      <c r="O6" s="135"/>
      <c r="P6" s="135"/>
      <c r="Q6" s="135"/>
      <c r="R6" s="135"/>
      <c r="S6" s="135"/>
      <c r="T6" s="135"/>
      <c r="U6" s="135"/>
      <c r="V6" s="36"/>
      <c r="W6" s="36"/>
      <c r="X6" s="36"/>
      <c r="Y6" s="36"/>
      <c r="Z6" s="36"/>
      <c r="AA6" s="36"/>
      <c r="AB6" s="36"/>
      <c r="AC6" s="36"/>
      <c r="AD6" s="36"/>
      <c r="AE6" s="36"/>
      <c r="AF6" s="36"/>
      <c r="AG6" s="36"/>
      <c r="AH6" s="36"/>
      <c r="AI6" s="36"/>
      <c r="AJ6" s="36"/>
      <c r="AK6" s="36"/>
      <c r="AL6" s="36"/>
      <c r="AM6" s="36"/>
      <c r="AN6" s="36"/>
      <c r="AO6" s="36"/>
      <c r="AP6" s="36"/>
    </row>
    <row r="7" spans="1:42" ht="15" customHeight="1">
      <c r="A7" s="234" t="s">
        <v>7</v>
      </c>
      <c r="B7" s="282">
        <f>INPUTS!B12</f>
        <v>0</v>
      </c>
      <c r="C7" s="283" t="s">
        <v>8</v>
      </c>
      <c r="D7" s="622"/>
      <c r="E7" s="681" t="s">
        <v>220</v>
      </c>
      <c r="F7" s="616"/>
      <c r="G7" s="616"/>
      <c r="H7" s="616"/>
      <c r="K7" s="36"/>
      <c r="L7" s="36"/>
      <c r="M7" s="135"/>
      <c r="N7" s="135"/>
      <c r="O7" s="135"/>
      <c r="P7" s="135"/>
      <c r="Q7" s="135"/>
      <c r="R7" s="135"/>
      <c r="S7" s="135"/>
      <c r="T7" s="135"/>
      <c r="U7" s="135"/>
      <c r="V7" s="36"/>
      <c r="W7" s="36"/>
      <c r="X7" s="36"/>
      <c r="Y7" s="36"/>
      <c r="Z7" s="36"/>
      <c r="AA7" s="36"/>
      <c r="AB7" s="36"/>
      <c r="AC7" s="36"/>
      <c r="AD7" s="36"/>
      <c r="AE7" s="36"/>
      <c r="AF7" s="36"/>
      <c r="AG7" s="36"/>
      <c r="AH7" s="36"/>
      <c r="AI7" s="36"/>
      <c r="AJ7" s="36"/>
      <c r="AK7" s="36"/>
      <c r="AL7" s="36"/>
      <c r="AM7" s="36"/>
      <c r="AN7" s="36"/>
      <c r="AO7" s="36"/>
      <c r="AP7" s="36"/>
    </row>
    <row r="8" spans="1:42" ht="15" customHeight="1">
      <c r="A8" s="234" t="s">
        <v>41</v>
      </c>
      <c r="B8" s="282">
        <f>INPUTS!B13</f>
        <v>0</v>
      </c>
      <c r="C8" s="283" t="s">
        <v>9</v>
      </c>
      <c r="D8" s="622"/>
      <c r="E8" s="681" t="s">
        <v>221</v>
      </c>
      <c r="F8" s="616"/>
      <c r="G8" s="616"/>
      <c r="H8" s="616"/>
      <c r="K8" s="36"/>
      <c r="L8" s="36"/>
      <c r="M8" s="135"/>
      <c r="N8" s="135"/>
      <c r="O8" s="135"/>
      <c r="P8" s="535" t="s">
        <v>268</v>
      </c>
      <c r="Q8" s="610" t="s">
        <v>420</v>
      </c>
      <c r="R8" s="174" t="s">
        <v>6</v>
      </c>
      <c r="S8" s="535"/>
      <c r="T8" s="535"/>
      <c r="U8" s="535"/>
      <c r="W8" s="174"/>
      <c r="X8" s="174"/>
      <c r="Y8" s="36"/>
      <c r="Z8" s="36"/>
      <c r="AA8" s="36"/>
      <c r="AB8" s="36"/>
      <c r="AC8" s="36"/>
      <c r="AD8" s="36"/>
      <c r="AE8" s="36"/>
      <c r="AF8" s="36"/>
      <c r="AG8" s="36"/>
      <c r="AH8" s="36"/>
      <c r="AI8" s="36"/>
      <c r="AJ8" s="36"/>
      <c r="AK8" s="36"/>
      <c r="AL8" s="36"/>
      <c r="AM8" s="36"/>
      <c r="AN8" s="36"/>
      <c r="AO8" s="36"/>
      <c r="AP8" s="36"/>
    </row>
    <row r="9" spans="1:42" ht="15" customHeight="1">
      <c r="A9" s="234" t="s">
        <v>10</v>
      </c>
      <c r="B9" s="282">
        <f>INPUTS!B14</f>
        <v>0</v>
      </c>
      <c r="C9" s="755"/>
      <c r="D9" s="622"/>
      <c r="E9" s="617"/>
      <c r="F9" s="616"/>
      <c r="G9" s="616"/>
      <c r="H9" s="616"/>
      <c r="K9" s="36"/>
      <c r="L9" s="36"/>
      <c r="M9" s="135"/>
      <c r="N9" s="135"/>
      <c r="O9" s="135"/>
      <c r="P9" s="135"/>
      <c r="Q9" s="135"/>
      <c r="R9" s="36"/>
      <c r="S9" s="135"/>
      <c r="T9" s="135"/>
      <c r="U9" s="135"/>
      <c r="W9" s="36"/>
      <c r="X9" s="36"/>
      <c r="Y9" s="36"/>
      <c r="Z9" s="36"/>
      <c r="AA9" s="36"/>
      <c r="AB9" s="36"/>
      <c r="AC9" s="36"/>
      <c r="AD9" s="36"/>
      <c r="AE9" s="36"/>
      <c r="AF9" s="36"/>
      <c r="AG9" s="36"/>
      <c r="AH9" s="36"/>
      <c r="AI9" s="36"/>
      <c r="AJ9" s="36"/>
      <c r="AK9" s="36"/>
      <c r="AL9" s="36"/>
      <c r="AM9" s="36"/>
      <c r="AN9" s="36"/>
      <c r="AO9" s="36"/>
      <c r="AP9" s="36"/>
    </row>
    <row r="10" spans="1:42" ht="15" customHeight="1">
      <c r="A10" s="234" t="s">
        <v>28</v>
      </c>
      <c r="B10" s="754">
        <v>1</v>
      </c>
      <c r="C10" s="283" t="s">
        <v>46</v>
      </c>
      <c r="D10" s="622"/>
      <c r="E10" s="617"/>
      <c r="F10" s="616"/>
      <c r="G10" s="616"/>
      <c r="H10" s="616"/>
      <c r="K10" s="36"/>
      <c r="L10" s="36"/>
      <c r="M10" s="135"/>
      <c r="N10" s="135"/>
      <c r="O10" s="135"/>
      <c r="P10" s="135"/>
      <c r="Q10" s="135"/>
      <c r="R10" s="36"/>
      <c r="S10" s="135"/>
      <c r="T10" s="135"/>
      <c r="U10" s="135"/>
      <c r="W10" s="36"/>
      <c r="X10" s="36"/>
      <c r="Y10" s="36"/>
      <c r="Z10" s="36"/>
      <c r="AA10" s="36"/>
      <c r="AB10" s="36"/>
      <c r="AC10" s="36"/>
      <c r="AD10" s="36"/>
      <c r="AE10" s="36"/>
      <c r="AF10" s="36"/>
      <c r="AG10" s="36"/>
      <c r="AH10" s="36"/>
      <c r="AI10" s="36"/>
      <c r="AJ10" s="36"/>
      <c r="AK10" s="36"/>
      <c r="AL10" s="36"/>
      <c r="AM10" s="36"/>
      <c r="AN10" s="36"/>
      <c r="AO10" s="36"/>
      <c r="AP10" s="36"/>
    </row>
    <row r="11" spans="1:42" ht="15" customHeight="1" thickBot="1">
      <c r="A11" s="757" t="s">
        <v>583</v>
      </c>
      <c r="B11" s="758" t="str">
        <f>INPUTS!B15</f>
        <v>no</v>
      </c>
      <c r="C11" s="759"/>
      <c r="D11" s="622"/>
      <c r="E11" s="617"/>
      <c r="F11" s="616"/>
      <c r="G11" s="616"/>
      <c r="H11" s="616"/>
      <c r="K11" s="36"/>
      <c r="L11" s="36"/>
      <c r="M11" s="135"/>
      <c r="N11" s="135"/>
      <c r="O11" s="135"/>
      <c r="P11" s="558" t="s">
        <v>27</v>
      </c>
      <c r="Q11" s="135">
        <v>85</v>
      </c>
      <c r="R11" s="135">
        <f>(B6*Q11)</f>
        <v>0</v>
      </c>
      <c r="S11" s="135"/>
      <c r="T11" s="135"/>
      <c r="U11" s="135"/>
      <c r="W11" s="36"/>
      <c r="X11" s="36"/>
      <c r="Y11" s="36"/>
      <c r="Z11" s="36"/>
      <c r="AA11" s="36"/>
      <c r="AB11" s="36"/>
      <c r="AC11" s="36"/>
      <c r="AD11" s="36"/>
      <c r="AE11" s="36"/>
      <c r="AF11" s="36"/>
      <c r="AG11" s="36"/>
      <c r="AH11" s="36"/>
      <c r="AI11" s="36"/>
      <c r="AJ11" s="36"/>
      <c r="AK11" s="36"/>
      <c r="AL11" s="36"/>
      <c r="AM11" s="36"/>
      <c r="AN11" s="36"/>
      <c r="AO11" s="36"/>
      <c r="AP11" s="36"/>
    </row>
    <row r="12" spans="1:42" ht="15" customHeight="1" thickBot="1">
      <c r="A12" s="621"/>
      <c r="B12" s="926"/>
      <c r="C12" s="926"/>
      <c r="D12" s="622"/>
      <c r="E12" s="616"/>
      <c r="F12" s="616"/>
      <c r="G12" s="616"/>
      <c r="H12" s="616"/>
      <c r="K12" s="36"/>
      <c r="L12" s="36"/>
      <c r="M12" s="135"/>
      <c r="N12" s="135"/>
      <c r="O12" s="135"/>
      <c r="P12" s="558" t="s">
        <v>23</v>
      </c>
      <c r="Q12" s="135">
        <v>36</v>
      </c>
      <c r="R12" s="135">
        <f>(B6*Q12)</f>
        <v>0</v>
      </c>
      <c r="S12" s="135"/>
      <c r="T12" s="135"/>
      <c r="U12" s="135"/>
      <c r="W12" s="36"/>
      <c r="X12" s="36"/>
      <c r="Y12" s="36"/>
      <c r="Z12" s="36"/>
      <c r="AA12" s="36"/>
      <c r="AB12" s="36"/>
      <c r="AC12" s="36"/>
      <c r="AD12" s="36"/>
      <c r="AE12" s="36"/>
      <c r="AF12" s="36"/>
      <c r="AG12" s="36"/>
      <c r="AH12" s="36"/>
      <c r="AI12" s="36"/>
      <c r="AJ12" s="36"/>
      <c r="AK12" s="36"/>
      <c r="AL12" s="36"/>
      <c r="AM12" s="36"/>
      <c r="AN12" s="36"/>
      <c r="AO12" s="36"/>
      <c r="AP12" s="36"/>
    </row>
    <row r="13" spans="1:42" ht="15" customHeight="1">
      <c r="A13" s="848" t="s">
        <v>45</v>
      </c>
      <c r="B13" s="849"/>
      <c r="C13" s="849"/>
      <c r="D13" s="850"/>
      <c r="E13" s="616"/>
      <c r="F13" s="616"/>
      <c r="G13" s="616"/>
      <c r="H13" s="616"/>
      <c r="K13" s="36"/>
      <c r="L13" s="36"/>
      <c r="M13" s="135"/>
      <c r="N13" s="135"/>
      <c r="O13" s="135"/>
      <c r="P13" s="558" t="s">
        <v>415</v>
      </c>
      <c r="Q13" s="135">
        <v>45</v>
      </c>
      <c r="R13" s="135">
        <f>(B6*Q13)</f>
        <v>0</v>
      </c>
      <c r="S13" s="135"/>
      <c r="T13" s="135"/>
      <c r="U13" s="135"/>
      <c r="W13" s="36"/>
      <c r="X13" s="36"/>
      <c r="Y13" s="36"/>
      <c r="Z13" s="36"/>
      <c r="AA13" s="36"/>
      <c r="AB13" s="36"/>
      <c r="AC13" s="36"/>
      <c r="AD13" s="36"/>
      <c r="AE13" s="36"/>
      <c r="AF13" s="36"/>
      <c r="AG13" s="36"/>
      <c r="AH13" s="36"/>
      <c r="AI13" s="36"/>
      <c r="AJ13" s="36"/>
      <c r="AK13" s="36"/>
      <c r="AL13" s="36"/>
      <c r="AM13" s="36"/>
      <c r="AN13" s="36"/>
      <c r="AO13" s="36"/>
      <c r="AP13" s="36"/>
    </row>
    <row r="14" spans="1:42" ht="13.5" thickBot="1">
      <c r="A14" s="851"/>
      <c r="B14" s="852"/>
      <c r="C14" s="852"/>
      <c r="D14" s="853"/>
      <c r="E14" s="616"/>
      <c r="F14" s="616"/>
      <c r="G14" s="616"/>
      <c r="H14" s="616"/>
      <c r="K14" s="36"/>
      <c r="L14" s="36"/>
      <c r="M14" s="135"/>
      <c r="N14" s="135"/>
      <c r="O14" s="135"/>
      <c r="P14" s="558" t="s">
        <v>418</v>
      </c>
      <c r="Q14" s="135">
        <v>7</v>
      </c>
      <c r="R14" s="135">
        <f>(B6*Q14)</f>
        <v>0</v>
      </c>
      <c r="S14" s="135"/>
      <c r="T14" s="135"/>
      <c r="U14" s="135"/>
      <c r="W14" s="36"/>
      <c r="X14" s="36"/>
      <c r="Y14" s="36"/>
      <c r="Z14" s="36"/>
      <c r="AA14" s="36"/>
      <c r="AB14" s="36"/>
      <c r="AC14" s="36"/>
      <c r="AD14" s="36"/>
      <c r="AE14" s="36"/>
      <c r="AF14" s="36"/>
      <c r="AG14" s="36"/>
      <c r="AH14" s="36"/>
      <c r="AI14" s="36"/>
      <c r="AJ14" s="36"/>
      <c r="AK14" s="36"/>
      <c r="AL14" s="36"/>
      <c r="AM14" s="36"/>
      <c r="AN14" s="36"/>
      <c r="AO14" s="36"/>
      <c r="AP14" s="36"/>
    </row>
    <row r="15" spans="1:42" ht="15" customHeight="1">
      <c r="A15" s="882" t="s">
        <v>14</v>
      </c>
      <c r="B15" s="284" t="str">
        <f>IF(INPUTS!D41=3,INPUTS!G41,IF(INPUTS!D41=1,"Bobwhite quail ","Mallard duck "))</f>
        <v xml:space="preserve">Bobwhite quail </v>
      </c>
      <c r="C15" s="285" t="s">
        <v>137</v>
      </c>
      <c r="D15" s="286">
        <f>INPUTS!C41</f>
        <v>0</v>
      </c>
      <c r="E15" s="617" t="str">
        <f>IF(INPUTS!$F$41=0,"",IF(INPUTS!$D$41&lt;3,"Toxicity adjustments not based on standard assumed test animal body weight",""))</f>
        <v/>
      </c>
      <c r="F15" s="617"/>
      <c r="G15" s="616"/>
      <c r="H15" s="616"/>
      <c r="K15" s="36"/>
      <c r="L15" s="36"/>
      <c r="M15" s="135"/>
      <c r="N15" s="135"/>
      <c r="O15" s="135"/>
      <c r="P15" s="558" t="s">
        <v>414</v>
      </c>
      <c r="Q15" s="558">
        <v>65</v>
      </c>
      <c r="R15" s="135">
        <f>(B6*Q15)</f>
        <v>0</v>
      </c>
      <c r="S15" s="135"/>
      <c r="T15" s="135"/>
      <c r="U15" s="135"/>
      <c r="W15" s="36"/>
      <c r="X15" s="36"/>
      <c r="Y15" s="36"/>
      <c r="Z15" s="36"/>
      <c r="AA15" s="36"/>
      <c r="AB15" s="36"/>
      <c r="AC15" s="36"/>
      <c r="AD15" s="36"/>
      <c r="AE15" s="36"/>
      <c r="AF15" s="36"/>
      <c r="AG15" s="847" t="s">
        <v>368</v>
      </c>
      <c r="AH15" s="847"/>
      <c r="AI15" s="847"/>
      <c r="AJ15" s="847"/>
      <c r="AK15" s="847"/>
      <c r="AL15" s="847"/>
      <c r="AM15" s="36"/>
      <c r="AN15" s="36"/>
      <c r="AO15" s="36"/>
      <c r="AP15" s="36"/>
    </row>
    <row r="16" spans="1:42" ht="32.25" customHeight="1">
      <c r="A16" s="883"/>
      <c r="B16" s="287" t="str">
        <f>IF(INPUTS!D42=3,INPUTS!G42,IF(INPUTS!D42=1,"Bobwhite quail ","Mallard duck)"))</f>
        <v xml:space="preserve">Bobwhite quail </v>
      </c>
      <c r="C16" s="288" t="s">
        <v>136</v>
      </c>
      <c r="D16" s="289">
        <f>INPUTS!C42</f>
        <v>0</v>
      </c>
      <c r="E16" s="617"/>
      <c r="F16" s="617"/>
      <c r="G16" s="616"/>
      <c r="H16" s="616"/>
      <c r="K16" s="36"/>
      <c r="L16" s="36"/>
      <c r="M16" s="135"/>
      <c r="N16" s="135"/>
      <c r="O16" s="135"/>
      <c r="P16" s="135" t="s">
        <v>12</v>
      </c>
      <c r="Q16" s="135"/>
      <c r="R16" s="611" t="e">
        <f>(LN(2)/B7)</f>
        <v>#DIV/0!</v>
      </c>
      <c r="S16" s="135"/>
      <c r="T16" s="135"/>
      <c r="U16" s="135"/>
      <c r="W16" s="80"/>
      <c r="X16" s="80"/>
      <c r="Y16" s="36"/>
      <c r="Z16" s="36"/>
      <c r="AA16" s="36"/>
      <c r="AB16" s="36"/>
      <c r="AC16" s="36"/>
      <c r="AD16" s="36"/>
      <c r="AE16" s="36"/>
      <c r="AF16" s="36"/>
      <c r="AG16" s="388" t="s">
        <v>364</v>
      </c>
      <c r="AH16" s="388"/>
      <c r="AI16" s="388" t="s">
        <v>366</v>
      </c>
      <c r="AJ16" s="388"/>
      <c r="AK16" s="388" t="s">
        <v>367</v>
      </c>
      <c r="AL16" s="388" t="s">
        <v>369</v>
      </c>
      <c r="AM16" s="36"/>
      <c r="AN16" s="36"/>
      <c r="AO16" s="36"/>
      <c r="AP16" s="36"/>
    </row>
    <row r="17" spans="1:41" ht="15" customHeight="1">
      <c r="A17" s="883"/>
      <c r="B17" s="287" t="str">
        <f>IF(INPUTS!D43=3,INPUTS!G43,IF(INPUTS!D43=1,"Bobwhite quail ","Mallard duck "))</f>
        <v xml:space="preserve">Bobwhite quail </v>
      </c>
      <c r="C17" s="288" t="s">
        <v>242</v>
      </c>
      <c r="D17" s="290">
        <f>INPUTS!C43</f>
        <v>0</v>
      </c>
      <c r="E17" s="617"/>
      <c r="F17" s="617"/>
      <c r="G17" s="616"/>
      <c r="H17" s="616"/>
      <c r="K17" s="36"/>
      <c r="L17" s="36"/>
      <c r="M17" s="135"/>
      <c r="N17" s="135"/>
      <c r="O17" s="135"/>
      <c r="P17" s="135"/>
      <c r="Q17" s="135"/>
      <c r="R17" s="135"/>
      <c r="S17" s="135"/>
      <c r="T17" s="135"/>
      <c r="U17" s="36"/>
      <c r="V17" s="36"/>
      <c r="W17" s="36"/>
      <c r="X17" s="36"/>
      <c r="Y17" s="36"/>
      <c r="Z17" s="36"/>
      <c r="AA17" s="36"/>
      <c r="AB17" s="36"/>
      <c r="AC17" s="36"/>
      <c r="AD17" s="36"/>
      <c r="AE17" s="36"/>
      <c r="AF17" s="175" t="s">
        <v>14</v>
      </c>
      <c r="AG17" s="175"/>
      <c r="AH17" s="175" t="s">
        <v>14</v>
      </c>
      <c r="AI17" s="175"/>
      <c r="AJ17" s="175" t="s">
        <v>15</v>
      </c>
      <c r="AK17" s="175" t="s">
        <v>15</v>
      </c>
      <c r="AL17" s="175"/>
      <c r="AM17" s="36"/>
      <c r="AN17" s="36"/>
      <c r="AO17" s="36"/>
    </row>
    <row r="18" spans="1:41" ht="65.25" customHeight="1" thickBot="1">
      <c r="A18" s="884"/>
      <c r="B18" s="291" t="str">
        <f>IF(INPUTS!D44=3,INPUTS!G44,IF(INPUTS!D44=1,"Bobwhite quail ","Mallard duck "))</f>
        <v xml:space="preserve">Bobwhite quail </v>
      </c>
      <c r="C18" s="292" t="s">
        <v>135</v>
      </c>
      <c r="D18" s="293">
        <f>INPUTS!C44</f>
        <v>0</v>
      </c>
      <c r="E18" s="616"/>
      <c r="F18" s="616"/>
      <c r="G18" s="616"/>
      <c r="H18" s="616"/>
      <c r="K18" s="854" t="s">
        <v>411</v>
      </c>
      <c r="L18" s="855"/>
      <c r="M18" s="135"/>
      <c r="N18" s="135"/>
      <c r="O18" s="135"/>
      <c r="P18" s="135"/>
      <c r="Q18" s="135"/>
      <c r="R18" s="135"/>
      <c r="S18" s="135"/>
      <c r="T18" s="135"/>
      <c r="U18" s="175" t="s">
        <v>11</v>
      </c>
      <c r="V18" s="175"/>
      <c r="W18" s="175"/>
      <c r="X18" s="36"/>
      <c r="Y18" s="36"/>
      <c r="Z18" s="36"/>
      <c r="AA18" s="36"/>
      <c r="AB18" s="36"/>
      <c r="AC18" s="36"/>
      <c r="AD18" s="36"/>
      <c r="AE18" s="36" t="s">
        <v>17</v>
      </c>
      <c r="AF18" s="175" t="s">
        <v>18</v>
      </c>
      <c r="AG18" s="175"/>
      <c r="AH18" s="175" t="s">
        <v>19</v>
      </c>
      <c r="AI18" s="175"/>
      <c r="AJ18" s="175" t="s">
        <v>18</v>
      </c>
      <c r="AK18" s="175" t="s">
        <v>19</v>
      </c>
      <c r="AL18" s="175"/>
      <c r="AM18" s="36"/>
      <c r="AN18" s="36"/>
      <c r="AO18" s="36"/>
    </row>
    <row r="19" spans="1:41" ht="15" customHeight="1" thickTop="1" thickBot="1">
      <c r="A19" s="136"/>
      <c r="B19" s="137"/>
      <c r="C19" s="137"/>
      <c r="D19" s="117"/>
      <c r="E19" s="616"/>
      <c r="F19" s="616"/>
      <c r="G19" s="616"/>
      <c r="H19" s="616"/>
      <c r="J19" s="6" t="s">
        <v>410</v>
      </c>
      <c r="K19" s="532" t="s">
        <v>402</v>
      </c>
      <c r="L19" s="544" t="s">
        <v>403</v>
      </c>
      <c r="M19" s="528" t="s">
        <v>20</v>
      </c>
      <c r="N19" s="528" t="s">
        <v>21</v>
      </c>
      <c r="O19" s="528" t="s">
        <v>22</v>
      </c>
      <c r="P19" s="860" t="s">
        <v>13</v>
      </c>
      <c r="Q19" s="861"/>
      <c r="R19" s="861"/>
      <c r="S19" s="856" t="s">
        <v>23</v>
      </c>
      <c r="T19" s="857"/>
      <c r="U19" s="857"/>
      <c r="V19" s="858" t="s">
        <v>415</v>
      </c>
      <c r="W19" s="856"/>
      <c r="X19" s="859"/>
      <c r="Y19" s="858" t="s">
        <v>417</v>
      </c>
      <c r="Z19" s="857"/>
      <c r="AA19" s="857"/>
      <c r="AB19" s="858" t="s">
        <v>414</v>
      </c>
      <c r="AC19" s="857"/>
      <c r="AD19" s="857"/>
      <c r="AE19" s="36" t="s">
        <v>24</v>
      </c>
      <c r="AF19" s="175" t="s">
        <v>25</v>
      </c>
      <c r="AG19" s="175"/>
      <c r="AH19" s="175" t="s">
        <v>25</v>
      </c>
      <c r="AI19" s="175"/>
      <c r="AJ19" s="175" t="s">
        <v>25</v>
      </c>
      <c r="AK19" s="175" t="s">
        <v>25</v>
      </c>
      <c r="AL19" s="175"/>
      <c r="AM19" s="36"/>
      <c r="AN19" s="36"/>
      <c r="AO19" s="36"/>
    </row>
    <row r="20" spans="1:41" ht="25.5">
      <c r="A20" s="871" t="s">
        <v>44</v>
      </c>
      <c r="B20" s="874" t="s">
        <v>137</v>
      </c>
      <c r="C20" s="875"/>
      <c r="D20" s="294">
        <f>INPUTS!C50</f>
        <v>0</v>
      </c>
      <c r="E20" s="616"/>
      <c r="F20" s="616"/>
      <c r="G20" s="616"/>
      <c r="H20" s="616"/>
      <c r="K20" s="533"/>
      <c r="L20" s="534"/>
      <c r="M20" s="529" t="s">
        <v>11</v>
      </c>
      <c r="N20" s="529" t="s">
        <v>11</v>
      </c>
      <c r="O20" s="529" t="s">
        <v>26</v>
      </c>
      <c r="P20" s="549" t="s">
        <v>404</v>
      </c>
      <c r="Q20" s="550" t="s">
        <v>405</v>
      </c>
      <c r="R20" s="551" t="s">
        <v>412</v>
      </c>
      <c r="S20" s="549" t="s">
        <v>404</v>
      </c>
      <c r="T20" s="550" t="s">
        <v>405</v>
      </c>
      <c r="U20" s="551" t="s">
        <v>412</v>
      </c>
      <c r="V20" s="549" t="s">
        <v>404</v>
      </c>
      <c r="W20" s="550" t="s">
        <v>405</v>
      </c>
      <c r="X20" s="551" t="s">
        <v>412</v>
      </c>
      <c r="Y20" s="549" t="s">
        <v>404</v>
      </c>
      <c r="Z20" s="550" t="s">
        <v>405</v>
      </c>
      <c r="AA20" s="551" t="s">
        <v>412</v>
      </c>
      <c r="AB20" s="549" t="s">
        <v>404</v>
      </c>
      <c r="AC20" s="550" t="s">
        <v>405</v>
      </c>
      <c r="AD20" s="551" t="s">
        <v>412</v>
      </c>
      <c r="AE20" s="36" t="s">
        <v>11</v>
      </c>
      <c r="AF20" s="175" t="s">
        <v>27</v>
      </c>
      <c r="AG20" s="175" t="s">
        <v>365</v>
      </c>
      <c r="AH20" s="175" t="s">
        <v>27</v>
      </c>
      <c r="AI20" s="175"/>
      <c r="AJ20" s="175" t="s">
        <v>27</v>
      </c>
      <c r="AK20" s="175" t="s">
        <v>27</v>
      </c>
      <c r="AL20" s="175"/>
      <c r="AM20" s="36"/>
      <c r="AN20" s="36"/>
      <c r="AO20" s="36"/>
    </row>
    <row r="21" spans="1:41">
      <c r="A21" s="872"/>
      <c r="B21" s="867" t="s">
        <v>136</v>
      </c>
      <c r="C21" s="876"/>
      <c r="D21" s="295">
        <f>INPUTS!C51</f>
        <v>0</v>
      </c>
      <c r="E21" s="616"/>
      <c r="F21" s="616"/>
      <c r="G21" s="616"/>
      <c r="H21" s="616"/>
      <c r="J21" s="6">
        <f>COUNTIF(K$21,"=yes")</f>
        <v>1</v>
      </c>
      <c r="K21" s="533" t="str">
        <f>IF(LOOKUP(VALUE(M21),INPUTS!$G$6:$G$35)=M21,"yes","no")</f>
        <v>yes</v>
      </c>
      <c r="L21" s="533">
        <f>IF(K21="yes",(LOOKUP(J21,INPUTS!$E$6:$E$35,INPUTS!$F$6:$F$35)),0)</f>
        <v>0</v>
      </c>
      <c r="M21" s="106">
        <v>0</v>
      </c>
      <c r="N21" s="106">
        <v>1</v>
      </c>
      <c r="O21" s="135">
        <v>0</v>
      </c>
      <c r="P21" s="536">
        <f>(R11)</f>
        <v>0</v>
      </c>
      <c r="Q21" s="537">
        <f>Q11*L21</f>
        <v>0</v>
      </c>
      <c r="R21" s="538">
        <f>IF(INPUTS!$B$15="yes",Q21,P21)</f>
        <v>0</v>
      </c>
      <c r="S21" s="536">
        <f>(R12)</f>
        <v>0</v>
      </c>
      <c r="T21" s="537">
        <f>Q12*L21</f>
        <v>0</v>
      </c>
      <c r="U21" s="538">
        <f>IF(INPUTS!$B$15="yes",T21,S21)</f>
        <v>0</v>
      </c>
      <c r="V21" s="536">
        <f>(R13)</f>
        <v>0</v>
      </c>
      <c r="W21" s="537">
        <f>Q13*L21</f>
        <v>0</v>
      </c>
      <c r="X21" s="538">
        <f>IF(INPUTS!$B$15="yes",W21,V21)</f>
        <v>0</v>
      </c>
      <c r="Y21" s="536">
        <f>(R14)</f>
        <v>0</v>
      </c>
      <c r="Z21" s="537">
        <f>Q14*$L21</f>
        <v>0</v>
      </c>
      <c r="AA21" s="538">
        <f>IF(INPUTS!$B$15="yes",Z21,Y21)</f>
        <v>0</v>
      </c>
      <c r="AB21" s="536">
        <f>(R15)</f>
        <v>0</v>
      </c>
      <c r="AC21" s="537">
        <f>Q15*$L21</f>
        <v>0</v>
      </c>
      <c r="AD21" s="538">
        <f>IF(INPUTS!$B$15="yes",AC21,AB21)</f>
        <v>0</v>
      </c>
      <c r="AE21" s="36" t="str">
        <f t="shared" ref="AE21:AE89" si="0">$B$11</f>
        <v>no</v>
      </c>
      <c r="AF21" s="403">
        <f>COUNTIF(P21:P76,"&gt;"&amp;INPUTS!C44)</f>
        <v>0</v>
      </c>
      <c r="AG21" s="389">
        <f>P21*('upper bound Kenaga'!$F$36/100)</f>
        <v>0</v>
      </c>
      <c r="AH21" s="135">
        <f>COUNTIF(AG21:AG76,"&gt;="&amp;(C46*0.1))</f>
        <v>1</v>
      </c>
      <c r="AI21" s="389">
        <f>P21*('upper bound Kenaga'!$F$96/100)</f>
        <v>0</v>
      </c>
      <c r="AJ21" s="135">
        <f>COUNTIF(AI21:AI76,"&gt;="&amp;(E105))</f>
        <v>1</v>
      </c>
      <c r="AK21" s="135">
        <f>COUNTIF(AI21:AI76,"&gt;="&amp;(D105*0.1))</f>
        <v>1</v>
      </c>
      <c r="AL21" s="36"/>
      <c r="AM21" s="36"/>
      <c r="AN21" s="36"/>
      <c r="AO21" s="36"/>
    </row>
    <row r="22" spans="1:41">
      <c r="A22" s="872"/>
      <c r="B22" s="867" t="s">
        <v>138</v>
      </c>
      <c r="C22" s="868"/>
      <c r="D22" s="289">
        <f>IF(INPUTS!D52=2,INPUTS!C55,INPUTS!C52)</f>
        <v>0</v>
      </c>
      <c r="E22" s="616"/>
      <c r="F22" s="616"/>
      <c r="G22" s="616"/>
      <c r="H22" s="616"/>
      <c r="J22" s="6">
        <f>COUNTIF(K$21:K22,"=yes")</f>
        <v>1</v>
      </c>
      <c r="K22" s="533" t="str">
        <f>IF(LOOKUP(VALUE(M22),INPUTS!$G$6:$G$35)=M22,"yes","no")</f>
        <v>no</v>
      </c>
      <c r="L22" s="533">
        <f>IF(K22="yes",(LOOKUP(J22,INPUTS!$E$6:$E$35,INPUTS!$F$6:$F$35)),0)</f>
        <v>0</v>
      </c>
      <c r="M22" s="135">
        <f t="shared" ref="M22:M85" si="1">(M21+1)</f>
        <v>1</v>
      </c>
      <c r="N22" s="135">
        <f t="shared" ref="N22:N85" si="2">IF($B$9&gt;N21,IF(O21=($B$8-1),(N21+1),(N21)),(N21))</f>
        <v>1</v>
      </c>
      <c r="O22" s="135">
        <f t="shared" ref="O22:O85" si="3">IF(O21&lt;($B$8-1),(1+O21),0)</f>
        <v>0</v>
      </c>
      <c r="P22" s="536" t="e">
        <f>IF(($N22&gt;$N21),(EXP(-$R$16)*(P21)+$R$11),((EXP(-$R$16)*(P21))))</f>
        <v>#DIV/0!</v>
      </c>
      <c r="Q22" s="537" t="e">
        <f>IF($K22="yes",(EXP(-$R$16)*(Q21)+(Q$11*$L22)),((EXP(-$R$16)*(Q21))))</f>
        <v>#DIV/0!</v>
      </c>
      <c r="R22" s="538" t="e">
        <f>IF(INPUTS!$B$15="yes",Q22,P22)</f>
        <v>#DIV/0!</v>
      </c>
      <c r="S22" s="536" t="e">
        <f t="shared" ref="S22:S85" si="4">IF(($N22&gt;$N21),(EXP(-$R$16)*(S21)+$R$12),((EXP(-$R$16)*(S21))))</f>
        <v>#DIV/0!</v>
      </c>
      <c r="T22" s="537" t="e">
        <f>IF($K22="yes",(EXP(-$R$16)*(T21)+(Q$12*$L22)),((EXP(-$R$16)*(T21))))</f>
        <v>#DIV/0!</v>
      </c>
      <c r="U22" s="538" t="e">
        <f>IF(INPUTS!$B$15="yes",T22,S22)</f>
        <v>#DIV/0!</v>
      </c>
      <c r="V22" s="536" t="e">
        <f t="shared" ref="V22:V85" si="5">IF(($N22&gt;$N21),(EXP(-$R$16)*(V21)+$R$13),((EXP(-$R$16)*(V21))))</f>
        <v>#DIV/0!</v>
      </c>
      <c r="W22" s="537" t="e">
        <f>IF($K22="yes",(EXP(-$R$16)*(W21)+(Q$13*$L22)),((EXP(-$R$16)*(W21))))</f>
        <v>#DIV/0!</v>
      </c>
      <c r="X22" s="538" t="e">
        <f>IF(INPUTS!$B$15="yes",W22,V22)</f>
        <v>#DIV/0!</v>
      </c>
      <c r="Y22" s="536" t="e">
        <f t="shared" ref="Y22:Y85" si="6">IF(($N22&gt;$N21),(EXP(-$R$16)*(Y21)+$R$14),((EXP(-$R$16)*(Y21))))</f>
        <v>#DIV/0!</v>
      </c>
      <c r="Z22" s="537" t="e">
        <f>IF($K22="yes",(EXP(-$R$16)*(Z21)+(Q$14*$L22)),((EXP(-$R$16)*(Z21))))</f>
        <v>#DIV/0!</v>
      </c>
      <c r="AA22" s="538" t="e">
        <f>IF(INPUTS!$B$15="yes",Z22,Y22)</f>
        <v>#DIV/0!</v>
      </c>
      <c r="AB22" s="536" t="e">
        <f t="shared" ref="AB22:AB85" si="7">IF(($N22&gt;$N21),(EXP(-$R$16)*(AB21)+$R$15),((EXP(-$R$16)*(AB21))))</f>
        <v>#DIV/0!</v>
      </c>
      <c r="AC22" s="537" t="e">
        <f>IF($K22="yes",(EXP(-$R$16)*(AC21)+(Q$15*$L22)),((EXP(-$R$16)*(AC21))))</f>
        <v>#DIV/0!</v>
      </c>
      <c r="AD22" s="538" t="e">
        <f>IF(INPUTS!$B$15="yes",AC22,AB22)</f>
        <v>#DIV/0!</v>
      </c>
      <c r="AE22" s="36" t="str">
        <f t="shared" si="0"/>
        <v>no</v>
      </c>
      <c r="AG22" s="389" t="e">
        <f>P22*('upper bound Kenaga'!$F$36/100)</f>
        <v>#DIV/0!</v>
      </c>
      <c r="AI22" s="389" t="e">
        <f>P22*('upper bound Kenaga'!$F$96/100)</f>
        <v>#DIV/0!</v>
      </c>
      <c r="AJ22" s="135"/>
      <c r="AK22" s="135"/>
      <c r="AL22" s="36"/>
      <c r="AM22" s="36"/>
      <c r="AN22" s="36"/>
      <c r="AO22" s="36"/>
    </row>
    <row r="23" spans="1:41" ht="13.5" thickBot="1">
      <c r="A23" s="873"/>
      <c r="B23" s="869" t="s">
        <v>135</v>
      </c>
      <c r="C23" s="870"/>
      <c r="D23" s="296">
        <f>IF(INPUTS!D52=1,INPUTS!C55,INPUTS!C52)</f>
        <v>0</v>
      </c>
      <c r="E23" s="616"/>
      <c r="F23" s="616"/>
      <c r="G23" s="616"/>
      <c r="H23" s="616"/>
      <c r="I23" s="10"/>
      <c r="J23" s="6">
        <f>COUNTIF(K$21:K23,"=yes")</f>
        <v>1</v>
      </c>
      <c r="K23" s="533" t="str">
        <f>IF(LOOKUP(VALUE(M23),INPUTS!$G$6:$G$35)=M23,"yes","no")</f>
        <v>no</v>
      </c>
      <c r="L23" s="533">
        <f>IF(K23="yes",(LOOKUP(J23,INPUTS!$E$6:$E$35,INPUTS!$F$6:$F$35)),0)</f>
        <v>0</v>
      </c>
      <c r="M23" s="135">
        <f t="shared" si="1"/>
        <v>2</v>
      </c>
      <c r="N23" s="135">
        <f t="shared" si="2"/>
        <v>1</v>
      </c>
      <c r="O23" s="135">
        <f t="shared" si="3"/>
        <v>0</v>
      </c>
      <c r="P23" s="536" t="e">
        <f t="shared" ref="P23:P29" si="8">IF((N23&gt;N22),(EXP(-$R$16)*(P22)+$R$11),((EXP(-$R$16)*(P22))))</f>
        <v>#DIV/0!</v>
      </c>
      <c r="Q23" s="537" t="e">
        <f t="shared" ref="Q23:Q86" si="9">IF($K23="yes",(EXP(-$R$16)*(Q22)+(Q$11*$L23)),((EXP(-$R$16)*(Q22))))</f>
        <v>#DIV/0!</v>
      </c>
      <c r="R23" s="538" t="e">
        <f>IF(INPUTS!$B$15="yes",Q23,P23)</f>
        <v>#DIV/0!</v>
      </c>
      <c r="S23" s="536" t="e">
        <f t="shared" si="4"/>
        <v>#DIV/0!</v>
      </c>
      <c r="T23" s="537" t="e">
        <f t="shared" ref="T23:T86" si="10">IF($K23="yes",(EXP(-$R$16)*(T22)+(Q$12*$L23)),((EXP(-$R$16)*(T22))))</f>
        <v>#DIV/0!</v>
      </c>
      <c r="U23" s="538" t="e">
        <f>IF(INPUTS!$B$15="yes",T23,S23)</f>
        <v>#DIV/0!</v>
      </c>
      <c r="V23" s="536" t="e">
        <f t="shared" si="5"/>
        <v>#DIV/0!</v>
      </c>
      <c r="W23" s="537" t="e">
        <f t="shared" ref="W23:W86" si="11">IF($K23="yes",(EXP(-$R$16)*(W22)+(Q$13*$L23)),((EXP(-$R$16)*(W22))))</f>
        <v>#DIV/0!</v>
      </c>
      <c r="X23" s="538" t="e">
        <f>IF(INPUTS!$B$15="yes",W23,V23)</f>
        <v>#DIV/0!</v>
      </c>
      <c r="Y23" s="536" t="e">
        <f t="shared" si="6"/>
        <v>#DIV/0!</v>
      </c>
      <c r="Z23" s="537" t="e">
        <f t="shared" ref="Z23:Z86" si="12">IF($K23="yes",(EXP(-$R$16)*(Z22)+(Q$14*$L23)),((EXP(-$R$16)*(Z22))))</f>
        <v>#DIV/0!</v>
      </c>
      <c r="AA23" s="538" t="e">
        <f>IF(INPUTS!$B$15="yes",Z23,Y23)</f>
        <v>#DIV/0!</v>
      </c>
      <c r="AB23" s="536" t="e">
        <f t="shared" si="7"/>
        <v>#DIV/0!</v>
      </c>
      <c r="AC23" s="537" t="e">
        <f t="shared" ref="AC23:AC86" si="13">IF($K23="yes",(EXP(-$R$16)*(AC22)+(Q$15*$L23)),((EXP(-$R$16)*(AC22))))</f>
        <v>#DIV/0!</v>
      </c>
      <c r="AD23" s="538" t="e">
        <f>IF(INPUTS!$B$15="yes",AC23,AB23)</f>
        <v>#DIV/0!</v>
      </c>
      <c r="AE23" s="36" t="str">
        <f t="shared" si="0"/>
        <v>no</v>
      </c>
      <c r="AF23" s="36"/>
      <c r="AG23" s="389" t="e">
        <f>P23*('upper bound Kenaga'!$F$36/100)</f>
        <v>#DIV/0!</v>
      </c>
      <c r="AH23" s="36"/>
      <c r="AI23" s="389" t="e">
        <f>P23*('upper bound Kenaga'!$F$96/100)</f>
        <v>#DIV/0!</v>
      </c>
      <c r="AJ23" s="36"/>
      <c r="AK23" s="36"/>
      <c r="AL23" s="36"/>
      <c r="AM23" s="36"/>
      <c r="AN23" s="36"/>
      <c r="AO23" s="36"/>
    </row>
    <row r="24" spans="1:41" ht="13.5" thickBot="1">
      <c r="A24" s="618"/>
      <c r="B24" s="616"/>
      <c r="C24" s="619"/>
      <c r="D24" s="620"/>
      <c r="E24" s="616"/>
      <c r="F24" s="616"/>
      <c r="G24" s="616"/>
      <c r="H24" s="616"/>
      <c r="I24" s="10"/>
      <c r="J24" s="6">
        <f>COUNTIF(K$21:K24,"=yes")</f>
        <v>1</v>
      </c>
      <c r="K24" s="533" t="str">
        <f>IF(LOOKUP(VALUE(M24),INPUTS!$G$6:$G$35)=M24,"yes","no")</f>
        <v>no</v>
      </c>
      <c r="L24" s="533">
        <f>IF(K24="yes",(LOOKUP(J24,INPUTS!$E$6:$E$35,INPUTS!$F$6:$F$35)),0)</f>
        <v>0</v>
      </c>
      <c r="M24" s="135">
        <f t="shared" si="1"/>
        <v>3</v>
      </c>
      <c r="N24" s="135">
        <f t="shared" si="2"/>
        <v>1</v>
      </c>
      <c r="O24" s="135">
        <f t="shared" si="3"/>
        <v>0</v>
      </c>
      <c r="P24" s="536" t="e">
        <f t="shared" si="8"/>
        <v>#DIV/0!</v>
      </c>
      <c r="Q24" s="537" t="e">
        <f t="shared" si="9"/>
        <v>#DIV/0!</v>
      </c>
      <c r="R24" s="538" t="e">
        <f>IF(INPUTS!$B$15="yes",Q24,P24)</f>
        <v>#DIV/0!</v>
      </c>
      <c r="S24" s="536" t="e">
        <f t="shared" si="4"/>
        <v>#DIV/0!</v>
      </c>
      <c r="T24" s="537" t="e">
        <f t="shared" si="10"/>
        <v>#DIV/0!</v>
      </c>
      <c r="U24" s="538" t="e">
        <f>IF(INPUTS!$B$15="yes",T24,S24)</f>
        <v>#DIV/0!</v>
      </c>
      <c r="V24" s="536" t="e">
        <f t="shared" si="5"/>
        <v>#DIV/0!</v>
      </c>
      <c r="W24" s="537" t="e">
        <f t="shared" si="11"/>
        <v>#DIV/0!</v>
      </c>
      <c r="X24" s="538" t="e">
        <f>IF(INPUTS!$B$15="yes",W24,V24)</f>
        <v>#DIV/0!</v>
      </c>
      <c r="Y24" s="536" t="e">
        <f t="shared" si="6"/>
        <v>#DIV/0!</v>
      </c>
      <c r="Z24" s="537" t="e">
        <f t="shared" si="12"/>
        <v>#DIV/0!</v>
      </c>
      <c r="AA24" s="538" t="e">
        <f>IF(INPUTS!$B$15="yes",Z24,Y24)</f>
        <v>#DIV/0!</v>
      </c>
      <c r="AB24" s="536" t="e">
        <f t="shared" si="7"/>
        <v>#DIV/0!</v>
      </c>
      <c r="AC24" s="537" t="e">
        <f t="shared" si="13"/>
        <v>#DIV/0!</v>
      </c>
      <c r="AD24" s="538" t="e">
        <f>IF(INPUTS!$B$15="yes",AC24,AB24)</f>
        <v>#DIV/0!</v>
      </c>
      <c r="AE24" s="36" t="str">
        <f t="shared" si="0"/>
        <v>no</v>
      </c>
      <c r="AF24" s="36"/>
      <c r="AG24" s="389" t="e">
        <f>P24*('upper bound Kenaga'!$F$36/100)</f>
        <v>#DIV/0!</v>
      </c>
      <c r="AH24" s="36"/>
      <c r="AI24" s="389" t="e">
        <f>P24*('upper bound Kenaga'!$F$96/100)</f>
        <v>#DIV/0!</v>
      </c>
      <c r="AJ24" s="36"/>
      <c r="AK24" s="36"/>
      <c r="AL24" s="36"/>
      <c r="AM24" s="36"/>
      <c r="AN24" s="36"/>
      <c r="AO24" s="36"/>
    </row>
    <row r="25" spans="1:41" ht="12.75" customHeight="1">
      <c r="A25" s="865" t="s">
        <v>274</v>
      </c>
      <c r="B25" s="312" t="s">
        <v>42</v>
      </c>
      <c r="C25" s="617"/>
      <c r="D25" s="623"/>
      <c r="E25" s="616"/>
      <c r="F25" s="616"/>
      <c r="G25" s="616"/>
      <c r="H25" s="616"/>
      <c r="I25" s="10"/>
      <c r="J25" s="6">
        <f>COUNTIF(K$21:K25,"=yes")</f>
        <v>1</v>
      </c>
      <c r="K25" s="533" t="str">
        <f>IF(LOOKUP(VALUE(M25),INPUTS!$G$6:$G$35)=M25,"yes","no")</f>
        <v>no</v>
      </c>
      <c r="L25" s="533">
        <f>IF(K25="yes",(LOOKUP(J25,INPUTS!$E$6:$E$35,INPUTS!$F$6:$F$35)),0)</f>
        <v>0</v>
      </c>
      <c r="M25" s="135">
        <f t="shared" si="1"/>
        <v>4</v>
      </c>
      <c r="N25" s="135">
        <f t="shared" si="2"/>
        <v>1</v>
      </c>
      <c r="O25" s="135">
        <f t="shared" si="3"/>
        <v>0</v>
      </c>
      <c r="P25" s="536" t="e">
        <f t="shared" si="8"/>
        <v>#DIV/0!</v>
      </c>
      <c r="Q25" s="537" t="e">
        <f t="shared" si="9"/>
        <v>#DIV/0!</v>
      </c>
      <c r="R25" s="538" t="e">
        <f>IF(INPUTS!$B$15="yes",Q25,P25)</f>
        <v>#DIV/0!</v>
      </c>
      <c r="S25" s="536" t="e">
        <f t="shared" si="4"/>
        <v>#DIV/0!</v>
      </c>
      <c r="T25" s="537" t="e">
        <f t="shared" si="10"/>
        <v>#DIV/0!</v>
      </c>
      <c r="U25" s="538" t="e">
        <f>IF(INPUTS!$B$15="yes",T25,S25)</f>
        <v>#DIV/0!</v>
      </c>
      <c r="V25" s="536" t="e">
        <f t="shared" si="5"/>
        <v>#DIV/0!</v>
      </c>
      <c r="W25" s="537" t="e">
        <f t="shared" si="11"/>
        <v>#DIV/0!</v>
      </c>
      <c r="X25" s="538" t="e">
        <f>IF(INPUTS!$B$15="yes",W25,V25)</f>
        <v>#DIV/0!</v>
      </c>
      <c r="Y25" s="536" t="e">
        <f t="shared" si="6"/>
        <v>#DIV/0!</v>
      </c>
      <c r="Z25" s="537" t="e">
        <f t="shared" si="12"/>
        <v>#DIV/0!</v>
      </c>
      <c r="AA25" s="538" t="e">
        <f>IF(INPUTS!$B$15="yes",Z25,Y25)</f>
        <v>#DIV/0!</v>
      </c>
      <c r="AB25" s="536" t="e">
        <f t="shared" si="7"/>
        <v>#DIV/0!</v>
      </c>
      <c r="AC25" s="537" t="e">
        <f t="shared" si="13"/>
        <v>#DIV/0!</v>
      </c>
      <c r="AD25" s="538" t="e">
        <f>IF(INPUTS!$B$15="yes",AC25,AB25)</f>
        <v>#DIV/0!</v>
      </c>
      <c r="AE25" s="36" t="str">
        <f t="shared" si="0"/>
        <v>no</v>
      </c>
      <c r="AF25" s="36"/>
      <c r="AG25" s="389" t="e">
        <f>P25*('upper bound Kenaga'!$F$36/100)</f>
        <v>#DIV/0!</v>
      </c>
      <c r="AH25" s="36"/>
      <c r="AI25" s="389" t="e">
        <f>P25*('upper bound Kenaga'!$F$96/100)</f>
        <v>#DIV/0!</v>
      </c>
      <c r="AJ25" s="36"/>
      <c r="AK25" s="36"/>
      <c r="AL25" s="36"/>
      <c r="AM25" s="36"/>
      <c r="AN25" s="36"/>
      <c r="AO25" s="36"/>
    </row>
    <row r="26" spans="1:41" ht="12.75" customHeight="1">
      <c r="A26" s="866"/>
      <c r="B26" s="313" t="s">
        <v>43</v>
      </c>
      <c r="C26" s="617"/>
      <c r="D26" s="623"/>
      <c r="E26" s="616"/>
      <c r="F26" s="616"/>
      <c r="G26" s="616"/>
      <c r="H26" s="616"/>
      <c r="I26" s="10"/>
      <c r="J26" s="6">
        <f>COUNTIF(K$21:K26,"=yes")</f>
        <v>1</v>
      </c>
      <c r="K26" s="533" t="str">
        <f>IF(LOOKUP(VALUE(M26),INPUTS!$G$6:$G$35)=M26,"yes","no")</f>
        <v>no</v>
      </c>
      <c r="L26" s="533">
        <f>IF(K26="yes",(LOOKUP(J26,INPUTS!$E$6:$E$35,INPUTS!$F$6:$F$35)),0)</f>
        <v>0</v>
      </c>
      <c r="M26" s="135">
        <f t="shared" si="1"/>
        <v>5</v>
      </c>
      <c r="N26" s="135">
        <f t="shared" si="2"/>
        <v>1</v>
      </c>
      <c r="O26" s="135">
        <f t="shared" si="3"/>
        <v>0</v>
      </c>
      <c r="P26" s="536" t="e">
        <f t="shared" si="8"/>
        <v>#DIV/0!</v>
      </c>
      <c r="Q26" s="537" t="e">
        <f t="shared" si="9"/>
        <v>#DIV/0!</v>
      </c>
      <c r="R26" s="538" t="e">
        <f>IF(INPUTS!$B$15="yes",Q26,P26)</f>
        <v>#DIV/0!</v>
      </c>
      <c r="S26" s="536" t="e">
        <f t="shared" si="4"/>
        <v>#DIV/0!</v>
      </c>
      <c r="T26" s="537" t="e">
        <f t="shared" si="10"/>
        <v>#DIV/0!</v>
      </c>
      <c r="U26" s="538" t="e">
        <f>IF(INPUTS!$B$15="yes",T26,S26)</f>
        <v>#DIV/0!</v>
      </c>
      <c r="V26" s="536" t="e">
        <f t="shared" si="5"/>
        <v>#DIV/0!</v>
      </c>
      <c r="W26" s="537" t="e">
        <f t="shared" si="11"/>
        <v>#DIV/0!</v>
      </c>
      <c r="X26" s="538" t="e">
        <f>IF(INPUTS!$B$15="yes",W26,V26)</f>
        <v>#DIV/0!</v>
      </c>
      <c r="Y26" s="536" t="e">
        <f t="shared" si="6"/>
        <v>#DIV/0!</v>
      </c>
      <c r="Z26" s="537" t="e">
        <f t="shared" si="12"/>
        <v>#DIV/0!</v>
      </c>
      <c r="AA26" s="538" t="e">
        <f>IF(INPUTS!$B$15="yes",Z26,Y26)</f>
        <v>#DIV/0!</v>
      </c>
      <c r="AB26" s="536" t="e">
        <f t="shared" si="7"/>
        <v>#DIV/0!</v>
      </c>
      <c r="AC26" s="537" t="e">
        <f t="shared" si="13"/>
        <v>#DIV/0!</v>
      </c>
      <c r="AD26" s="538" t="e">
        <f>IF(INPUTS!$B$15="yes",AC26,AB26)</f>
        <v>#DIV/0!</v>
      </c>
      <c r="AE26" s="36" t="str">
        <f t="shared" si="0"/>
        <v>no</v>
      </c>
      <c r="AF26" s="36"/>
      <c r="AG26" s="389" t="e">
        <f>P26*('upper bound Kenaga'!$F$36/100)</f>
        <v>#DIV/0!</v>
      </c>
      <c r="AH26" s="36"/>
      <c r="AI26" s="389" t="e">
        <f>P26*('upper bound Kenaga'!$F$96/100)</f>
        <v>#DIV/0!</v>
      </c>
      <c r="AJ26" s="36"/>
      <c r="AK26" s="36"/>
      <c r="AL26" s="36"/>
      <c r="AM26" s="36"/>
      <c r="AN26" s="36"/>
      <c r="AO26" s="36"/>
    </row>
    <row r="27" spans="1:41">
      <c r="A27" s="297" t="s">
        <v>13</v>
      </c>
      <c r="B27" s="298" t="e">
        <f>MAX(R21:R391)</f>
        <v>#DIV/0!</v>
      </c>
      <c r="C27" s="617"/>
      <c r="D27" s="623"/>
      <c r="E27" s="616"/>
      <c r="F27" s="616"/>
      <c r="G27" s="616"/>
      <c r="H27" s="616"/>
      <c r="I27" s="10"/>
      <c r="J27" s="6">
        <f>COUNTIF(K$21:K27,"=yes")</f>
        <v>1</v>
      </c>
      <c r="K27" s="533" t="str">
        <f>IF(LOOKUP(VALUE(M27),INPUTS!$G$6:$G$35)=M27,"yes","no")</f>
        <v>no</v>
      </c>
      <c r="L27" s="533">
        <f>IF(K27="yes",(LOOKUP(J27,INPUTS!$E$6:$E$35,INPUTS!$F$6:$F$35)),0)</f>
        <v>0</v>
      </c>
      <c r="M27" s="135">
        <f t="shared" si="1"/>
        <v>6</v>
      </c>
      <c r="N27" s="135">
        <f t="shared" si="2"/>
        <v>1</v>
      </c>
      <c r="O27" s="135">
        <f t="shared" si="3"/>
        <v>0</v>
      </c>
      <c r="P27" s="536" t="e">
        <f t="shared" si="8"/>
        <v>#DIV/0!</v>
      </c>
      <c r="Q27" s="537" t="e">
        <f t="shared" si="9"/>
        <v>#DIV/0!</v>
      </c>
      <c r="R27" s="538" t="e">
        <f>IF(INPUTS!$B$15="yes",Q27,P27)</f>
        <v>#DIV/0!</v>
      </c>
      <c r="S27" s="536" t="e">
        <f t="shared" si="4"/>
        <v>#DIV/0!</v>
      </c>
      <c r="T27" s="537" t="e">
        <f t="shared" si="10"/>
        <v>#DIV/0!</v>
      </c>
      <c r="U27" s="538" t="e">
        <f>IF(INPUTS!$B$15="yes",T27,S27)</f>
        <v>#DIV/0!</v>
      </c>
      <c r="V27" s="536" t="e">
        <f t="shared" si="5"/>
        <v>#DIV/0!</v>
      </c>
      <c r="W27" s="537" t="e">
        <f t="shared" si="11"/>
        <v>#DIV/0!</v>
      </c>
      <c r="X27" s="538" t="e">
        <f>IF(INPUTS!$B$15="yes",W27,V27)</f>
        <v>#DIV/0!</v>
      </c>
      <c r="Y27" s="536" t="e">
        <f t="shared" si="6"/>
        <v>#DIV/0!</v>
      </c>
      <c r="Z27" s="537" t="e">
        <f t="shared" si="12"/>
        <v>#DIV/0!</v>
      </c>
      <c r="AA27" s="538" t="e">
        <f>IF(INPUTS!$B$15="yes",Z27,Y27)</f>
        <v>#DIV/0!</v>
      </c>
      <c r="AB27" s="536" t="e">
        <f t="shared" si="7"/>
        <v>#DIV/0!</v>
      </c>
      <c r="AC27" s="537" t="e">
        <f t="shared" si="13"/>
        <v>#DIV/0!</v>
      </c>
      <c r="AD27" s="538" t="e">
        <f>IF(INPUTS!$B$15="yes",AC27,AB27)</f>
        <v>#DIV/0!</v>
      </c>
      <c r="AE27" s="36" t="str">
        <f t="shared" si="0"/>
        <v>no</v>
      </c>
      <c r="AF27" s="36"/>
      <c r="AG27" s="389" t="e">
        <f>P27*('upper bound Kenaga'!$F$36/100)</f>
        <v>#DIV/0!</v>
      </c>
      <c r="AH27" s="36"/>
      <c r="AI27" s="389" t="e">
        <f>P27*('upper bound Kenaga'!$F$96/100)</f>
        <v>#DIV/0!</v>
      </c>
      <c r="AJ27" s="36"/>
      <c r="AK27" s="36"/>
      <c r="AL27" s="36"/>
      <c r="AM27" s="36"/>
      <c r="AN27" s="36"/>
      <c r="AO27" s="36"/>
    </row>
    <row r="28" spans="1:41">
      <c r="A28" s="297" t="s">
        <v>16</v>
      </c>
      <c r="B28" s="298" t="e">
        <f>MAX(U21:U391)</f>
        <v>#DIV/0!</v>
      </c>
      <c r="C28" s="617"/>
      <c r="D28" s="623"/>
      <c r="E28" s="616"/>
      <c r="F28" s="616"/>
      <c r="G28" s="616"/>
      <c r="H28" s="616"/>
      <c r="I28" s="10"/>
      <c r="J28" s="6">
        <f>COUNTIF(K$21:K28,"=yes")</f>
        <v>1</v>
      </c>
      <c r="K28" s="533" t="str">
        <f>IF(LOOKUP(VALUE(M28),INPUTS!$G$6:$G$35)=M28,"yes","no")</f>
        <v>no</v>
      </c>
      <c r="L28" s="533">
        <f>IF(K28="yes",(LOOKUP(J28,INPUTS!$E$6:$E$35,INPUTS!$F$6:$F$35)),0)</f>
        <v>0</v>
      </c>
      <c r="M28" s="135">
        <f t="shared" si="1"/>
        <v>7</v>
      </c>
      <c r="N28" s="135">
        <f t="shared" si="2"/>
        <v>1</v>
      </c>
      <c r="O28" s="135">
        <f t="shared" si="3"/>
        <v>0</v>
      </c>
      <c r="P28" s="536" t="e">
        <f t="shared" si="8"/>
        <v>#DIV/0!</v>
      </c>
      <c r="Q28" s="537" t="e">
        <f t="shared" si="9"/>
        <v>#DIV/0!</v>
      </c>
      <c r="R28" s="538" t="e">
        <f>IF(INPUTS!$B$15="yes",Q28,P28)</f>
        <v>#DIV/0!</v>
      </c>
      <c r="S28" s="536" t="e">
        <f t="shared" si="4"/>
        <v>#DIV/0!</v>
      </c>
      <c r="T28" s="537" t="e">
        <f t="shared" si="10"/>
        <v>#DIV/0!</v>
      </c>
      <c r="U28" s="538" t="e">
        <f>IF(INPUTS!$B$15="yes",T28,S28)</f>
        <v>#DIV/0!</v>
      </c>
      <c r="V28" s="536" t="e">
        <f t="shared" si="5"/>
        <v>#DIV/0!</v>
      </c>
      <c r="W28" s="537" t="e">
        <f t="shared" si="11"/>
        <v>#DIV/0!</v>
      </c>
      <c r="X28" s="538" t="e">
        <f>IF(INPUTS!$B$15="yes",W28,V28)</f>
        <v>#DIV/0!</v>
      </c>
      <c r="Y28" s="536" t="e">
        <f t="shared" si="6"/>
        <v>#DIV/0!</v>
      </c>
      <c r="Z28" s="537" t="e">
        <f t="shared" si="12"/>
        <v>#DIV/0!</v>
      </c>
      <c r="AA28" s="538" t="e">
        <f>IF(INPUTS!$B$15="yes",Z28,Y28)</f>
        <v>#DIV/0!</v>
      </c>
      <c r="AB28" s="536" t="e">
        <f t="shared" si="7"/>
        <v>#DIV/0!</v>
      </c>
      <c r="AC28" s="537" t="e">
        <f t="shared" si="13"/>
        <v>#DIV/0!</v>
      </c>
      <c r="AD28" s="538" t="e">
        <f>IF(INPUTS!$B$15="yes",AC28,AB28)</f>
        <v>#DIV/0!</v>
      </c>
      <c r="AE28" s="36" t="str">
        <f t="shared" si="0"/>
        <v>no</v>
      </c>
      <c r="AF28" s="36"/>
      <c r="AG28" s="389" t="e">
        <f>P28*('upper bound Kenaga'!$F$36/100)</f>
        <v>#DIV/0!</v>
      </c>
      <c r="AH28" s="36"/>
      <c r="AI28" s="389" t="e">
        <f>P28*('upper bound Kenaga'!$F$96/100)</f>
        <v>#DIV/0!</v>
      </c>
      <c r="AJ28" s="36"/>
      <c r="AK28" s="36"/>
      <c r="AL28" s="36"/>
      <c r="AM28" s="36"/>
      <c r="AN28" s="36"/>
      <c r="AO28" s="36"/>
    </row>
    <row r="29" spans="1:41">
      <c r="A29" s="297" t="s">
        <v>415</v>
      </c>
      <c r="B29" s="298" t="e">
        <f>MAX(X21:X391)</f>
        <v>#DIV/0!</v>
      </c>
      <c r="C29" s="617"/>
      <c r="D29" s="623"/>
      <c r="E29" s="616"/>
      <c r="F29" s="616"/>
      <c r="G29" s="616"/>
      <c r="H29" s="616"/>
      <c r="I29" s="10"/>
      <c r="J29" s="6">
        <f>COUNTIF(K$21:K29,"=yes")</f>
        <v>1</v>
      </c>
      <c r="K29" s="533" t="str">
        <f>IF(LOOKUP(VALUE(M29),INPUTS!$G$6:$G$35)=M29,"yes","no")</f>
        <v>no</v>
      </c>
      <c r="L29" s="533">
        <f>IF(K29="yes",(LOOKUP(J29,INPUTS!$E$6:$E$35,INPUTS!$F$6:$F$35)),0)</f>
        <v>0</v>
      </c>
      <c r="M29" s="135">
        <f t="shared" si="1"/>
        <v>8</v>
      </c>
      <c r="N29" s="135">
        <f t="shared" si="2"/>
        <v>1</v>
      </c>
      <c r="O29" s="135">
        <f t="shared" si="3"/>
        <v>0</v>
      </c>
      <c r="P29" s="536" t="e">
        <f t="shared" si="8"/>
        <v>#DIV/0!</v>
      </c>
      <c r="Q29" s="537" t="e">
        <f t="shared" si="9"/>
        <v>#DIV/0!</v>
      </c>
      <c r="R29" s="538" t="e">
        <f>IF(INPUTS!$B$15="yes",Q29,P29)</f>
        <v>#DIV/0!</v>
      </c>
      <c r="S29" s="536" t="e">
        <f t="shared" si="4"/>
        <v>#DIV/0!</v>
      </c>
      <c r="T29" s="537" t="e">
        <f t="shared" si="10"/>
        <v>#DIV/0!</v>
      </c>
      <c r="U29" s="538" t="e">
        <f>IF(INPUTS!$B$15="yes",T29,S29)</f>
        <v>#DIV/0!</v>
      </c>
      <c r="V29" s="536" t="e">
        <f t="shared" si="5"/>
        <v>#DIV/0!</v>
      </c>
      <c r="W29" s="537" t="e">
        <f t="shared" si="11"/>
        <v>#DIV/0!</v>
      </c>
      <c r="X29" s="538" t="e">
        <f>IF(INPUTS!$B$15="yes",W29,V29)</f>
        <v>#DIV/0!</v>
      </c>
      <c r="Y29" s="536" t="e">
        <f t="shared" si="6"/>
        <v>#DIV/0!</v>
      </c>
      <c r="Z29" s="537" t="e">
        <f t="shared" si="12"/>
        <v>#DIV/0!</v>
      </c>
      <c r="AA29" s="538" t="e">
        <f>IF(INPUTS!$B$15="yes",Z29,Y29)</f>
        <v>#DIV/0!</v>
      </c>
      <c r="AB29" s="536" t="e">
        <f t="shared" si="7"/>
        <v>#DIV/0!</v>
      </c>
      <c r="AC29" s="537" t="e">
        <f t="shared" si="13"/>
        <v>#DIV/0!</v>
      </c>
      <c r="AD29" s="538" t="e">
        <f>IF(INPUTS!$B$15="yes",AC29,AB29)</f>
        <v>#DIV/0!</v>
      </c>
      <c r="AE29" s="36" t="str">
        <f t="shared" si="0"/>
        <v>no</v>
      </c>
      <c r="AF29" s="36"/>
      <c r="AG29" s="389" t="e">
        <f>P29*('upper bound Kenaga'!$F$36/100)</f>
        <v>#DIV/0!</v>
      </c>
      <c r="AH29" s="36"/>
      <c r="AI29" s="389" t="e">
        <f>P29*('upper bound Kenaga'!$F$96/100)</f>
        <v>#DIV/0!</v>
      </c>
      <c r="AJ29" s="36"/>
      <c r="AK29" s="36"/>
      <c r="AL29" s="36"/>
      <c r="AM29" s="36"/>
      <c r="AN29" s="36"/>
      <c r="AO29" s="36"/>
    </row>
    <row r="30" spans="1:41">
      <c r="A30" s="297" t="s">
        <v>416</v>
      </c>
      <c r="B30" s="298" t="e">
        <f>MAX(AA21:AA391)</f>
        <v>#DIV/0!</v>
      </c>
      <c r="C30" s="617"/>
      <c r="D30" s="623"/>
      <c r="E30" s="616"/>
      <c r="F30" s="616"/>
      <c r="G30" s="616"/>
      <c r="H30" s="616"/>
      <c r="I30" s="10"/>
      <c r="J30" s="6">
        <f>COUNTIF(K$21:K30,"=yes")</f>
        <v>1</v>
      </c>
      <c r="K30" s="533" t="str">
        <f>IF(LOOKUP(VALUE(M30),INPUTS!$G$6:$G$35)=M30,"yes","no")</f>
        <v>no</v>
      </c>
      <c r="L30" s="533">
        <f>IF(K30="yes",(LOOKUP(J30,INPUTS!$E$6:$E$35,INPUTS!$F$6:$F$35)),0)</f>
        <v>0</v>
      </c>
      <c r="M30" s="135">
        <f t="shared" si="1"/>
        <v>9</v>
      </c>
      <c r="N30" s="135">
        <f t="shared" si="2"/>
        <v>1</v>
      </c>
      <c r="O30" s="135">
        <f t="shared" si="3"/>
        <v>0</v>
      </c>
      <c r="P30" s="536" t="e">
        <f>IF((N30&gt;N29),(EXP(-$R$16)*(P29)+$R$11),((EXP(-$R$16)*(P29))))</f>
        <v>#DIV/0!</v>
      </c>
      <c r="Q30" s="537" t="e">
        <f t="shared" si="9"/>
        <v>#DIV/0!</v>
      </c>
      <c r="R30" s="538" t="e">
        <f>IF(INPUTS!$B$15="yes",Q30,P30)</f>
        <v>#DIV/0!</v>
      </c>
      <c r="S30" s="536" t="e">
        <f t="shared" si="4"/>
        <v>#DIV/0!</v>
      </c>
      <c r="T30" s="537" t="e">
        <f t="shared" si="10"/>
        <v>#DIV/0!</v>
      </c>
      <c r="U30" s="538" t="e">
        <f>IF(INPUTS!$B$15="yes",T30,S30)</f>
        <v>#DIV/0!</v>
      </c>
      <c r="V30" s="536" t="e">
        <f t="shared" si="5"/>
        <v>#DIV/0!</v>
      </c>
      <c r="W30" s="537" t="e">
        <f t="shared" si="11"/>
        <v>#DIV/0!</v>
      </c>
      <c r="X30" s="538" t="e">
        <f>IF(INPUTS!$B$15="yes",W30,V30)</f>
        <v>#DIV/0!</v>
      </c>
      <c r="Y30" s="536" t="e">
        <f t="shared" si="6"/>
        <v>#DIV/0!</v>
      </c>
      <c r="Z30" s="537" t="e">
        <f t="shared" si="12"/>
        <v>#DIV/0!</v>
      </c>
      <c r="AA30" s="538" t="e">
        <f>IF(INPUTS!$B$15="yes",Z30,Y30)</f>
        <v>#DIV/0!</v>
      </c>
      <c r="AB30" s="536" t="e">
        <f t="shared" si="7"/>
        <v>#DIV/0!</v>
      </c>
      <c r="AC30" s="537" t="e">
        <f t="shared" si="13"/>
        <v>#DIV/0!</v>
      </c>
      <c r="AD30" s="538" t="e">
        <f>IF(INPUTS!$B$15="yes",AC30,AB30)</f>
        <v>#DIV/0!</v>
      </c>
      <c r="AE30" s="36" t="str">
        <f t="shared" si="0"/>
        <v>no</v>
      </c>
      <c r="AF30" s="36"/>
      <c r="AG30" s="389" t="e">
        <f>P30*('upper bound Kenaga'!$F$36/100)</f>
        <v>#DIV/0!</v>
      </c>
      <c r="AH30" s="36"/>
      <c r="AI30" s="389" t="e">
        <f>P30*('upper bound Kenaga'!$F$96/100)</f>
        <v>#DIV/0!</v>
      </c>
      <c r="AJ30" s="36"/>
      <c r="AK30" s="36"/>
      <c r="AL30" s="36"/>
      <c r="AM30" s="36"/>
      <c r="AN30" s="36"/>
      <c r="AO30" s="36"/>
    </row>
    <row r="31" spans="1:41" ht="13.5" thickBot="1">
      <c r="A31" s="559" t="s">
        <v>414</v>
      </c>
      <c r="B31" s="560" t="e">
        <f>MAX(AD21:AD391)</f>
        <v>#DIV/0!</v>
      </c>
      <c r="C31" s="617"/>
      <c r="D31" s="623"/>
      <c r="E31" s="616"/>
      <c r="F31" s="616"/>
      <c r="G31" s="616"/>
      <c r="H31" s="616"/>
      <c r="I31" s="10"/>
      <c r="J31" s="6">
        <f>COUNTIF(K$21:K31,"=yes")</f>
        <v>1</v>
      </c>
      <c r="K31" s="533" t="str">
        <f>IF(LOOKUP(VALUE(M31),INPUTS!$G$6:$G$35)=M31,"yes","no")</f>
        <v>no</v>
      </c>
      <c r="L31" s="533">
        <f>IF(K31="yes",(LOOKUP(J31,INPUTS!$E$6:$E$35,INPUTS!$F$6:$F$35)),0)</f>
        <v>0</v>
      </c>
      <c r="M31" s="135">
        <f t="shared" si="1"/>
        <v>10</v>
      </c>
      <c r="N31" s="135">
        <f t="shared" si="2"/>
        <v>1</v>
      </c>
      <c r="O31" s="135">
        <f t="shared" si="3"/>
        <v>0</v>
      </c>
      <c r="P31" s="536" t="e">
        <f t="shared" ref="P31:P94" si="14">IF((N31&gt;N30),(EXP(-$R$16)*(P30)+$R$11),((EXP(-$R$16)*(P30))))</f>
        <v>#DIV/0!</v>
      </c>
      <c r="Q31" s="537" t="e">
        <f t="shared" si="9"/>
        <v>#DIV/0!</v>
      </c>
      <c r="R31" s="538" t="e">
        <f>IF(INPUTS!$B$15="yes",Q31,P31)</f>
        <v>#DIV/0!</v>
      </c>
      <c r="S31" s="536" t="e">
        <f t="shared" si="4"/>
        <v>#DIV/0!</v>
      </c>
      <c r="T31" s="537" t="e">
        <f t="shared" si="10"/>
        <v>#DIV/0!</v>
      </c>
      <c r="U31" s="538" t="e">
        <f>IF(INPUTS!$B$15="yes",T31,S31)</f>
        <v>#DIV/0!</v>
      </c>
      <c r="V31" s="536" t="e">
        <f t="shared" si="5"/>
        <v>#DIV/0!</v>
      </c>
      <c r="W31" s="537" t="e">
        <f t="shared" si="11"/>
        <v>#DIV/0!</v>
      </c>
      <c r="X31" s="538" t="e">
        <f>IF(INPUTS!$B$15="yes",W31,V31)</f>
        <v>#DIV/0!</v>
      </c>
      <c r="Y31" s="536" t="e">
        <f t="shared" si="6"/>
        <v>#DIV/0!</v>
      </c>
      <c r="Z31" s="537" t="e">
        <f t="shared" si="12"/>
        <v>#DIV/0!</v>
      </c>
      <c r="AA31" s="538" t="e">
        <f>IF(INPUTS!$B$15="yes",Z31,Y31)</f>
        <v>#DIV/0!</v>
      </c>
      <c r="AB31" s="536" t="e">
        <f t="shared" si="7"/>
        <v>#DIV/0!</v>
      </c>
      <c r="AC31" s="537" t="e">
        <f t="shared" si="13"/>
        <v>#DIV/0!</v>
      </c>
      <c r="AD31" s="538" t="e">
        <f>IF(INPUTS!$B$15="yes",AC31,AB31)</f>
        <v>#DIV/0!</v>
      </c>
      <c r="AE31" s="36" t="str">
        <f t="shared" si="0"/>
        <v>no</v>
      </c>
      <c r="AF31" s="36"/>
      <c r="AG31" s="389" t="e">
        <f>P31*('upper bound Kenaga'!$F$36/100)</f>
        <v>#DIV/0!</v>
      </c>
      <c r="AH31" s="36"/>
      <c r="AI31" s="389" t="e">
        <f>P31*('upper bound Kenaga'!$F$96/100)</f>
        <v>#DIV/0!</v>
      </c>
      <c r="AJ31" s="36"/>
      <c r="AK31" s="36"/>
      <c r="AL31" s="36"/>
      <c r="AM31" s="36"/>
      <c r="AN31" s="36"/>
      <c r="AO31" s="36"/>
    </row>
    <row r="32" spans="1:41">
      <c r="A32" s="617"/>
      <c r="B32" s="617"/>
      <c r="C32" s="617"/>
      <c r="D32" s="623"/>
      <c r="E32" s="617"/>
      <c r="F32" s="617"/>
      <c r="G32" s="617"/>
      <c r="H32" s="617"/>
      <c r="I32" s="10"/>
      <c r="J32" s="6">
        <f>COUNTIF(K$21:K32,"=yes")</f>
        <v>1</v>
      </c>
      <c r="K32" s="533" t="str">
        <f>IF(LOOKUP(VALUE(M32),INPUTS!$G$6:$G$35)=M32,"yes","no")</f>
        <v>no</v>
      </c>
      <c r="L32" s="533">
        <f>IF(K32="yes",(LOOKUP(J32,INPUTS!$E$6:$E$35,INPUTS!$F$6:$F$35)),0)</f>
        <v>0</v>
      </c>
      <c r="M32" s="135">
        <f t="shared" si="1"/>
        <v>11</v>
      </c>
      <c r="N32" s="135">
        <f t="shared" si="2"/>
        <v>1</v>
      </c>
      <c r="O32" s="135">
        <f t="shared" si="3"/>
        <v>0</v>
      </c>
      <c r="P32" s="536" t="e">
        <f t="shared" si="14"/>
        <v>#DIV/0!</v>
      </c>
      <c r="Q32" s="537" t="e">
        <f t="shared" si="9"/>
        <v>#DIV/0!</v>
      </c>
      <c r="R32" s="538" t="e">
        <f>IF(INPUTS!$B$15="yes",Q32,P32)</f>
        <v>#DIV/0!</v>
      </c>
      <c r="S32" s="536" t="e">
        <f t="shared" si="4"/>
        <v>#DIV/0!</v>
      </c>
      <c r="T32" s="537" t="e">
        <f t="shared" si="10"/>
        <v>#DIV/0!</v>
      </c>
      <c r="U32" s="538" t="e">
        <f>IF(INPUTS!$B$15="yes",T32,S32)</f>
        <v>#DIV/0!</v>
      </c>
      <c r="V32" s="536" t="e">
        <f t="shared" si="5"/>
        <v>#DIV/0!</v>
      </c>
      <c r="W32" s="537" t="e">
        <f t="shared" si="11"/>
        <v>#DIV/0!</v>
      </c>
      <c r="X32" s="538" t="e">
        <f>IF(INPUTS!$B$15="yes",W32,V32)</f>
        <v>#DIV/0!</v>
      </c>
      <c r="Y32" s="536" t="e">
        <f t="shared" si="6"/>
        <v>#DIV/0!</v>
      </c>
      <c r="Z32" s="537" t="e">
        <f t="shared" si="12"/>
        <v>#DIV/0!</v>
      </c>
      <c r="AA32" s="538" t="e">
        <f>IF(INPUTS!$B$15="yes",Z32,Y32)</f>
        <v>#DIV/0!</v>
      </c>
      <c r="AB32" s="536" t="e">
        <f t="shared" si="7"/>
        <v>#DIV/0!</v>
      </c>
      <c r="AC32" s="537" t="e">
        <f t="shared" si="13"/>
        <v>#DIV/0!</v>
      </c>
      <c r="AD32" s="538" t="e">
        <f>IF(INPUTS!$B$15="yes",AC32,AB32)</f>
        <v>#DIV/0!</v>
      </c>
      <c r="AE32" s="36" t="str">
        <f t="shared" si="0"/>
        <v>no</v>
      </c>
      <c r="AF32" s="36"/>
      <c r="AG32" s="389" t="e">
        <f>P32*('upper bound Kenaga'!$F$36/100)</f>
        <v>#DIV/0!</v>
      </c>
      <c r="AH32" s="36"/>
      <c r="AI32" s="389" t="e">
        <f>P32*('upper bound Kenaga'!$F$96/100)</f>
        <v>#DIV/0!</v>
      </c>
      <c r="AJ32" s="36"/>
      <c r="AK32" s="36"/>
      <c r="AL32" s="36"/>
      <c r="AM32" s="36"/>
      <c r="AN32" s="36"/>
      <c r="AO32" s="36"/>
    </row>
    <row r="33" spans="1:41" ht="21" thickBot="1">
      <c r="A33" s="624" t="s">
        <v>47</v>
      </c>
      <c r="B33" s="625"/>
      <c r="C33" s="625"/>
      <c r="D33" s="626"/>
      <c r="E33" s="625"/>
      <c r="F33" s="625"/>
      <c r="G33" s="625"/>
      <c r="H33" s="625"/>
      <c r="I33" s="10"/>
      <c r="J33" s="6">
        <f>COUNTIF(K$21:K33,"=yes")</f>
        <v>1</v>
      </c>
      <c r="K33" s="533" t="str">
        <f>IF(LOOKUP(VALUE(M33),INPUTS!$G$6:$G$35)=M33,"yes","no")</f>
        <v>no</v>
      </c>
      <c r="L33" s="533">
        <f>IF(K33="yes",(LOOKUP(J33,INPUTS!$E$6:$E$35,INPUTS!$F$6:$F$35)),0)</f>
        <v>0</v>
      </c>
      <c r="M33" s="135">
        <f t="shared" si="1"/>
        <v>12</v>
      </c>
      <c r="N33" s="135">
        <f t="shared" si="2"/>
        <v>1</v>
      </c>
      <c r="O33" s="135">
        <f t="shared" si="3"/>
        <v>0</v>
      </c>
      <c r="P33" s="536" t="e">
        <f t="shared" si="14"/>
        <v>#DIV/0!</v>
      </c>
      <c r="Q33" s="537" t="e">
        <f t="shared" si="9"/>
        <v>#DIV/0!</v>
      </c>
      <c r="R33" s="538" t="e">
        <f>IF(INPUTS!$B$15="yes",Q33,P33)</f>
        <v>#DIV/0!</v>
      </c>
      <c r="S33" s="536" t="e">
        <f t="shared" si="4"/>
        <v>#DIV/0!</v>
      </c>
      <c r="T33" s="537" t="e">
        <f t="shared" si="10"/>
        <v>#DIV/0!</v>
      </c>
      <c r="U33" s="538" t="e">
        <f>IF(INPUTS!$B$15="yes",T33,S33)</f>
        <v>#DIV/0!</v>
      </c>
      <c r="V33" s="536" t="e">
        <f t="shared" si="5"/>
        <v>#DIV/0!</v>
      </c>
      <c r="W33" s="537" t="e">
        <f t="shared" si="11"/>
        <v>#DIV/0!</v>
      </c>
      <c r="X33" s="538" t="e">
        <f>IF(INPUTS!$B$15="yes",W33,V33)</f>
        <v>#DIV/0!</v>
      </c>
      <c r="Y33" s="536" t="e">
        <f t="shared" si="6"/>
        <v>#DIV/0!</v>
      </c>
      <c r="Z33" s="537" t="e">
        <f t="shared" si="12"/>
        <v>#DIV/0!</v>
      </c>
      <c r="AA33" s="538" t="e">
        <f>IF(INPUTS!$B$15="yes",Z33,Y33)</f>
        <v>#DIV/0!</v>
      </c>
      <c r="AB33" s="536" t="e">
        <f t="shared" si="7"/>
        <v>#DIV/0!</v>
      </c>
      <c r="AC33" s="537" t="e">
        <f t="shared" si="13"/>
        <v>#DIV/0!</v>
      </c>
      <c r="AD33" s="538" t="e">
        <f>IF(INPUTS!$B$15="yes",AC33,AB33)</f>
        <v>#DIV/0!</v>
      </c>
      <c r="AE33" s="36" t="str">
        <f t="shared" si="0"/>
        <v>no</v>
      </c>
      <c r="AF33" s="36"/>
      <c r="AG33" s="389" t="e">
        <f>P33*('upper bound Kenaga'!$F$36/100)</f>
        <v>#DIV/0!</v>
      </c>
      <c r="AH33" s="36"/>
      <c r="AI33" s="389" t="e">
        <f>P33*('upper bound Kenaga'!$F$96/100)</f>
        <v>#DIV/0!</v>
      </c>
      <c r="AJ33" s="36"/>
      <c r="AK33" s="36"/>
      <c r="AL33" s="36"/>
      <c r="AM33" s="36"/>
      <c r="AN33" s="36"/>
      <c r="AO33" s="36"/>
    </row>
    <row r="34" spans="1:41" ht="13.5" thickTop="1">
      <c r="A34" s="617"/>
      <c r="B34" s="314" t="s">
        <v>14</v>
      </c>
      <c r="C34" s="315" t="s">
        <v>35</v>
      </c>
      <c r="D34" s="315" t="s">
        <v>212</v>
      </c>
      <c r="E34" s="315" t="s">
        <v>207</v>
      </c>
      <c r="F34" s="315" t="s">
        <v>37</v>
      </c>
      <c r="G34" s="316" t="s">
        <v>210</v>
      </c>
      <c r="H34" s="617"/>
      <c r="J34" s="6">
        <f>COUNTIF(K$21:K34,"=yes")</f>
        <v>1</v>
      </c>
      <c r="K34" s="533" t="str">
        <f>IF(LOOKUP(VALUE(M34),INPUTS!$G$6:$G$35)=M34,"yes","no")</f>
        <v>no</v>
      </c>
      <c r="L34" s="533">
        <f>IF(K34="yes",(LOOKUP(J34,INPUTS!$E$6:$E$35,INPUTS!$F$6:$F$35)),0)</f>
        <v>0</v>
      </c>
      <c r="M34" s="135">
        <f>(M33+1)</f>
        <v>13</v>
      </c>
      <c r="N34" s="135">
        <f t="shared" si="2"/>
        <v>1</v>
      </c>
      <c r="O34" s="135">
        <f t="shared" si="3"/>
        <v>0</v>
      </c>
      <c r="P34" s="536" t="e">
        <f t="shared" si="14"/>
        <v>#DIV/0!</v>
      </c>
      <c r="Q34" s="537" t="e">
        <f t="shared" si="9"/>
        <v>#DIV/0!</v>
      </c>
      <c r="R34" s="538" t="e">
        <f>IF(INPUTS!$B$15="yes",Q34,P34)</f>
        <v>#DIV/0!</v>
      </c>
      <c r="S34" s="536" t="e">
        <f t="shared" si="4"/>
        <v>#DIV/0!</v>
      </c>
      <c r="T34" s="537" t="e">
        <f t="shared" si="10"/>
        <v>#DIV/0!</v>
      </c>
      <c r="U34" s="538" t="e">
        <f>IF(INPUTS!$B$15="yes",T34,S34)</f>
        <v>#DIV/0!</v>
      </c>
      <c r="V34" s="536" t="e">
        <f t="shared" si="5"/>
        <v>#DIV/0!</v>
      </c>
      <c r="W34" s="537" t="e">
        <f t="shared" si="11"/>
        <v>#DIV/0!</v>
      </c>
      <c r="X34" s="538" t="e">
        <f>IF(INPUTS!$B$15="yes",W34,V34)</f>
        <v>#DIV/0!</v>
      </c>
      <c r="Y34" s="536" t="e">
        <f t="shared" si="6"/>
        <v>#DIV/0!</v>
      </c>
      <c r="Z34" s="537" t="e">
        <f t="shared" si="12"/>
        <v>#DIV/0!</v>
      </c>
      <c r="AA34" s="538" t="e">
        <f>IF(INPUTS!$B$15="yes",Z34,Y34)</f>
        <v>#DIV/0!</v>
      </c>
      <c r="AB34" s="536" t="e">
        <f t="shared" si="7"/>
        <v>#DIV/0!</v>
      </c>
      <c r="AC34" s="537" t="e">
        <f t="shared" si="13"/>
        <v>#DIV/0!</v>
      </c>
      <c r="AD34" s="538" t="e">
        <f>IF(INPUTS!$B$15="yes",AC34,AB34)</f>
        <v>#DIV/0!</v>
      </c>
      <c r="AE34" s="36" t="str">
        <f t="shared" si="0"/>
        <v>no</v>
      </c>
      <c r="AF34" s="36"/>
      <c r="AG34" s="389" t="e">
        <f>P34*('upper bound Kenaga'!$F$36/100)</f>
        <v>#DIV/0!</v>
      </c>
      <c r="AH34" s="36"/>
      <c r="AI34" s="389" t="e">
        <f>P34*('upper bound Kenaga'!$F$96/100)</f>
        <v>#DIV/0!</v>
      </c>
      <c r="AJ34" s="36"/>
      <c r="AK34" s="36"/>
      <c r="AL34" s="36"/>
      <c r="AM34" s="36"/>
      <c r="AN34" s="36"/>
      <c r="AO34" s="36"/>
    </row>
    <row r="35" spans="1:41" ht="13.5" customHeight="1">
      <c r="A35" s="617"/>
      <c r="B35" s="317" t="s">
        <v>34</v>
      </c>
      <c r="C35" s="318" t="s">
        <v>118</v>
      </c>
      <c r="D35" s="318" t="s">
        <v>213</v>
      </c>
      <c r="E35" s="318" t="s">
        <v>208</v>
      </c>
      <c r="F35" s="318" t="s">
        <v>38</v>
      </c>
      <c r="G35" s="319" t="s">
        <v>211</v>
      </c>
      <c r="H35" s="617"/>
      <c r="J35" s="6">
        <f>COUNTIF(K$21:K35,"=yes")</f>
        <v>1</v>
      </c>
      <c r="K35" s="533" t="str">
        <f>IF(LOOKUP(VALUE(M35),INPUTS!$G$6:$G$35)=M35,"yes","no")</f>
        <v>no</v>
      </c>
      <c r="L35" s="533">
        <f>IF(K35="yes",(LOOKUP(J35,INPUTS!$E$6:$E$35,INPUTS!$F$6:$F$35)),0)</f>
        <v>0</v>
      </c>
      <c r="M35" s="135">
        <f t="shared" si="1"/>
        <v>14</v>
      </c>
      <c r="N35" s="135">
        <f t="shared" si="2"/>
        <v>1</v>
      </c>
      <c r="O35" s="135">
        <f t="shared" si="3"/>
        <v>0</v>
      </c>
      <c r="P35" s="536" t="e">
        <f t="shared" si="14"/>
        <v>#DIV/0!</v>
      </c>
      <c r="Q35" s="537" t="e">
        <f t="shared" si="9"/>
        <v>#DIV/0!</v>
      </c>
      <c r="R35" s="538" t="e">
        <f>IF(INPUTS!$B$15="yes",Q35,P35)</f>
        <v>#DIV/0!</v>
      </c>
      <c r="S35" s="536" t="e">
        <f t="shared" si="4"/>
        <v>#DIV/0!</v>
      </c>
      <c r="T35" s="537" t="e">
        <f t="shared" si="10"/>
        <v>#DIV/0!</v>
      </c>
      <c r="U35" s="538" t="e">
        <f>IF(INPUTS!$B$15="yes",T35,S35)</f>
        <v>#DIV/0!</v>
      </c>
      <c r="V35" s="536" t="e">
        <f t="shared" si="5"/>
        <v>#DIV/0!</v>
      </c>
      <c r="W35" s="537" t="e">
        <f t="shared" si="11"/>
        <v>#DIV/0!</v>
      </c>
      <c r="X35" s="538" t="e">
        <f>IF(INPUTS!$B$15="yes",W35,V35)</f>
        <v>#DIV/0!</v>
      </c>
      <c r="Y35" s="536" t="e">
        <f t="shared" si="6"/>
        <v>#DIV/0!</v>
      </c>
      <c r="Z35" s="537" t="e">
        <f t="shared" si="12"/>
        <v>#DIV/0!</v>
      </c>
      <c r="AA35" s="538" t="e">
        <f>IF(INPUTS!$B$15="yes",Z35,Y35)</f>
        <v>#DIV/0!</v>
      </c>
      <c r="AB35" s="536" t="e">
        <f t="shared" si="7"/>
        <v>#DIV/0!</v>
      </c>
      <c r="AC35" s="537" t="e">
        <f t="shared" si="13"/>
        <v>#DIV/0!</v>
      </c>
      <c r="AD35" s="538" t="e">
        <f>IF(INPUTS!$B$15="yes",AC35,AB35)</f>
        <v>#DIV/0!</v>
      </c>
      <c r="AE35" s="36" t="str">
        <f t="shared" si="0"/>
        <v>no</v>
      </c>
      <c r="AF35" s="36"/>
      <c r="AG35" s="389" t="e">
        <f>P35*('upper bound Kenaga'!$F$36/100)</f>
        <v>#DIV/0!</v>
      </c>
      <c r="AH35" s="36"/>
      <c r="AI35" s="389" t="e">
        <f>P35*('upper bound Kenaga'!$F$96/100)</f>
        <v>#DIV/0!</v>
      </c>
      <c r="AJ35" s="36"/>
      <c r="AK35" s="36"/>
      <c r="AL35" s="36"/>
      <c r="AM35" s="36"/>
      <c r="AN35" s="36"/>
      <c r="AO35" s="36"/>
    </row>
    <row r="36" spans="1:41" ht="16.5" customHeight="1">
      <c r="A36" s="617"/>
      <c r="B36" s="299" t="s">
        <v>51</v>
      </c>
      <c r="C36" s="301">
        <f>INPUTS!B19</f>
        <v>20</v>
      </c>
      <c r="D36" s="300">
        <f t="shared" ref="D36:D41" si="15">(0.648*C36^0.651)</f>
        <v>4.5555994626019887</v>
      </c>
      <c r="E36" s="300">
        <f>D36/0.2</f>
        <v>22.777997313009941</v>
      </c>
      <c r="F36" s="301">
        <f t="shared" ref="F36:F41" si="16">(E36/C36)*100</f>
        <v>113.8899865650497</v>
      </c>
      <c r="G36" s="302">
        <f t="shared" ref="G36:G41" si="17">E36/1000</f>
        <v>2.2777997313009942E-2</v>
      </c>
      <c r="H36" s="617"/>
      <c r="J36" s="6">
        <f>COUNTIF(K$21:K36,"=yes")</f>
        <v>1</v>
      </c>
      <c r="K36" s="533" t="str">
        <f>IF(LOOKUP(VALUE(M36),INPUTS!$G$6:$G$35)=M36,"yes","no")</f>
        <v>no</v>
      </c>
      <c r="L36" s="533">
        <f>IF(K36="yes",(LOOKUP(J36,INPUTS!$E$6:$E$35,INPUTS!$F$6:$F$35)),0)</f>
        <v>0</v>
      </c>
      <c r="M36" s="135">
        <f t="shared" si="1"/>
        <v>15</v>
      </c>
      <c r="N36" s="135">
        <f t="shared" si="2"/>
        <v>1</v>
      </c>
      <c r="O36" s="135">
        <f t="shared" si="3"/>
        <v>0</v>
      </c>
      <c r="P36" s="536" t="e">
        <f t="shared" si="14"/>
        <v>#DIV/0!</v>
      </c>
      <c r="Q36" s="537" t="e">
        <f t="shared" si="9"/>
        <v>#DIV/0!</v>
      </c>
      <c r="R36" s="538" t="e">
        <f>IF(INPUTS!$B$15="yes",Q36,P36)</f>
        <v>#DIV/0!</v>
      </c>
      <c r="S36" s="536" t="e">
        <f t="shared" si="4"/>
        <v>#DIV/0!</v>
      </c>
      <c r="T36" s="537" t="e">
        <f t="shared" si="10"/>
        <v>#DIV/0!</v>
      </c>
      <c r="U36" s="538" t="e">
        <f>IF(INPUTS!$B$15="yes",T36,S36)</f>
        <v>#DIV/0!</v>
      </c>
      <c r="V36" s="536" t="e">
        <f t="shared" si="5"/>
        <v>#DIV/0!</v>
      </c>
      <c r="W36" s="537" t="e">
        <f t="shared" si="11"/>
        <v>#DIV/0!</v>
      </c>
      <c r="X36" s="538" t="e">
        <f>IF(INPUTS!$B$15="yes",W36,V36)</f>
        <v>#DIV/0!</v>
      </c>
      <c r="Y36" s="536" t="e">
        <f t="shared" si="6"/>
        <v>#DIV/0!</v>
      </c>
      <c r="Z36" s="537" t="e">
        <f t="shared" si="12"/>
        <v>#DIV/0!</v>
      </c>
      <c r="AA36" s="538" t="e">
        <f>IF(INPUTS!$B$15="yes",Z36,Y36)</f>
        <v>#DIV/0!</v>
      </c>
      <c r="AB36" s="536" t="e">
        <f t="shared" si="7"/>
        <v>#DIV/0!</v>
      </c>
      <c r="AC36" s="537" t="e">
        <f t="shared" si="13"/>
        <v>#DIV/0!</v>
      </c>
      <c r="AD36" s="538" t="e">
        <f>IF(INPUTS!$B$15="yes",AC36,AB36)</f>
        <v>#DIV/0!</v>
      </c>
      <c r="AE36" s="36" t="str">
        <f t="shared" si="0"/>
        <v>no</v>
      </c>
      <c r="AF36" s="36"/>
      <c r="AG36" s="389" t="e">
        <f>P36*('upper bound Kenaga'!$F$36/100)</f>
        <v>#DIV/0!</v>
      </c>
      <c r="AH36" s="36"/>
      <c r="AI36" s="389" t="e">
        <f>P36*('upper bound Kenaga'!$F$96/100)</f>
        <v>#DIV/0!</v>
      </c>
      <c r="AJ36" s="36"/>
      <c r="AK36" s="36"/>
      <c r="AL36" s="36"/>
      <c r="AM36" s="36"/>
      <c r="AN36" s="36"/>
      <c r="AO36" s="36"/>
    </row>
    <row r="37" spans="1:41" ht="16.5" customHeight="1">
      <c r="A37" s="617"/>
      <c r="B37" s="303" t="s">
        <v>52</v>
      </c>
      <c r="C37" s="301">
        <f>INPUTS!B20</f>
        <v>100</v>
      </c>
      <c r="D37" s="300">
        <f t="shared" si="15"/>
        <v>12.988978737326251</v>
      </c>
      <c r="E37" s="300">
        <f>D37/0.2</f>
        <v>64.944893686631247</v>
      </c>
      <c r="F37" s="301">
        <f t="shared" si="16"/>
        <v>64.944893686631247</v>
      </c>
      <c r="G37" s="302">
        <f t="shared" si="17"/>
        <v>6.4944893686631242E-2</v>
      </c>
      <c r="H37" s="617"/>
      <c r="J37" s="6">
        <f>COUNTIF(K$21:K37,"=yes")</f>
        <v>1</v>
      </c>
      <c r="K37" s="533" t="str">
        <f>IF(LOOKUP(VALUE(M37),INPUTS!$G$6:$G$35)=M37,"yes","no")</f>
        <v>no</v>
      </c>
      <c r="L37" s="533">
        <f>IF(K37="yes",(LOOKUP(J37,INPUTS!$E$6:$E$35,INPUTS!$F$6:$F$35)),0)</f>
        <v>0</v>
      </c>
      <c r="M37" s="135">
        <f t="shared" si="1"/>
        <v>16</v>
      </c>
      <c r="N37" s="135">
        <f t="shared" si="2"/>
        <v>1</v>
      </c>
      <c r="O37" s="135">
        <f t="shared" si="3"/>
        <v>0</v>
      </c>
      <c r="P37" s="536" t="e">
        <f t="shared" si="14"/>
        <v>#DIV/0!</v>
      </c>
      <c r="Q37" s="537" t="e">
        <f t="shared" si="9"/>
        <v>#DIV/0!</v>
      </c>
      <c r="R37" s="538" t="e">
        <f>IF(INPUTS!$B$15="yes",Q37,P37)</f>
        <v>#DIV/0!</v>
      </c>
      <c r="S37" s="536" t="e">
        <f t="shared" si="4"/>
        <v>#DIV/0!</v>
      </c>
      <c r="T37" s="537" t="e">
        <f t="shared" si="10"/>
        <v>#DIV/0!</v>
      </c>
      <c r="U37" s="538" t="e">
        <f>IF(INPUTS!$B$15="yes",T37,S37)</f>
        <v>#DIV/0!</v>
      </c>
      <c r="V37" s="536" t="e">
        <f t="shared" si="5"/>
        <v>#DIV/0!</v>
      </c>
      <c r="W37" s="537" t="e">
        <f t="shared" si="11"/>
        <v>#DIV/0!</v>
      </c>
      <c r="X37" s="538" t="e">
        <f>IF(INPUTS!$B$15="yes",W37,V37)</f>
        <v>#DIV/0!</v>
      </c>
      <c r="Y37" s="536" t="e">
        <f t="shared" si="6"/>
        <v>#DIV/0!</v>
      </c>
      <c r="Z37" s="537" t="e">
        <f t="shared" si="12"/>
        <v>#DIV/0!</v>
      </c>
      <c r="AA37" s="538" t="e">
        <f>IF(INPUTS!$B$15="yes",Z37,Y37)</f>
        <v>#DIV/0!</v>
      </c>
      <c r="AB37" s="536" t="e">
        <f t="shared" si="7"/>
        <v>#DIV/0!</v>
      </c>
      <c r="AC37" s="537" t="e">
        <f t="shared" si="13"/>
        <v>#DIV/0!</v>
      </c>
      <c r="AD37" s="538" t="e">
        <f>IF(INPUTS!$B$15="yes",AC37,AB37)</f>
        <v>#DIV/0!</v>
      </c>
      <c r="AE37" s="36" t="str">
        <f t="shared" si="0"/>
        <v>no</v>
      </c>
      <c r="AF37" s="36"/>
      <c r="AG37" s="389" t="e">
        <f>P37*('upper bound Kenaga'!$F$36/100)</f>
        <v>#DIV/0!</v>
      </c>
      <c r="AH37" s="36"/>
      <c r="AI37" s="389" t="e">
        <f>P37*('upper bound Kenaga'!$F$96/100)</f>
        <v>#DIV/0!</v>
      </c>
      <c r="AJ37" s="36"/>
      <c r="AK37" s="36"/>
      <c r="AL37" s="36"/>
      <c r="AM37" s="36"/>
      <c r="AN37" s="36"/>
      <c r="AO37" s="36"/>
    </row>
    <row r="38" spans="1:41" ht="16.5" customHeight="1" thickBot="1">
      <c r="A38" s="617"/>
      <c r="B38" s="304" t="s">
        <v>53</v>
      </c>
      <c r="C38" s="305">
        <f>INPUTS!B21</f>
        <v>1000</v>
      </c>
      <c r="D38" s="306">
        <f t="shared" si="15"/>
        <v>58.153385883648525</v>
      </c>
      <c r="E38" s="306">
        <f>D38/0.2</f>
        <v>290.76692941824263</v>
      </c>
      <c r="F38" s="307">
        <f t="shared" si="16"/>
        <v>29.076692941824263</v>
      </c>
      <c r="G38" s="308">
        <f t="shared" si="17"/>
        <v>0.29076692941824261</v>
      </c>
      <c r="H38" s="629"/>
      <c r="I38" s="25"/>
      <c r="J38" s="6">
        <f>COUNTIF(K$21:K38,"=yes")</f>
        <v>1</v>
      </c>
      <c r="K38" s="533" t="str">
        <f>IF(LOOKUP(VALUE(M38),INPUTS!$G$6:$G$35)=M38,"yes","no")</f>
        <v>no</v>
      </c>
      <c r="L38" s="533">
        <f>IF(K38="yes",(LOOKUP(J38,INPUTS!$E$6:$E$35,INPUTS!$F$6:$F$35)),0)</f>
        <v>0</v>
      </c>
      <c r="M38" s="135">
        <f t="shared" si="1"/>
        <v>17</v>
      </c>
      <c r="N38" s="135">
        <f t="shared" si="2"/>
        <v>1</v>
      </c>
      <c r="O38" s="135">
        <f t="shared" si="3"/>
        <v>0</v>
      </c>
      <c r="P38" s="536" t="e">
        <f t="shared" si="14"/>
        <v>#DIV/0!</v>
      </c>
      <c r="Q38" s="537" t="e">
        <f t="shared" si="9"/>
        <v>#DIV/0!</v>
      </c>
      <c r="R38" s="538" t="e">
        <f>IF(INPUTS!$B$15="yes",Q38,P38)</f>
        <v>#DIV/0!</v>
      </c>
      <c r="S38" s="536" t="e">
        <f t="shared" si="4"/>
        <v>#DIV/0!</v>
      </c>
      <c r="T38" s="537" t="e">
        <f t="shared" si="10"/>
        <v>#DIV/0!</v>
      </c>
      <c r="U38" s="538" t="e">
        <f>IF(INPUTS!$B$15="yes",T38,S38)</f>
        <v>#DIV/0!</v>
      </c>
      <c r="V38" s="536" t="e">
        <f t="shared" si="5"/>
        <v>#DIV/0!</v>
      </c>
      <c r="W38" s="537" t="e">
        <f t="shared" si="11"/>
        <v>#DIV/0!</v>
      </c>
      <c r="X38" s="538" t="e">
        <f>IF(INPUTS!$B$15="yes",W38,V38)</f>
        <v>#DIV/0!</v>
      </c>
      <c r="Y38" s="536" t="e">
        <f t="shared" si="6"/>
        <v>#DIV/0!</v>
      </c>
      <c r="Z38" s="537" t="e">
        <f t="shared" si="12"/>
        <v>#DIV/0!</v>
      </c>
      <c r="AA38" s="538" t="e">
        <f>IF(INPUTS!$B$15="yes",Z38,Y38)</f>
        <v>#DIV/0!</v>
      </c>
      <c r="AB38" s="536" t="e">
        <f t="shared" si="7"/>
        <v>#DIV/0!</v>
      </c>
      <c r="AC38" s="537" t="e">
        <f t="shared" si="13"/>
        <v>#DIV/0!</v>
      </c>
      <c r="AD38" s="538" t="e">
        <f>IF(INPUTS!$B$15="yes",AC38,AB38)</f>
        <v>#DIV/0!</v>
      </c>
      <c r="AE38" s="36" t="str">
        <f t="shared" si="0"/>
        <v>no</v>
      </c>
      <c r="AF38" s="36"/>
      <c r="AG38" s="389" t="e">
        <f>P38*('upper bound Kenaga'!$F$36/100)</f>
        <v>#DIV/0!</v>
      </c>
      <c r="AH38" s="36"/>
      <c r="AI38" s="389" t="e">
        <f>P38*('upper bound Kenaga'!$F$96/100)</f>
        <v>#DIV/0!</v>
      </c>
      <c r="AJ38" s="36"/>
      <c r="AK38" s="36"/>
      <c r="AL38" s="36"/>
      <c r="AM38" s="36"/>
      <c r="AN38" s="36"/>
      <c r="AO38" s="36"/>
    </row>
    <row r="39" spans="1:41">
      <c r="A39" s="617"/>
      <c r="B39" s="328"/>
      <c r="C39" s="450">
        <f>C36</f>
        <v>20</v>
      </c>
      <c r="D39" s="300">
        <f t="shared" si="15"/>
        <v>4.5555994626019887</v>
      </c>
      <c r="E39" s="330">
        <f>D39/0.9</f>
        <v>5.0617771806688765</v>
      </c>
      <c r="F39" s="300">
        <f t="shared" si="16"/>
        <v>25.308885903344379</v>
      </c>
      <c r="G39" s="331">
        <f t="shared" si="17"/>
        <v>5.0617771806688765E-3</v>
      </c>
      <c r="H39" s="617"/>
      <c r="J39" s="6">
        <f>COUNTIF(K$21:K39,"=yes")</f>
        <v>1</v>
      </c>
      <c r="K39" s="533" t="str">
        <f>IF(LOOKUP(VALUE(M39),INPUTS!$G$6:$G$35)=M39,"yes","no")</f>
        <v>no</v>
      </c>
      <c r="L39" s="533">
        <f>IF(K39="yes",(LOOKUP(J39,INPUTS!$E$6:$E$35,INPUTS!$F$6:$F$35)),0)</f>
        <v>0</v>
      </c>
      <c r="M39" s="135">
        <f t="shared" si="1"/>
        <v>18</v>
      </c>
      <c r="N39" s="135">
        <f t="shared" si="2"/>
        <v>1</v>
      </c>
      <c r="O39" s="135">
        <f t="shared" si="3"/>
        <v>0</v>
      </c>
      <c r="P39" s="536" t="e">
        <f t="shared" si="14"/>
        <v>#DIV/0!</v>
      </c>
      <c r="Q39" s="537" t="e">
        <f t="shared" si="9"/>
        <v>#DIV/0!</v>
      </c>
      <c r="R39" s="538" t="e">
        <f>IF(INPUTS!$B$15="yes",Q39,P39)</f>
        <v>#DIV/0!</v>
      </c>
      <c r="S39" s="536" t="e">
        <f t="shared" si="4"/>
        <v>#DIV/0!</v>
      </c>
      <c r="T39" s="537" t="e">
        <f t="shared" si="10"/>
        <v>#DIV/0!</v>
      </c>
      <c r="U39" s="538" t="e">
        <f>IF(INPUTS!$B$15="yes",T39,S39)</f>
        <v>#DIV/0!</v>
      </c>
      <c r="V39" s="536" t="e">
        <f t="shared" si="5"/>
        <v>#DIV/0!</v>
      </c>
      <c r="W39" s="537" t="e">
        <f t="shared" si="11"/>
        <v>#DIV/0!</v>
      </c>
      <c r="X39" s="538" t="e">
        <f>IF(INPUTS!$B$15="yes",W39,V39)</f>
        <v>#DIV/0!</v>
      </c>
      <c r="Y39" s="536" t="e">
        <f t="shared" si="6"/>
        <v>#DIV/0!</v>
      </c>
      <c r="Z39" s="537" t="e">
        <f t="shared" si="12"/>
        <v>#DIV/0!</v>
      </c>
      <c r="AA39" s="538" t="e">
        <f>IF(INPUTS!$B$15="yes",Z39,Y39)</f>
        <v>#DIV/0!</v>
      </c>
      <c r="AB39" s="536" t="e">
        <f t="shared" si="7"/>
        <v>#DIV/0!</v>
      </c>
      <c r="AC39" s="537" t="e">
        <f t="shared" si="13"/>
        <v>#DIV/0!</v>
      </c>
      <c r="AD39" s="538" t="e">
        <f>IF(INPUTS!$B$15="yes",AC39,AB39)</f>
        <v>#DIV/0!</v>
      </c>
      <c r="AE39" s="36" t="str">
        <f t="shared" si="0"/>
        <v>no</v>
      </c>
      <c r="AF39" s="36"/>
      <c r="AG39" s="389" t="e">
        <f>P39*('upper bound Kenaga'!$F$36/100)</f>
        <v>#DIV/0!</v>
      </c>
      <c r="AH39" s="36"/>
      <c r="AI39" s="389" t="e">
        <f>P39*('upper bound Kenaga'!$F$96/100)</f>
        <v>#DIV/0!</v>
      </c>
      <c r="AJ39" s="36"/>
      <c r="AK39" s="36"/>
      <c r="AL39" s="36"/>
      <c r="AM39" s="36"/>
      <c r="AN39" s="36"/>
      <c r="AO39" s="36"/>
    </row>
    <row r="40" spans="1:41">
      <c r="A40" s="617"/>
      <c r="B40" s="525" t="s">
        <v>40</v>
      </c>
      <c r="C40" s="450">
        <f>C37</f>
        <v>100</v>
      </c>
      <c r="D40" s="300">
        <f t="shared" si="15"/>
        <v>12.988978737326251</v>
      </c>
      <c r="E40" s="330">
        <f>D40/0.9</f>
        <v>14.432198597029167</v>
      </c>
      <c r="F40" s="300">
        <f t="shared" si="16"/>
        <v>14.432198597029167</v>
      </c>
      <c r="G40" s="331">
        <f t="shared" si="17"/>
        <v>1.4432198597029168E-2</v>
      </c>
      <c r="H40" s="617"/>
      <c r="J40" s="6">
        <f>COUNTIF(K$21:K40,"=yes")</f>
        <v>1</v>
      </c>
      <c r="K40" s="533" t="str">
        <f>IF(LOOKUP(VALUE(M40),INPUTS!$G$6:$G$35)=M40,"yes","no")</f>
        <v>no</v>
      </c>
      <c r="L40" s="533">
        <f>IF(K40="yes",(LOOKUP(J40,INPUTS!$E$6:$E$35,INPUTS!$F$6:$F$35)),0)</f>
        <v>0</v>
      </c>
      <c r="M40" s="135">
        <f t="shared" si="1"/>
        <v>19</v>
      </c>
      <c r="N40" s="135">
        <f t="shared" si="2"/>
        <v>1</v>
      </c>
      <c r="O40" s="135">
        <f t="shared" si="3"/>
        <v>0</v>
      </c>
      <c r="P40" s="536" t="e">
        <f t="shared" si="14"/>
        <v>#DIV/0!</v>
      </c>
      <c r="Q40" s="537" t="e">
        <f t="shared" si="9"/>
        <v>#DIV/0!</v>
      </c>
      <c r="R40" s="538" t="e">
        <f>IF(INPUTS!$B$15="yes",Q40,P40)</f>
        <v>#DIV/0!</v>
      </c>
      <c r="S40" s="536" t="e">
        <f t="shared" si="4"/>
        <v>#DIV/0!</v>
      </c>
      <c r="T40" s="537" t="e">
        <f t="shared" si="10"/>
        <v>#DIV/0!</v>
      </c>
      <c r="U40" s="538" t="e">
        <f>IF(INPUTS!$B$15="yes",T40,S40)</f>
        <v>#DIV/0!</v>
      </c>
      <c r="V40" s="536" t="e">
        <f t="shared" si="5"/>
        <v>#DIV/0!</v>
      </c>
      <c r="W40" s="537" t="e">
        <f t="shared" si="11"/>
        <v>#DIV/0!</v>
      </c>
      <c r="X40" s="538" t="e">
        <f>IF(INPUTS!$B$15="yes",W40,V40)</f>
        <v>#DIV/0!</v>
      </c>
      <c r="Y40" s="536" t="e">
        <f t="shared" si="6"/>
        <v>#DIV/0!</v>
      </c>
      <c r="Z40" s="537" t="e">
        <f t="shared" si="12"/>
        <v>#DIV/0!</v>
      </c>
      <c r="AA40" s="538" t="e">
        <f>IF(INPUTS!$B$15="yes",Z40,Y40)</f>
        <v>#DIV/0!</v>
      </c>
      <c r="AB40" s="536" t="e">
        <f t="shared" si="7"/>
        <v>#DIV/0!</v>
      </c>
      <c r="AC40" s="537" t="e">
        <f t="shared" si="13"/>
        <v>#DIV/0!</v>
      </c>
      <c r="AD40" s="538" t="e">
        <f>IF(INPUTS!$B$15="yes",AC40,AB40)</f>
        <v>#DIV/0!</v>
      </c>
      <c r="AE40" s="36" t="str">
        <f t="shared" si="0"/>
        <v>no</v>
      </c>
      <c r="AF40" s="36"/>
      <c r="AG40" s="389" t="e">
        <f>P40*('upper bound Kenaga'!$F$36/100)</f>
        <v>#DIV/0!</v>
      </c>
      <c r="AH40" s="36"/>
      <c r="AI40" s="389" t="e">
        <f>P40*('upper bound Kenaga'!$F$96/100)</f>
        <v>#DIV/0!</v>
      </c>
      <c r="AJ40" s="36"/>
      <c r="AK40" s="36"/>
      <c r="AL40" s="36"/>
      <c r="AM40" s="36"/>
      <c r="AN40" s="36"/>
      <c r="AO40" s="36"/>
    </row>
    <row r="41" spans="1:41" ht="13.5" thickBot="1">
      <c r="A41" s="617"/>
      <c r="B41" s="336"/>
      <c r="C41" s="337">
        <f>C38</f>
        <v>1000</v>
      </c>
      <c r="D41" s="306">
        <f t="shared" si="15"/>
        <v>58.153385883648525</v>
      </c>
      <c r="E41" s="338">
        <f>D41/0.9</f>
        <v>64.614873204053922</v>
      </c>
      <c r="F41" s="306">
        <f t="shared" si="16"/>
        <v>6.461487320405392</v>
      </c>
      <c r="G41" s="339">
        <f t="shared" si="17"/>
        <v>6.4614873204053916E-2</v>
      </c>
      <c r="H41" s="617"/>
      <c r="J41" s="6">
        <f>COUNTIF(K$21:K41,"=yes")</f>
        <v>1</v>
      </c>
      <c r="K41" s="533" t="str">
        <f>IF(LOOKUP(VALUE(M41),INPUTS!$G$6:$G$35)=M41,"yes","no")</f>
        <v>no</v>
      </c>
      <c r="L41" s="533">
        <f>IF(K41="yes",(LOOKUP(J41,INPUTS!$E$6:$E$35,INPUTS!$F$6:$F$35)),0)</f>
        <v>0</v>
      </c>
      <c r="M41" s="135">
        <f t="shared" si="1"/>
        <v>20</v>
      </c>
      <c r="N41" s="135">
        <f t="shared" si="2"/>
        <v>1</v>
      </c>
      <c r="O41" s="135">
        <f t="shared" si="3"/>
        <v>0</v>
      </c>
      <c r="P41" s="536" t="e">
        <f t="shared" si="14"/>
        <v>#DIV/0!</v>
      </c>
      <c r="Q41" s="537" t="e">
        <f t="shared" si="9"/>
        <v>#DIV/0!</v>
      </c>
      <c r="R41" s="538" t="e">
        <f>IF(INPUTS!$B$15="yes",Q41,P41)</f>
        <v>#DIV/0!</v>
      </c>
      <c r="S41" s="536" t="e">
        <f t="shared" si="4"/>
        <v>#DIV/0!</v>
      </c>
      <c r="T41" s="537" t="e">
        <f t="shared" si="10"/>
        <v>#DIV/0!</v>
      </c>
      <c r="U41" s="538" t="e">
        <f>IF(INPUTS!$B$15="yes",T41,S41)</f>
        <v>#DIV/0!</v>
      </c>
      <c r="V41" s="536" t="e">
        <f t="shared" si="5"/>
        <v>#DIV/0!</v>
      </c>
      <c r="W41" s="537" t="e">
        <f t="shared" si="11"/>
        <v>#DIV/0!</v>
      </c>
      <c r="X41" s="538" t="e">
        <f>IF(INPUTS!$B$15="yes",W41,V41)</f>
        <v>#DIV/0!</v>
      </c>
      <c r="Y41" s="536" t="e">
        <f t="shared" si="6"/>
        <v>#DIV/0!</v>
      </c>
      <c r="Z41" s="537" t="e">
        <f t="shared" si="12"/>
        <v>#DIV/0!</v>
      </c>
      <c r="AA41" s="538" t="e">
        <f>IF(INPUTS!$B$15="yes",Z41,Y41)</f>
        <v>#DIV/0!</v>
      </c>
      <c r="AB41" s="536" t="e">
        <f t="shared" si="7"/>
        <v>#DIV/0!</v>
      </c>
      <c r="AC41" s="537" t="e">
        <f t="shared" si="13"/>
        <v>#DIV/0!</v>
      </c>
      <c r="AD41" s="538" t="e">
        <f>IF(INPUTS!$B$15="yes",AC41,AB41)</f>
        <v>#DIV/0!</v>
      </c>
      <c r="AE41" s="36" t="str">
        <f t="shared" si="0"/>
        <v>no</v>
      </c>
      <c r="AF41" s="36"/>
      <c r="AG41" s="389" t="e">
        <f>P41*('upper bound Kenaga'!$F$36/100)</f>
        <v>#DIV/0!</v>
      </c>
      <c r="AH41" s="36"/>
      <c r="AI41" s="389" t="e">
        <f>P41*('upper bound Kenaga'!$F$96/100)</f>
        <v>#DIV/0!</v>
      </c>
      <c r="AJ41" s="36"/>
      <c r="AK41" s="36"/>
      <c r="AL41" s="36"/>
      <c r="AM41" s="36"/>
      <c r="AN41" s="36"/>
      <c r="AO41" s="36"/>
    </row>
    <row r="42" spans="1:41" ht="16.5" customHeight="1">
      <c r="A42" s="617"/>
      <c r="B42" s="448"/>
      <c r="C42" s="448"/>
      <c r="D42" s="353"/>
      <c r="E42" s="353"/>
      <c r="F42" s="398"/>
      <c r="G42" s="449"/>
      <c r="H42" s="629"/>
      <c r="I42" s="25"/>
      <c r="J42" s="6">
        <f>COUNTIF(K$21:K42,"=yes")</f>
        <v>1</v>
      </c>
      <c r="K42" s="533" t="str">
        <f>IF(LOOKUP(VALUE(M42),INPUTS!$G$6:$G$35)=M42,"yes","no")</f>
        <v>no</v>
      </c>
      <c r="L42" s="533">
        <f>IF(K42="yes",(LOOKUP(J42,INPUTS!$E$6:$E$35,INPUTS!$F$6:$F$35)),0)</f>
        <v>0</v>
      </c>
      <c r="M42" s="135">
        <f t="shared" si="1"/>
        <v>21</v>
      </c>
      <c r="N42" s="135">
        <f t="shared" si="2"/>
        <v>1</v>
      </c>
      <c r="O42" s="135">
        <f t="shared" si="3"/>
        <v>0</v>
      </c>
      <c r="P42" s="536" t="e">
        <f t="shared" si="14"/>
        <v>#DIV/0!</v>
      </c>
      <c r="Q42" s="537" t="e">
        <f t="shared" si="9"/>
        <v>#DIV/0!</v>
      </c>
      <c r="R42" s="538" t="e">
        <f>IF(INPUTS!$B$15="yes",Q42,P42)</f>
        <v>#DIV/0!</v>
      </c>
      <c r="S42" s="536" t="e">
        <f t="shared" si="4"/>
        <v>#DIV/0!</v>
      </c>
      <c r="T42" s="537" t="e">
        <f t="shared" si="10"/>
        <v>#DIV/0!</v>
      </c>
      <c r="U42" s="538" t="e">
        <f>IF(INPUTS!$B$15="yes",T42,S42)</f>
        <v>#DIV/0!</v>
      </c>
      <c r="V42" s="536" t="e">
        <f t="shared" si="5"/>
        <v>#DIV/0!</v>
      </c>
      <c r="W42" s="537" t="e">
        <f t="shared" si="11"/>
        <v>#DIV/0!</v>
      </c>
      <c r="X42" s="538" t="e">
        <f>IF(INPUTS!$B$15="yes",W42,V42)</f>
        <v>#DIV/0!</v>
      </c>
      <c r="Y42" s="536" t="e">
        <f t="shared" si="6"/>
        <v>#DIV/0!</v>
      </c>
      <c r="Z42" s="537" t="e">
        <f t="shared" si="12"/>
        <v>#DIV/0!</v>
      </c>
      <c r="AA42" s="538" t="e">
        <f>IF(INPUTS!$B$15="yes",Z42,Y42)</f>
        <v>#DIV/0!</v>
      </c>
      <c r="AB42" s="536" t="e">
        <f t="shared" si="7"/>
        <v>#DIV/0!</v>
      </c>
      <c r="AC42" s="537" t="e">
        <f t="shared" si="13"/>
        <v>#DIV/0!</v>
      </c>
      <c r="AD42" s="538" t="e">
        <f>IF(INPUTS!$B$15="yes",AC42,AB42)</f>
        <v>#DIV/0!</v>
      </c>
      <c r="AE42" s="36"/>
      <c r="AF42" s="36"/>
      <c r="AG42" s="389" t="e">
        <f>P42*('upper bound Kenaga'!$F$36/100)</f>
        <v>#DIV/0!</v>
      </c>
      <c r="AH42" s="36"/>
      <c r="AI42" s="389" t="e">
        <f>P42*('upper bound Kenaga'!$F$96/100)</f>
        <v>#DIV/0!</v>
      </c>
      <c r="AJ42" s="36"/>
      <c r="AK42" s="36"/>
      <c r="AL42" s="36"/>
      <c r="AM42" s="36"/>
      <c r="AN42" s="36"/>
      <c r="AO42" s="36"/>
    </row>
    <row r="43" spans="1:41" ht="24" thickBot="1">
      <c r="A43" s="617"/>
      <c r="B43" s="627" t="str">
        <f>IF(INPUTS!$D$45="","Warning! You Have Failed to Enter a Toxicity Scaling Factor on the Inputs Page","")</f>
        <v/>
      </c>
      <c r="C43" s="616"/>
      <c r="D43" s="622"/>
      <c r="E43" s="616"/>
      <c r="F43" s="628"/>
      <c r="G43" s="628"/>
      <c r="H43" s="629"/>
      <c r="I43" s="25"/>
      <c r="J43" s="6">
        <f>COUNTIF(K$21:K43,"=yes")</f>
        <v>1</v>
      </c>
      <c r="K43" s="533" t="str">
        <f>IF(LOOKUP(VALUE(M43),INPUTS!$G$6:$G$35)=M43,"yes","no")</f>
        <v>no</v>
      </c>
      <c r="L43" s="533">
        <f>IF(K43="yes",(LOOKUP(J43,INPUTS!$E$6:$E$35,INPUTS!$F$6:$F$35)),0)</f>
        <v>0</v>
      </c>
      <c r="M43" s="135">
        <f t="shared" si="1"/>
        <v>22</v>
      </c>
      <c r="N43" s="135">
        <f t="shared" si="2"/>
        <v>1</v>
      </c>
      <c r="O43" s="135">
        <f t="shared" si="3"/>
        <v>0</v>
      </c>
      <c r="P43" s="536" t="e">
        <f t="shared" si="14"/>
        <v>#DIV/0!</v>
      </c>
      <c r="Q43" s="537" t="e">
        <f t="shared" si="9"/>
        <v>#DIV/0!</v>
      </c>
      <c r="R43" s="538" t="e">
        <f>IF(INPUTS!$B$15="yes",Q43,P43)</f>
        <v>#DIV/0!</v>
      </c>
      <c r="S43" s="536" t="e">
        <f t="shared" si="4"/>
        <v>#DIV/0!</v>
      </c>
      <c r="T43" s="537" t="e">
        <f t="shared" si="10"/>
        <v>#DIV/0!</v>
      </c>
      <c r="U43" s="538" t="e">
        <f>IF(INPUTS!$B$15="yes",T43,S43)</f>
        <v>#DIV/0!</v>
      </c>
      <c r="V43" s="536" t="e">
        <f t="shared" si="5"/>
        <v>#DIV/0!</v>
      </c>
      <c r="W43" s="537" t="e">
        <f t="shared" si="11"/>
        <v>#DIV/0!</v>
      </c>
      <c r="X43" s="538" t="e">
        <f>IF(INPUTS!$B$15="yes",W43,V43)</f>
        <v>#DIV/0!</v>
      </c>
      <c r="Y43" s="536" t="e">
        <f t="shared" si="6"/>
        <v>#DIV/0!</v>
      </c>
      <c r="Z43" s="537" t="e">
        <f t="shared" si="12"/>
        <v>#DIV/0!</v>
      </c>
      <c r="AA43" s="538" t="e">
        <f>IF(INPUTS!$B$15="yes",Z43,Y43)</f>
        <v>#DIV/0!</v>
      </c>
      <c r="AB43" s="536" t="e">
        <f t="shared" si="7"/>
        <v>#DIV/0!</v>
      </c>
      <c r="AC43" s="537" t="e">
        <f t="shared" si="13"/>
        <v>#DIV/0!</v>
      </c>
      <c r="AD43" s="538" t="e">
        <f>IF(INPUTS!$B$15="yes",AC43,AB43)</f>
        <v>#DIV/0!</v>
      </c>
      <c r="AE43" s="36" t="str">
        <f t="shared" si="0"/>
        <v>no</v>
      </c>
      <c r="AF43" s="36"/>
      <c r="AG43" s="389" t="e">
        <f>P43*('upper bound Kenaga'!$F$36/100)</f>
        <v>#DIV/0!</v>
      </c>
      <c r="AH43" s="36"/>
      <c r="AI43" s="389" t="e">
        <f>P43*('upper bound Kenaga'!$F$96/100)</f>
        <v>#DIV/0!</v>
      </c>
      <c r="AJ43" s="36"/>
      <c r="AK43" s="36"/>
      <c r="AL43" s="36"/>
      <c r="AM43" s="36"/>
      <c r="AN43" s="36"/>
      <c r="AO43" s="36"/>
    </row>
    <row r="44" spans="1:41">
      <c r="A44" s="617"/>
      <c r="B44" s="314" t="s">
        <v>209</v>
      </c>
      <c r="C44" s="320" t="s">
        <v>139</v>
      </c>
      <c r="D44" s="630"/>
      <c r="E44" s="616"/>
      <c r="F44" s="616"/>
      <c r="G44" s="616"/>
      <c r="H44" s="617"/>
      <c r="I44" s="25"/>
      <c r="J44" s="6">
        <f>COUNTIF(K$21:K44,"=yes")</f>
        <v>1</v>
      </c>
      <c r="K44" s="533" t="str">
        <f>IF(LOOKUP(VALUE(M44),INPUTS!$G$6:$G$35)=M44,"yes","no")</f>
        <v>no</v>
      </c>
      <c r="L44" s="533">
        <f>IF(K44="yes",(LOOKUP(J44,INPUTS!$E$6:$E$35,INPUTS!$F$6:$F$35)),0)</f>
        <v>0</v>
      </c>
      <c r="M44" s="135">
        <f t="shared" si="1"/>
        <v>23</v>
      </c>
      <c r="N44" s="135">
        <f t="shared" si="2"/>
        <v>1</v>
      </c>
      <c r="O44" s="135">
        <f t="shared" si="3"/>
        <v>0</v>
      </c>
      <c r="P44" s="536" t="e">
        <f t="shared" si="14"/>
        <v>#DIV/0!</v>
      </c>
      <c r="Q44" s="537" t="e">
        <f t="shared" si="9"/>
        <v>#DIV/0!</v>
      </c>
      <c r="R44" s="538" t="e">
        <f>IF(INPUTS!$B$15="yes",Q44,P44)</f>
        <v>#DIV/0!</v>
      </c>
      <c r="S44" s="536" t="e">
        <f t="shared" si="4"/>
        <v>#DIV/0!</v>
      </c>
      <c r="T44" s="537" t="e">
        <f t="shared" si="10"/>
        <v>#DIV/0!</v>
      </c>
      <c r="U44" s="538" t="e">
        <f>IF(INPUTS!$B$15="yes",T44,S44)</f>
        <v>#DIV/0!</v>
      </c>
      <c r="V44" s="536" t="e">
        <f t="shared" si="5"/>
        <v>#DIV/0!</v>
      </c>
      <c r="W44" s="537" t="e">
        <f t="shared" si="11"/>
        <v>#DIV/0!</v>
      </c>
      <c r="X44" s="538" t="e">
        <f>IF(INPUTS!$B$15="yes",W44,V44)</f>
        <v>#DIV/0!</v>
      </c>
      <c r="Y44" s="536" t="e">
        <f t="shared" si="6"/>
        <v>#DIV/0!</v>
      </c>
      <c r="Z44" s="537" t="e">
        <f t="shared" si="12"/>
        <v>#DIV/0!</v>
      </c>
      <c r="AA44" s="538" t="e">
        <f>IF(INPUTS!$B$15="yes",Z44,Y44)</f>
        <v>#DIV/0!</v>
      </c>
      <c r="AB44" s="536" t="e">
        <f t="shared" si="7"/>
        <v>#DIV/0!</v>
      </c>
      <c r="AC44" s="537" t="e">
        <f t="shared" si="13"/>
        <v>#DIV/0!</v>
      </c>
      <c r="AD44" s="538" t="e">
        <f>IF(INPUTS!$B$15="yes",AC44,AB44)</f>
        <v>#DIV/0!</v>
      </c>
      <c r="AE44" s="36" t="str">
        <f t="shared" si="0"/>
        <v>no</v>
      </c>
      <c r="AF44" s="36"/>
      <c r="AG44" s="389" t="e">
        <f>P44*('upper bound Kenaga'!$F$36/100)</f>
        <v>#DIV/0!</v>
      </c>
      <c r="AH44" s="36"/>
      <c r="AI44" s="389" t="e">
        <f>P44*('upper bound Kenaga'!$F$96/100)</f>
        <v>#DIV/0!</v>
      </c>
      <c r="AJ44" s="36"/>
      <c r="AK44" s="36"/>
      <c r="AL44" s="36"/>
      <c r="AM44" s="36"/>
      <c r="AN44" s="36"/>
      <c r="AO44" s="36"/>
    </row>
    <row r="45" spans="1:41" ht="15">
      <c r="A45" s="617"/>
      <c r="B45" s="317" t="s">
        <v>118</v>
      </c>
      <c r="C45" s="321" t="s">
        <v>215</v>
      </c>
      <c r="D45" s="631"/>
      <c r="E45" s="632"/>
      <c r="F45" s="616"/>
      <c r="G45" s="616"/>
      <c r="H45" s="617"/>
      <c r="J45" s="6">
        <f>COUNTIF(K$21:K45,"=yes")</f>
        <v>1</v>
      </c>
      <c r="K45" s="533" t="str">
        <f>IF(LOOKUP(VALUE(M45),INPUTS!$G$6:$G$35)=M45,"yes","no")</f>
        <v>no</v>
      </c>
      <c r="L45" s="533">
        <f>IF(K45="yes",(LOOKUP(J45,INPUTS!$E$6:$E$35,INPUTS!$F$6:$F$35)),0)</f>
        <v>0</v>
      </c>
      <c r="M45" s="135">
        <f t="shared" si="1"/>
        <v>24</v>
      </c>
      <c r="N45" s="135">
        <f t="shared" si="2"/>
        <v>1</v>
      </c>
      <c r="O45" s="135">
        <f t="shared" si="3"/>
        <v>0</v>
      </c>
      <c r="P45" s="536" t="e">
        <f t="shared" si="14"/>
        <v>#DIV/0!</v>
      </c>
      <c r="Q45" s="537" t="e">
        <f t="shared" si="9"/>
        <v>#DIV/0!</v>
      </c>
      <c r="R45" s="538" t="e">
        <f>IF(INPUTS!$B$15="yes",Q45,P45)</f>
        <v>#DIV/0!</v>
      </c>
      <c r="S45" s="536" t="e">
        <f t="shared" si="4"/>
        <v>#DIV/0!</v>
      </c>
      <c r="T45" s="537" t="e">
        <f t="shared" si="10"/>
        <v>#DIV/0!</v>
      </c>
      <c r="U45" s="538" t="e">
        <f>IF(INPUTS!$B$15="yes",T45,S45)</f>
        <v>#DIV/0!</v>
      </c>
      <c r="V45" s="536" t="e">
        <f t="shared" si="5"/>
        <v>#DIV/0!</v>
      </c>
      <c r="W45" s="537" t="e">
        <f t="shared" si="11"/>
        <v>#DIV/0!</v>
      </c>
      <c r="X45" s="538" t="e">
        <f>IF(INPUTS!$B$15="yes",W45,V45)</f>
        <v>#DIV/0!</v>
      </c>
      <c r="Y45" s="536" t="e">
        <f t="shared" si="6"/>
        <v>#DIV/0!</v>
      </c>
      <c r="Z45" s="537" t="e">
        <f t="shared" si="12"/>
        <v>#DIV/0!</v>
      </c>
      <c r="AA45" s="538" t="e">
        <f>IF(INPUTS!$B$15="yes",Z45,Y45)</f>
        <v>#DIV/0!</v>
      </c>
      <c r="AB45" s="536" t="e">
        <f t="shared" si="7"/>
        <v>#DIV/0!</v>
      </c>
      <c r="AC45" s="537" t="e">
        <f t="shared" si="13"/>
        <v>#DIV/0!</v>
      </c>
      <c r="AD45" s="538" t="e">
        <f>IF(INPUTS!$B$15="yes",AC45,AB45)</f>
        <v>#DIV/0!</v>
      </c>
      <c r="AE45" s="36" t="str">
        <f t="shared" si="0"/>
        <v>no</v>
      </c>
      <c r="AF45" s="36"/>
      <c r="AG45" s="389" t="e">
        <f>P45*('upper bound Kenaga'!$F$36/100)</f>
        <v>#DIV/0!</v>
      </c>
      <c r="AH45" s="36"/>
      <c r="AI45" s="389" t="e">
        <f>P45*('upper bound Kenaga'!$F$96/100)</f>
        <v>#DIV/0!</v>
      </c>
      <c r="AJ45" s="36"/>
      <c r="AK45" s="36"/>
      <c r="AL45" s="36"/>
      <c r="AM45" s="36"/>
      <c r="AN45" s="36"/>
      <c r="AO45" s="36"/>
    </row>
    <row r="46" spans="1:41">
      <c r="A46" s="617"/>
      <c r="B46" s="370">
        <f>C36</f>
        <v>20</v>
      </c>
      <c r="C46" s="309">
        <f>+IF(INPUTS!$D$41=3,(($D$15)*((C36/INPUTS!$F$41)^(INPUTS!$D$45-1))),IF(INPUTS!$D$41=1,(($D$15)*((C36/178)^(INPUTS!$D$45-1))),(($D$15)*((C36/1580)^(INPUTS!$D$45-1)))))</f>
        <v>0</v>
      </c>
      <c r="D46" s="633"/>
      <c r="E46" s="634" t="str">
        <f>IF(INPUTS!$F$41=0,"",IF(INPUTS!$D$41&lt;3,"NOTE:Toxicity adjustments not based on standard assumed test animal body weight",""))</f>
        <v/>
      </c>
      <c r="F46" s="616"/>
      <c r="G46" s="616"/>
      <c r="H46" s="617"/>
      <c r="J46" s="6">
        <f>COUNTIF(K$21:K46,"=yes")</f>
        <v>1</v>
      </c>
      <c r="K46" s="533" t="str">
        <f>IF(LOOKUP(VALUE(M46),INPUTS!$G$6:$G$35)=M46,"yes","no")</f>
        <v>no</v>
      </c>
      <c r="L46" s="533">
        <f>IF(K46="yes",(LOOKUP(J46,INPUTS!$E$6:$E$35,INPUTS!$F$6:$F$35)),0)</f>
        <v>0</v>
      </c>
      <c r="M46" s="135">
        <f t="shared" si="1"/>
        <v>25</v>
      </c>
      <c r="N46" s="135">
        <f t="shared" si="2"/>
        <v>1</v>
      </c>
      <c r="O46" s="135">
        <f t="shared" si="3"/>
        <v>0</v>
      </c>
      <c r="P46" s="536" t="e">
        <f t="shared" si="14"/>
        <v>#DIV/0!</v>
      </c>
      <c r="Q46" s="537" t="e">
        <f t="shared" si="9"/>
        <v>#DIV/0!</v>
      </c>
      <c r="R46" s="538" t="e">
        <f>IF(INPUTS!$B$15="yes",Q46,P46)</f>
        <v>#DIV/0!</v>
      </c>
      <c r="S46" s="536" t="e">
        <f t="shared" si="4"/>
        <v>#DIV/0!</v>
      </c>
      <c r="T46" s="537" t="e">
        <f t="shared" si="10"/>
        <v>#DIV/0!</v>
      </c>
      <c r="U46" s="538" t="e">
        <f>IF(INPUTS!$B$15="yes",T46,S46)</f>
        <v>#DIV/0!</v>
      </c>
      <c r="V46" s="536" t="e">
        <f t="shared" si="5"/>
        <v>#DIV/0!</v>
      </c>
      <c r="W46" s="537" t="e">
        <f t="shared" si="11"/>
        <v>#DIV/0!</v>
      </c>
      <c r="X46" s="538" t="e">
        <f>IF(INPUTS!$B$15="yes",W46,V46)</f>
        <v>#DIV/0!</v>
      </c>
      <c r="Y46" s="536" t="e">
        <f t="shared" si="6"/>
        <v>#DIV/0!</v>
      </c>
      <c r="Z46" s="537" t="e">
        <f t="shared" si="12"/>
        <v>#DIV/0!</v>
      </c>
      <c r="AA46" s="538" t="e">
        <f>IF(INPUTS!$B$15="yes",Z46,Y46)</f>
        <v>#DIV/0!</v>
      </c>
      <c r="AB46" s="536" t="e">
        <f t="shared" si="7"/>
        <v>#DIV/0!</v>
      </c>
      <c r="AC46" s="537" t="e">
        <f t="shared" si="13"/>
        <v>#DIV/0!</v>
      </c>
      <c r="AD46" s="538" t="e">
        <f>IF(INPUTS!$B$15="yes",AC46,AB46)</f>
        <v>#DIV/0!</v>
      </c>
      <c r="AE46" s="36" t="str">
        <f t="shared" si="0"/>
        <v>no</v>
      </c>
      <c r="AF46" s="36"/>
      <c r="AG46" s="389" t="e">
        <f>P46*('upper bound Kenaga'!$F$36/100)</f>
        <v>#DIV/0!</v>
      </c>
      <c r="AH46" s="36"/>
      <c r="AI46" s="389" t="e">
        <f>P46*('upper bound Kenaga'!$F$96/100)</f>
        <v>#DIV/0!</v>
      </c>
      <c r="AJ46" s="36"/>
      <c r="AK46" s="36"/>
      <c r="AL46" s="36"/>
      <c r="AM46" s="36"/>
      <c r="AN46" s="36"/>
      <c r="AO46" s="36"/>
    </row>
    <row r="47" spans="1:41">
      <c r="A47" s="617"/>
      <c r="B47" s="370">
        <f>C37</f>
        <v>100</v>
      </c>
      <c r="C47" s="309">
        <f>+IF(INPUTS!$D$41=3,(($D$15)*((C37/INPUTS!$F$41)^(INPUTS!$D$45-1))),IF(INPUTS!$D$41=1,(($D$15)*((C37/178)^(INPUTS!$D$45-1))),(($D$15)*((C37/1580)^(INPUTS!$D$45-1)))))</f>
        <v>0</v>
      </c>
      <c r="D47" s="633"/>
      <c r="E47" s="634" t="str">
        <f>IF(INPUTS!$F$41=0,"",IF(INPUTS!$D$41&lt;3,"NOTE:Toxicity adjustments not based on standard assumed test animal body weight",""))</f>
        <v/>
      </c>
      <c r="F47" s="616"/>
      <c r="G47" s="616"/>
      <c r="H47" s="617"/>
      <c r="J47" s="6">
        <f>COUNTIF(K$21:K47,"=yes")</f>
        <v>1</v>
      </c>
      <c r="K47" s="533" t="str">
        <f>IF(LOOKUP(VALUE(M47),INPUTS!$G$6:$G$35)=M47,"yes","no")</f>
        <v>no</v>
      </c>
      <c r="L47" s="533">
        <f>IF(K47="yes",(LOOKUP(J47,INPUTS!$E$6:$E$35,INPUTS!$F$6:$F$35)),0)</f>
        <v>0</v>
      </c>
      <c r="M47" s="135">
        <f t="shared" si="1"/>
        <v>26</v>
      </c>
      <c r="N47" s="135">
        <f t="shared" si="2"/>
        <v>1</v>
      </c>
      <c r="O47" s="135">
        <f t="shared" si="3"/>
        <v>0</v>
      </c>
      <c r="P47" s="536" t="e">
        <f t="shared" si="14"/>
        <v>#DIV/0!</v>
      </c>
      <c r="Q47" s="537" t="e">
        <f t="shared" si="9"/>
        <v>#DIV/0!</v>
      </c>
      <c r="R47" s="538" t="e">
        <f>IF(INPUTS!$B$15="yes",Q47,P47)</f>
        <v>#DIV/0!</v>
      </c>
      <c r="S47" s="536" t="e">
        <f t="shared" si="4"/>
        <v>#DIV/0!</v>
      </c>
      <c r="T47" s="537" t="e">
        <f t="shared" si="10"/>
        <v>#DIV/0!</v>
      </c>
      <c r="U47" s="538" t="e">
        <f>IF(INPUTS!$B$15="yes",T47,S47)</f>
        <v>#DIV/0!</v>
      </c>
      <c r="V47" s="536" t="e">
        <f t="shared" si="5"/>
        <v>#DIV/0!</v>
      </c>
      <c r="W47" s="537" t="e">
        <f t="shared" si="11"/>
        <v>#DIV/0!</v>
      </c>
      <c r="X47" s="538" t="e">
        <f>IF(INPUTS!$B$15="yes",W47,V47)</f>
        <v>#DIV/0!</v>
      </c>
      <c r="Y47" s="536" t="e">
        <f t="shared" si="6"/>
        <v>#DIV/0!</v>
      </c>
      <c r="Z47" s="537" t="e">
        <f t="shared" si="12"/>
        <v>#DIV/0!</v>
      </c>
      <c r="AA47" s="538" t="e">
        <f>IF(INPUTS!$B$15="yes",Z47,Y47)</f>
        <v>#DIV/0!</v>
      </c>
      <c r="AB47" s="536" t="e">
        <f t="shared" si="7"/>
        <v>#DIV/0!</v>
      </c>
      <c r="AC47" s="537" t="e">
        <f t="shared" si="13"/>
        <v>#DIV/0!</v>
      </c>
      <c r="AD47" s="538" t="e">
        <f>IF(INPUTS!$B$15="yes",AC47,AB47)</f>
        <v>#DIV/0!</v>
      </c>
      <c r="AE47" s="36" t="str">
        <f t="shared" si="0"/>
        <v>no</v>
      </c>
      <c r="AF47" s="36"/>
      <c r="AG47" s="389" t="e">
        <f>P47*('upper bound Kenaga'!$F$36/100)</f>
        <v>#DIV/0!</v>
      </c>
      <c r="AH47" s="36"/>
      <c r="AI47" s="389" t="e">
        <f>P47*('upper bound Kenaga'!$F$96/100)</f>
        <v>#DIV/0!</v>
      </c>
      <c r="AJ47" s="36"/>
      <c r="AK47" s="36"/>
      <c r="AL47" s="36"/>
      <c r="AM47" s="36"/>
      <c r="AN47" s="36"/>
      <c r="AO47" s="36"/>
    </row>
    <row r="48" spans="1:41" ht="13.5" thickBot="1">
      <c r="A48" s="617"/>
      <c r="B48" s="304">
        <f>C38</f>
        <v>1000</v>
      </c>
      <c r="C48" s="310">
        <f>+IF(INPUTS!$D$41=3,(($D$15)*((C38/INPUTS!$F$41)^(INPUTS!$D$45-1))),IF(INPUTS!$D$41=1,(($D$15)*((C38/178)^(INPUTS!$D$45-1))),(($D$15)*((C38/1580)^(INPUTS!$D$45-1)))))</f>
        <v>0</v>
      </c>
      <c r="D48" s="633"/>
      <c r="E48" s="634" t="str">
        <f>IF(INPUTS!$F$41=0,"",IF(INPUTS!$D$41&lt;3,"NOTE:Toxicity adjustments not based on standard assumed test animal body weight",""))</f>
        <v/>
      </c>
      <c r="F48" s="616"/>
      <c r="G48" s="616"/>
      <c r="H48" s="617"/>
      <c r="J48" s="6">
        <f>COUNTIF(K$21:K48,"=yes")</f>
        <v>1</v>
      </c>
      <c r="K48" s="533" t="str">
        <f>IF(LOOKUP(VALUE(M48),INPUTS!$G$6:$G$35)=M48,"yes","no")</f>
        <v>no</v>
      </c>
      <c r="L48" s="533">
        <f>IF(K48="yes",(LOOKUP(J48,INPUTS!$E$6:$E$35,INPUTS!$F$6:$F$35)),0)</f>
        <v>0</v>
      </c>
      <c r="M48" s="135">
        <f t="shared" si="1"/>
        <v>27</v>
      </c>
      <c r="N48" s="135">
        <f t="shared" si="2"/>
        <v>1</v>
      </c>
      <c r="O48" s="135">
        <f t="shared" si="3"/>
        <v>0</v>
      </c>
      <c r="P48" s="536" t="e">
        <f t="shared" si="14"/>
        <v>#DIV/0!</v>
      </c>
      <c r="Q48" s="537" t="e">
        <f t="shared" si="9"/>
        <v>#DIV/0!</v>
      </c>
      <c r="R48" s="538" t="e">
        <f>IF(INPUTS!$B$15="yes",Q48,P48)</f>
        <v>#DIV/0!</v>
      </c>
      <c r="S48" s="536" t="e">
        <f t="shared" si="4"/>
        <v>#DIV/0!</v>
      </c>
      <c r="T48" s="537" t="e">
        <f t="shared" si="10"/>
        <v>#DIV/0!</v>
      </c>
      <c r="U48" s="538" t="e">
        <f>IF(INPUTS!$B$15="yes",T48,S48)</f>
        <v>#DIV/0!</v>
      </c>
      <c r="V48" s="536" t="e">
        <f t="shared" si="5"/>
        <v>#DIV/0!</v>
      </c>
      <c r="W48" s="537" t="e">
        <f t="shared" si="11"/>
        <v>#DIV/0!</v>
      </c>
      <c r="X48" s="538" t="e">
        <f>IF(INPUTS!$B$15="yes",W48,V48)</f>
        <v>#DIV/0!</v>
      </c>
      <c r="Y48" s="536" t="e">
        <f t="shared" si="6"/>
        <v>#DIV/0!</v>
      </c>
      <c r="Z48" s="537" t="e">
        <f t="shared" si="12"/>
        <v>#DIV/0!</v>
      </c>
      <c r="AA48" s="538" t="e">
        <f>IF(INPUTS!$B$15="yes",Z48,Y48)</f>
        <v>#DIV/0!</v>
      </c>
      <c r="AB48" s="536" t="e">
        <f t="shared" si="7"/>
        <v>#DIV/0!</v>
      </c>
      <c r="AC48" s="537" t="e">
        <f t="shared" si="13"/>
        <v>#DIV/0!</v>
      </c>
      <c r="AD48" s="538" t="e">
        <f>IF(INPUTS!$B$15="yes",AC48,AB48)</f>
        <v>#DIV/0!</v>
      </c>
      <c r="AE48" s="36" t="str">
        <f t="shared" si="0"/>
        <v>no</v>
      </c>
      <c r="AF48" s="36"/>
      <c r="AG48" s="389" t="e">
        <f>P48*('upper bound Kenaga'!$F$36/100)</f>
        <v>#DIV/0!</v>
      </c>
      <c r="AH48" s="36"/>
      <c r="AI48" s="389" t="e">
        <f>P48*('upper bound Kenaga'!$F$96/100)</f>
        <v>#DIV/0!</v>
      </c>
      <c r="AJ48" s="36"/>
      <c r="AK48" s="36"/>
      <c r="AL48" s="36"/>
      <c r="AM48" s="36"/>
      <c r="AN48" s="36"/>
      <c r="AO48" s="36"/>
    </row>
    <row r="49" spans="1:41" ht="13.5" thickBot="1">
      <c r="A49" s="617"/>
      <c r="B49" s="617"/>
      <c r="C49" s="617"/>
      <c r="D49" s="623"/>
      <c r="E49" s="617"/>
      <c r="F49" s="565"/>
      <c r="G49" s="565"/>
      <c r="H49" s="617"/>
      <c r="J49" s="6">
        <f>COUNTIF(K$21:K49,"=yes")</f>
        <v>1</v>
      </c>
      <c r="K49" s="533" t="str">
        <f>IF(LOOKUP(VALUE(M49),INPUTS!$G$6:$G$35)=M49,"yes","no")</f>
        <v>no</v>
      </c>
      <c r="L49" s="533">
        <f>IF(K49="yes",(LOOKUP(J49,INPUTS!$E$6:$E$35,INPUTS!$F$6:$F$35)),0)</f>
        <v>0</v>
      </c>
      <c r="M49" s="135">
        <f t="shared" si="1"/>
        <v>28</v>
      </c>
      <c r="N49" s="135">
        <f t="shared" si="2"/>
        <v>1</v>
      </c>
      <c r="O49" s="135">
        <f t="shared" si="3"/>
        <v>0</v>
      </c>
      <c r="P49" s="536" t="e">
        <f t="shared" si="14"/>
        <v>#DIV/0!</v>
      </c>
      <c r="Q49" s="537" t="e">
        <f t="shared" si="9"/>
        <v>#DIV/0!</v>
      </c>
      <c r="R49" s="538" t="e">
        <f>IF(INPUTS!$B$15="yes",Q49,P49)</f>
        <v>#DIV/0!</v>
      </c>
      <c r="S49" s="536" t="e">
        <f t="shared" si="4"/>
        <v>#DIV/0!</v>
      </c>
      <c r="T49" s="537" t="e">
        <f t="shared" si="10"/>
        <v>#DIV/0!</v>
      </c>
      <c r="U49" s="538" t="e">
        <f>IF(INPUTS!$B$15="yes",T49,S49)</f>
        <v>#DIV/0!</v>
      </c>
      <c r="V49" s="536" t="e">
        <f t="shared" si="5"/>
        <v>#DIV/0!</v>
      </c>
      <c r="W49" s="537" t="e">
        <f t="shared" si="11"/>
        <v>#DIV/0!</v>
      </c>
      <c r="X49" s="538" t="e">
        <f>IF(INPUTS!$B$15="yes",W49,V49)</f>
        <v>#DIV/0!</v>
      </c>
      <c r="Y49" s="536" t="e">
        <f t="shared" si="6"/>
        <v>#DIV/0!</v>
      </c>
      <c r="Z49" s="537" t="e">
        <f t="shared" si="12"/>
        <v>#DIV/0!</v>
      </c>
      <c r="AA49" s="538" t="e">
        <f>IF(INPUTS!$B$15="yes",Z49,Y49)</f>
        <v>#DIV/0!</v>
      </c>
      <c r="AB49" s="536" t="e">
        <f t="shared" si="7"/>
        <v>#DIV/0!</v>
      </c>
      <c r="AC49" s="537" t="e">
        <f t="shared" si="13"/>
        <v>#DIV/0!</v>
      </c>
      <c r="AD49" s="538" t="e">
        <f>IF(INPUTS!$B$15="yes",AC49,AB49)</f>
        <v>#DIV/0!</v>
      </c>
      <c r="AE49" s="36" t="str">
        <f t="shared" si="0"/>
        <v>no</v>
      </c>
      <c r="AF49" s="36"/>
      <c r="AG49" s="389" t="e">
        <f>P49*('upper bound Kenaga'!$F$36/100)</f>
        <v>#DIV/0!</v>
      </c>
      <c r="AH49" s="36"/>
      <c r="AI49" s="389" t="e">
        <f>P49*('upper bound Kenaga'!$F$96/100)</f>
        <v>#DIV/0!</v>
      </c>
      <c r="AJ49" s="36"/>
      <c r="AK49" s="36"/>
      <c r="AL49" s="36"/>
      <c r="AM49" s="36"/>
      <c r="AN49" s="36"/>
      <c r="AO49" s="36"/>
    </row>
    <row r="50" spans="1:41">
      <c r="A50" s="895" t="s">
        <v>275</v>
      </c>
      <c r="B50" s="904" t="s">
        <v>361</v>
      </c>
      <c r="C50" s="905"/>
      <c r="D50" s="906"/>
      <c r="E50" s="570"/>
      <c r="F50" s="570"/>
      <c r="G50" s="570"/>
      <c r="H50" s="617"/>
      <c r="J50" s="6">
        <f>COUNTIF(K$21:K50,"=yes")</f>
        <v>1</v>
      </c>
      <c r="K50" s="533" t="str">
        <f>IF(LOOKUP(VALUE(M50),INPUTS!$G$6:$G$35)=M50,"yes","no")</f>
        <v>no</v>
      </c>
      <c r="L50" s="533">
        <f>IF(K50="yes",(LOOKUP(J50,INPUTS!$E$6:$E$35,INPUTS!$F$6:$F$35)),0)</f>
        <v>0</v>
      </c>
      <c r="M50" s="135">
        <f t="shared" si="1"/>
        <v>29</v>
      </c>
      <c r="N50" s="135">
        <f t="shared" si="2"/>
        <v>1</v>
      </c>
      <c r="O50" s="135">
        <f t="shared" si="3"/>
        <v>0</v>
      </c>
      <c r="P50" s="536" t="e">
        <f t="shared" si="14"/>
        <v>#DIV/0!</v>
      </c>
      <c r="Q50" s="537" t="e">
        <f t="shared" si="9"/>
        <v>#DIV/0!</v>
      </c>
      <c r="R50" s="538" t="e">
        <f>IF(INPUTS!$B$15="yes",Q50,P50)</f>
        <v>#DIV/0!</v>
      </c>
      <c r="S50" s="536" t="e">
        <f t="shared" si="4"/>
        <v>#DIV/0!</v>
      </c>
      <c r="T50" s="537" t="e">
        <f t="shared" si="10"/>
        <v>#DIV/0!</v>
      </c>
      <c r="U50" s="538" t="e">
        <f>IF(INPUTS!$B$15="yes",T50,S50)</f>
        <v>#DIV/0!</v>
      </c>
      <c r="V50" s="536" t="e">
        <f t="shared" si="5"/>
        <v>#DIV/0!</v>
      </c>
      <c r="W50" s="537" t="e">
        <f t="shared" si="11"/>
        <v>#DIV/0!</v>
      </c>
      <c r="X50" s="538" t="e">
        <f>IF(INPUTS!$B$15="yes",W50,V50)</f>
        <v>#DIV/0!</v>
      </c>
      <c r="Y50" s="536" t="e">
        <f t="shared" si="6"/>
        <v>#DIV/0!</v>
      </c>
      <c r="Z50" s="537" t="e">
        <f t="shared" si="12"/>
        <v>#DIV/0!</v>
      </c>
      <c r="AA50" s="538" t="e">
        <f>IF(INPUTS!$B$15="yes",Z50,Y50)</f>
        <v>#DIV/0!</v>
      </c>
      <c r="AB50" s="536" t="e">
        <f t="shared" si="7"/>
        <v>#DIV/0!</v>
      </c>
      <c r="AC50" s="537" t="e">
        <f t="shared" si="13"/>
        <v>#DIV/0!</v>
      </c>
      <c r="AD50" s="538" t="e">
        <f>IF(INPUTS!$B$15="yes",AC50,AB50)</f>
        <v>#DIV/0!</v>
      </c>
      <c r="AE50" s="36" t="str">
        <f t="shared" si="0"/>
        <v>no</v>
      </c>
      <c r="AF50" s="36"/>
      <c r="AG50" s="389" t="e">
        <f>P50*('upper bound Kenaga'!$F$36/100)</f>
        <v>#DIV/0!</v>
      </c>
      <c r="AH50" s="36"/>
      <c r="AI50" s="389" t="e">
        <f>P50*('upper bound Kenaga'!$F$96/100)</f>
        <v>#DIV/0!</v>
      </c>
      <c r="AJ50" s="36"/>
      <c r="AK50" s="36"/>
      <c r="AL50" s="36"/>
      <c r="AM50" s="36"/>
      <c r="AN50" s="36"/>
      <c r="AO50" s="36"/>
    </row>
    <row r="51" spans="1:41">
      <c r="A51" s="896"/>
      <c r="B51" s="573" t="s">
        <v>54</v>
      </c>
      <c r="C51" s="574" t="s">
        <v>55</v>
      </c>
      <c r="D51" s="575" t="s">
        <v>56</v>
      </c>
      <c r="E51" s="893"/>
      <c r="F51" s="894"/>
      <c r="G51" s="894"/>
      <c r="H51" s="617"/>
      <c r="J51" s="6">
        <f>COUNTIF(K$21:K51,"=yes")</f>
        <v>1</v>
      </c>
      <c r="K51" s="533" t="str">
        <f>IF(LOOKUP(VALUE(M51),INPUTS!$G$6:$G$35)=M51,"yes","no")</f>
        <v>no</v>
      </c>
      <c r="L51" s="533">
        <f>IF(K51="yes",(LOOKUP(J51,INPUTS!$E$6:$E$35,INPUTS!$F$6:$F$35)),0)</f>
        <v>0</v>
      </c>
      <c r="M51" s="135">
        <f t="shared" si="1"/>
        <v>30</v>
      </c>
      <c r="N51" s="135">
        <f t="shared" si="2"/>
        <v>1</v>
      </c>
      <c r="O51" s="135">
        <f t="shared" si="3"/>
        <v>0</v>
      </c>
      <c r="P51" s="536" t="e">
        <f t="shared" si="14"/>
        <v>#DIV/0!</v>
      </c>
      <c r="Q51" s="537" t="e">
        <f t="shared" si="9"/>
        <v>#DIV/0!</v>
      </c>
      <c r="R51" s="538" t="e">
        <f>IF(INPUTS!$B$15="yes",Q51,P51)</f>
        <v>#DIV/0!</v>
      </c>
      <c r="S51" s="536" t="e">
        <f t="shared" si="4"/>
        <v>#DIV/0!</v>
      </c>
      <c r="T51" s="537" t="e">
        <f t="shared" si="10"/>
        <v>#DIV/0!</v>
      </c>
      <c r="U51" s="538" t="e">
        <f>IF(INPUTS!$B$15="yes",T51,S51)</f>
        <v>#DIV/0!</v>
      </c>
      <c r="V51" s="536" t="e">
        <f t="shared" si="5"/>
        <v>#DIV/0!</v>
      </c>
      <c r="W51" s="537" t="e">
        <f t="shared" si="11"/>
        <v>#DIV/0!</v>
      </c>
      <c r="X51" s="538" t="e">
        <f>IF(INPUTS!$B$15="yes",W51,V51)</f>
        <v>#DIV/0!</v>
      </c>
      <c r="Y51" s="536" t="e">
        <f t="shared" si="6"/>
        <v>#DIV/0!</v>
      </c>
      <c r="Z51" s="537" t="e">
        <f t="shared" si="12"/>
        <v>#DIV/0!</v>
      </c>
      <c r="AA51" s="538" t="e">
        <f>IF(INPUTS!$B$15="yes",Z51,Y51)</f>
        <v>#DIV/0!</v>
      </c>
      <c r="AB51" s="536" t="e">
        <f t="shared" si="7"/>
        <v>#DIV/0!</v>
      </c>
      <c r="AC51" s="537" t="e">
        <f t="shared" si="13"/>
        <v>#DIV/0!</v>
      </c>
      <c r="AD51" s="538" t="e">
        <f>IF(INPUTS!$B$15="yes",AC51,AB51)</f>
        <v>#DIV/0!</v>
      </c>
      <c r="AE51" s="36" t="str">
        <f t="shared" si="0"/>
        <v>no</v>
      </c>
      <c r="AF51" s="36"/>
      <c r="AG51" s="389" t="e">
        <f>P51*('upper bound Kenaga'!$F$36/100)</f>
        <v>#DIV/0!</v>
      </c>
      <c r="AH51" s="36"/>
      <c r="AI51" s="389" t="e">
        <f>P51*('upper bound Kenaga'!$F$96/100)</f>
        <v>#DIV/0!</v>
      </c>
      <c r="AJ51" s="36"/>
      <c r="AK51" s="36"/>
      <c r="AL51" s="36"/>
      <c r="AM51" s="36"/>
      <c r="AN51" s="36"/>
      <c r="AO51" s="36"/>
    </row>
    <row r="52" spans="1:41" ht="13.5" customHeight="1" thickBot="1">
      <c r="A52" s="897"/>
      <c r="B52" s="588">
        <f>C36</f>
        <v>20</v>
      </c>
      <c r="C52" s="588">
        <f>C37</f>
        <v>100</v>
      </c>
      <c r="D52" s="589">
        <f>C38</f>
        <v>1000</v>
      </c>
      <c r="E52" s="571"/>
      <c r="F52" s="571"/>
      <c r="G52" s="571"/>
      <c r="H52" s="617"/>
      <c r="J52" s="6">
        <f>COUNTIF(K$21:K52,"=yes")</f>
        <v>1</v>
      </c>
      <c r="K52" s="533" t="str">
        <f>IF(LOOKUP(VALUE(M52),INPUTS!$G$6:$G$35)=M52,"yes","no")</f>
        <v>no</v>
      </c>
      <c r="L52" s="533">
        <f>IF(K52="yes",(LOOKUP(J52,INPUTS!$E$6:$E$35,INPUTS!$F$6:$F$35)),0)</f>
        <v>0</v>
      </c>
      <c r="M52" s="135">
        <f t="shared" si="1"/>
        <v>31</v>
      </c>
      <c r="N52" s="135">
        <f t="shared" si="2"/>
        <v>1</v>
      </c>
      <c r="O52" s="135">
        <f t="shared" si="3"/>
        <v>0</v>
      </c>
      <c r="P52" s="536" t="e">
        <f t="shared" si="14"/>
        <v>#DIV/0!</v>
      </c>
      <c r="Q52" s="537" t="e">
        <f t="shared" si="9"/>
        <v>#DIV/0!</v>
      </c>
      <c r="R52" s="538" t="e">
        <f>IF(INPUTS!$B$15="yes",Q52,P52)</f>
        <v>#DIV/0!</v>
      </c>
      <c r="S52" s="536" t="e">
        <f t="shared" si="4"/>
        <v>#DIV/0!</v>
      </c>
      <c r="T52" s="537" t="e">
        <f t="shared" si="10"/>
        <v>#DIV/0!</v>
      </c>
      <c r="U52" s="538" t="e">
        <f>IF(INPUTS!$B$15="yes",T52,S52)</f>
        <v>#DIV/0!</v>
      </c>
      <c r="V52" s="536" t="e">
        <f t="shared" si="5"/>
        <v>#DIV/0!</v>
      </c>
      <c r="W52" s="537" t="e">
        <f t="shared" si="11"/>
        <v>#DIV/0!</v>
      </c>
      <c r="X52" s="538" t="e">
        <f>IF(INPUTS!$B$15="yes",W52,V52)</f>
        <v>#DIV/0!</v>
      </c>
      <c r="Y52" s="536" t="e">
        <f t="shared" si="6"/>
        <v>#DIV/0!</v>
      </c>
      <c r="Z52" s="537" t="e">
        <f t="shared" si="12"/>
        <v>#DIV/0!</v>
      </c>
      <c r="AA52" s="538" t="e">
        <f>IF(INPUTS!$B$15="yes",Z52,Y52)</f>
        <v>#DIV/0!</v>
      </c>
      <c r="AB52" s="536" t="e">
        <f t="shared" si="7"/>
        <v>#DIV/0!</v>
      </c>
      <c r="AC52" s="537" t="e">
        <f t="shared" si="13"/>
        <v>#DIV/0!</v>
      </c>
      <c r="AD52" s="538" t="e">
        <f>IF(INPUTS!$B$15="yes",AC52,AB52)</f>
        <v>#DIV/0!</v>
      </c>
      <c r="AE52" s="36" t="str">
        <f t="shared" si="0"/>
        <v>no</v>
      </c>
      <c r="AF52" s="36"/>
      <c r="AG52" s="389" t="e">
        <f>P52*('upper bound Kenaga'!$F$36/100)</f>
        <v>#DIV/0!</v>
      </c>
      <c r="AH52" s="36"/>
      <c r="AI52" s="389" t="e">
        <f>P52*('upper bound Kenaga'!$F$96/100)</f>
        <v>#DIV/0!</v>
      </c>
      <c r="AJ52" s="36"/>
      <c r="AK52" s="36"/>
      <c r="AL52" s="36"/>
      <c r="AM52" s="36"/>
      <c r="AN52" s="36"/>
      <c r="AO52" s="36"/>
    </row>
    <row r="53" spans="1:41">
      <c r="A53" s="297" t="s">
        <v>13</v>
      </c>
      <c r="B53" s="324" t="e">
        <f>B27*($G$36/($C$36/1000))</f>
        <v>#DIV/0!</v>
      </c>
      <c r="C53" s="324" t="e">
        <f>B27*($G$37/(C$37/1000))</f>
        <v>#DIV/0!</v>
      </c>
      <c r="D53" s="295" t="e">
        <f>B27*($G$38/(C$38/1000))</f>
        <v>#DIV/0!</v>
      </c>
      <c r="E53" s="572"/>
      <c r="F53" s="572"/>
      <c r="G53" s="572"/>
      <c r="H53" s="617"/>
      <c r="J53" s="6">
        <f>COUNTIF(K$21:K53,"=yes")</f>
        <v>1</v>
      </c>
      <c r="K53" s="533" t="str">
        <f>IF(LOOKUP(VALUE(M53),INPUTS!$G$6:$G$35)=M53,"yes","no")</f>
        <v>no</v>
      </c>
      <c r="L53" s="533">
        <f>IF(K53="yes",(LOOKUP(J53,INPUTS!$E$6:$E$35,INPUTS!$F$6:$F$35)),0)</f>
        <v>0</v>
      </c>
      <c r="M53" s="135">
        <f t="shared" si="1"/>
        <v>32</v>
      </c>
      <c r="N53" s="135">
        <f t="shared" si="2"/>
        <v>1</v>
      </c>
      <c r="O53" s="135">
        <f t="shared" si="3"/>
        <v>0</v>
      </c>
      <c r="P53" s="536" t="e">
        <f t="shared" si="14"/>
        <v>#DIV/0!</v>
      </c>
      <c r="Q53" s="537" t="e">
        <f t="shared" si="9"/>
        <v>#DIV/0!</v>
      </c>
      <c r="R53" s="538" t="e">
        <f>IF(INPUTS!$B$15="yes",Q53,P53)</f>
        <v>#DIV/0!</v>
      </c>
      <c r="S53" s="536" t="e">
        <f t="shared" si="4"/>
        <v>#DIV/0!</v>
      </c>
      <c r="T53" s="537" t="e">
        <f t="shared" si="10"/>
        <v>#DIV/0!</v>
      </c>
      <c r="U53" s="538" t="e">
        <f>IF(INPUTS!$B$15="yes",T53,S53)</f>
        <v>#DIV/0!</v>
      </c>
      <c r="V53" s="536" t="e">
        <f t="shared" si="5"/>
        <v>#DIV/0!</v>
      </c>
      <c r="W53" s="537" t="e">
        <f t="shared" si="11"/>
        <v>#DIV/0!</v>
      </c>
      <c r="X53" s="538" t="e">
        <f>IF(INPUTS!$B$15="yes",W53,V53)</f>
        <v>#DIV/0!</v>
      </c>
      <c r="Y53" s="536" t="e">
        <f t="shared" si="6"/>
        <v>#DIV/0!</v>
      </c>
      <c r="Z53" s="537" t="e">
        <f t="shared" si="12"/>
        <v>#DIV/0!</v>
      </c>
      <c r="AA53" s="538" t="e">
        <f>IF(INPUTS!$B$15="yes",Z53,Y53)</f>
        <v>#DIV/0!</v>
      </c>
      <c r="AB53" s="536" t="e">
        <f t="shared" si="7"/>
        <v>#DIV/0!</v>
      </c>
      <c r="AC53" s="537" t="e">
        <f t="shared" si="13"/>
        <v>#DIV/0!</v>
      </c>
      <c r="AD53" s="538" t="e">
        <f>IF(INPUTS!$B$15="yes",AC53,AB53)</f>
        <v>#DIV/0!</v>
      </c>
      <c r="AE53" s="36" t="str">
        <f t="shared" si="0"/>
        <v>no</v>
      </c>
      <c r="AF53" s="36"/>
      <c r="AG53" s="389" t="e">
        <f>P53*('upper bound Kenaga'!$F$36/100)</f>
        <v>#DIV/0!</v>
      </c>
      <c r="AH53" s="36"/>
      <c r="AI53" s="389" t="e">
        <f>P53*('upper bound Kenaga'!$F$96/100)</f>
        <v>#DIV/0!</v>
      </c>
      <c r="AJ53" s="36"/>
      <c r="AK53" s="36"/>
      <c r="AL53" s="36"/>
      <c r="AM53" s="36"/>
      <c r="AN53" s="36"/>
      <c r="AO53" s="36"/>
    </row>
    <row r="54" spans="1:41" ht="12.75" customHeight="1">
      <c r="A54" s="635" t="s">
        <v>16</v>
      </c>
      <c r="B54" s="636" t="e">
        <f>B28*($G$36/($C$36/1000))</f>
        <v>#DIV/0!</v>
      </c>
      <c r="C54" s="636" t="e">
        <f>B28*($G$37/(C$37/1000))</f>
        <v>#DIV/0!</v>
      </c>
      <c r="D54" s="637" t="e">
        <f>B28*($G$38/(C$38/1000))</f>
        <v>#DIV/0!</v>
      </c>
      <c r="E54" s="572"/>
      <c r="F54" s="572"/>
      <c r="G54" s="572"/>
      <c r="H54" s="617"/>
      <c r="I54" s="7"/>
      <c r="J54" s="6">
        <f>COUNTIF(K$21:K54,"=yes")</f>
        <v>1</v>
      </c>
      <c r="K54" s="533" t="str">
        <f>IF(LOOKUP(VALUE(M54),INPUTS!$G$6:$G$35)=M54,"yes","no")</f>
        <v>no</v>
      </c>
      <c r="L54" s="533">
        <f>IF(K54="yes",(LOOKUP(J54,INPUTS!$E$6:$E$35,INPUTS!$F$6:$F$35)),0)</f>
        <v>0</v>
      </c>
      <c r="M54" s="135">
        <f t="shared" si="1"/>
        <v>33</v>
      </c>
      <c r="N54" s="135">
        <f t="shared" si="2"/>
        <v>1</v>
      </c>
      <c r="O54" s="135">
        <f t="shared" si="3"/>
        <v>0</v>
      </c>
      <c r="P54" s="536" t="e">
        <f t="shared" si="14"/>
        <v>#DIV/0!</v>
      </c>
      <c r="Q54" s="537" t="e">
        <f t="shared" si="9"/>
        <v>#DIV/0!</v>
      </c>
      <c r="R54" s="538" t="e">
        <f>IF(INPUTS!$B$15="yes",Q54,P54)</f>
        <v>#DIV/0!</v>
      </c>
      <c r="S54" s="536" t="e">
        <f t="shared" si="4"/>
        <v>#DIV/0!</v>
      </c>
      <c r="T54" s="537" t="e">
        <f t="shared" si="10"/>
        <v>#DIV/0!</v>
      </c>
      <c r="U54" s="538" t="e">
        <f>IF(INPUTS!$B$15="yes",T54,S54)</f>
        <v>#DIV/0!</v>
      </c>
      <c r="V54" s="536" t="e">
        <f t="shared" si="5"/>
        <v>#DIV/0!</v>
      </c>
      <c r="W54" s="537" t="e">
        <f t="shared" si="11"/>
        <v>#DIV/0!</v>
      </c>
      <c r="X54" s="538" t="e">
        <f>IF(INPUTS!$B$15="yes",W54,V54)</f>
        <v>#DIV/0!</v>
      </c>
      <c r="Y54" s="536" t="e">
        <f t="shared" si="6"/>
        <v>#DIV/0!</v>
      </c>
      <c r="Z54" s="537" t="e">
        <f t="shared" si="12"/>
        <v>#DIV/0!</v>
      </c>
      <c r="AA54" s="538" t="e">
        <f>IF(INPUTS!$B$15="yes",Z54,Y54)</f>
        <v>#DIV/0!</v>
      </c>
      <c r="AB54" s="536" t="e">
        <f t="shared" si="7"/>
        <v>#DIV/0!</v>
      </c>
      <c r="AC54" s="537" t="e">
        <f t="shared" si="13"/>
        <v>#DIV/0!</v>
      </c>
      <c r="AD54" s="538" t="e">
        <f>IF(INPUTS!$B$15="yes",AC54,AB54)</f>
        <v>#DIV/0!</v>
      </c>
      <c r="AE54" s="36" t="str">
        <f t="shared" si="0"/>
        <v>no</v>
      </c>
      <c r="AF54" s="36"/>
      <c r="AG54" s="389" t="e">
        <f>P54*('upper bound Kenaga'!$F$36/100)</f>
        <v>#DIV/0!</v>
      </c>
      <c r="AH54" s="36"/>
      <c r="AI54" s="389" t="e">
        <f>P54*('upper bound Kenaga'!$F$96/100)</f>
        <v>#DIV/0!</v>
      </c>
      <c r="AJ54" s="36"/>
      <c r="AK54" s="36"/>
      <c r="AL54" s="36"/>
      <c r="AM54" s="36"/>
      <c r="AN54" s="36"/>
      <c r="AO54" s="36"/>
    </row>
    <row r="55" spans="1:41">
      <c r="A55" s="635" t="s">
        <v>415</v>
      </c>
      <c r="B55" s="636" t="e">
        <f>B29*($G$36/($C$36/1000))</f>
        <v>#DIV/0!</v>
      </c>
      <c r="C55" s="636" t="e">
        <f>B29*($G$37/(C$37/1000))</f>
        <v>#DIV/0!</v>
      </c>
      <c r="D55" s="637" t="e">
        <f>B29*($G$38/(C$38/1000))</f>
        <v>#DIV/0!</v>
      </c>
      <c r="E55" s="572"/>
      <c r="F55" s="572"/>
      <c r="G55" s="572"/>
      <c r="H55" s="617"/>
      <c r="I55" s="7"/>
      <c r="J55" s="6">
        <f>COUNTIF(K$21:K55,"=yes")</f>
        <v>1</v>
      </c>
      <c r="K55" s="533" t="str">
        <f>IF(LOOKUP(VALUE(M55),INPUTS!$G$6:$G$35)=M55,"yes","no")</f>
        <v>no</v>
      </c>
      <c r="L55" s="533">
        <f>IF(K55="yes",(LOOKUP(J55,INPUTS!$E$6:$E$35,INPUTS!$F$6:$F$35)),0)</f>
        <v>0</v>
      </c>
      <c r="M55" s="135">
        <f t="shared" si="1"/>
        <v>34</v>
      </c>
      <c r="N55" s="135">
        <f t="shared" si="2"/>
        <v>1</v>
      </c>
      <c r="O55" s="135">
        <f t="shared" si="3"/>
        <v>0</v>
      </c>
      <c r="P55" s="536" t="e">
        <f t="shared" si="14"/>
        <v>#DIV/0!</v>
      </c>
      <c r="Q55" s="537" t="e">
        <f t="shared" si="9"/>
        <v>#DIV/0!</v>
      </c>
      <c r="R55" s="538" t="e">
        <f>IF(INPUTS!$B$15="yes",Q55,P55)</f>
        <v>#DIV/0!</v>
      </c>
      <c r="S55" s="536" t="e">
        <f t="shared" si="4"/>
        <v>#DIV/0!</v>
      </c>
      <c r="T55" s="537" t="e">
        <f t="shared" si="10"/>
        <v>#DIV/0!</v>
      </c>
      <c r="U55" s="538" t="e">
        <f>IF(INPUTS!$B$15="yes",T55,S55)</f>
        <v>#DIV/0!</v>
      </c>
      <c r="V55" s="536" t="e">
        <f t="shared" si="5"/>
        <v>#DIV/0!</v>
      </c>
      <c r="W55" s="537" t="e">
        <f t="shared" si="11"/>
        <v>#DIV/0!</v>
      </c>
      <c r="X55" s="538" t="e">
        <f>IF(INPUTS!$B$15="yes",W55,V55)</f>
        <v>#DIV/0!</v>
      </c>
      <c r="Y55" s="536" t="e">
        <f t="shared" si="6"/>
        <v>#DIV/0!</v>
      </c>
      <c r="Z55" s="537" t="e">
        <f t="shared" si="12"/>
        <v>#DIV/0!</v>
      </c>
      <c r="AA55" s="538" t="e">
        <f>IF(INPUTS!$B$15="yes",Z55,Y55)</f>
        <v>#DIV/0!</v>
      </c>
      <c r="AB55" s="536" t="e">
        <f t="shared" si="7"/>
        <v>#DIV/0!</v>
      </c>
      <c r="AC55" s="537" t="e">
        <f t="shared" si="13"/>
        <v>#DIV/0!</v>
      </c>
      <c r="AD55" s="538" t="e">
        <f>IF(INPUTS!$B$15="yes",AC55,AB55)</f>
        <v>#DIV/0!</v>
      </c>
      <c r="AE55" s="36" t="str">
        <f t="shared" si="0"/>
        <v>no</v>
      </c>
      <c r="AF55" s="36"/>
      <c r="AG55" s="389" t="e">
        <f>P55*('upper bound Kenaga'!$F$36/100)</f>
        <v>#DIV/0!</v>
      </c>
      <c r="AH55" s="36"/>
      <c r="AI55" s="389" t="e">
        <f>P55*('upper bound Kenaga'!$F$96/100)</f>
        <v>#DIV/0!</v>
      </c>
      <c r="AJ55" s="36"/>
      <c r="AK55" s="36"/>
      <c r="AL55" s="36"/>
      <c r="AM55" s="36"/>
      <c r="AN55" s="36"/>
      <c r="AO55" s="36"/>
    </row>
    <row r="56" spans="1:41" ht="12.75" customHeight="1">
      <c r="A56" s="638" t="s">
        <v>417</v>
      </c>
      <c r="B56" s="636" t="e">
        <f>B30*($G$36/($C$36/1000))</f>
        <v>#DIV/0!</v>
      </c>
      <c r="C56" s="636" t="e">
        <f>B30*($G$37/(C$37/1000))</f>
        <v>#DIV/0!</v>
      </c>
      <c r="D56" s="637" t="e">
        <f>B30*($G$38/(C$38/1000))</f>
        <v>#DIV/0!</v>
      </c>
      <c r="E56" s="569"/>
      <c r="F56" s="569"/>
      <c r="G56" s="569"/>
      <c r="H56" s="617"/>
      <c r="I56" s="7"/>
      <c r="J56" s="6">
        <f>COUNTIF(K$21:K56,"=yes")</f>
        <v>1</v>
      </c>
      <c r="K56" s="533" t="str">
        <f>IF(LOOKUP(VALUE(M56),INPUTS!$G$6:$G$35)=M56,"yes","no")</f>
        <v>no</v>
      </c>
      <c r="L56" s="533">
        <f>IF(K56="yes",(LOOKUP(J56,INPUTS!$E$6:$E$35,INPUTS!$F$6:$F$35)),0)</f>
        <v>0</v>
      </c>
      <c r="M56" s="135">
        <f t="shared" si="1"/>
        <v>35</v>
      </c>
      <c r="N56" s="135">
        <f t="shared" si="2"/>
        <v>1</v>
      </c>
      <c r="O56" s="135">
        <f t="shared" si="3"/>
        <v>0</v>
      </c>
      <c r="P56" s="536" t="e">
        <f t="shared" si="14"/>
        <v>#DIV/0!</v>
      </c>
      <c r="Q56" s="537" t="e">
        <f t="shared" si="9"/>
        <v>#DIV/0!</v>
      </c>
      <c r="R56" s="538" t="e">
        <f>IF(INPUTS!$B$15="yes",Q56,P56)</f>
        <v>#DIV/0!</v>
      </c>
      <c r="S56" s="536" t="e">
        <f t="shared" si="4"/>
        <v>#DIV/0!</v>
      </c>
      <c r="T56" s="537" t="e">
        <f t="shared" si="10"/>
        <v>#DIV/0!</v>
      </c>
      <c r="U56" s="538" t="e">
        <f>IF(INPUTS!$B$15="yes",T56,S56)</f>
        <v>#DIV/0!</v>
      </c>
      <c r="V56" s="536" t="e">
        <f t="shared" si="5"/>
        <v>#DIV/0!</v>
      </c>
      <c r="W56" s="537" t="e">
        <f t="shared" si="11"/>
        <v>#DIV/0!</v>
      </c>
      <c r="X56" s="538" t="e">
        <f>IF(INPUTS!$B$15="yes",W56,V56)</f>
        <v>#DIV/0!</v>
      </c>
      <c r="Y56" s="536" t="e">
        <f t="shared" si="6"/>
        <v>#DIV/0!</v>
      </c>
      <c r="Z56" s="537" t="e">
        <f t="shared" si="12"/>
        <v>#DIV/0!</v>
      </c>
      <c r="AA56" s="538" t="e">
        <f>IF(INPUTS!$B$15="yes",Z56,Y56)</f>
        <v>#DIV/0!</v>
      </c>
      <c r="AB56" s="536" t="e">
        <f t="shared" si="7"/>
        <v>#DIV/0!</v>
      </c>
      <c r="AC56" s="537" t="e">
        <f t="shared" si="13"/>
        <v>#DIV/0!</v>
      </c>
      <c r="AD56" s="538" t="e">
        <f>IF(INPUTS!$B$15="yes",AC56,AB56)</f>
        <v>#DIV/0!</v>
      </c>
      <c r="AE56" s="36" t="str">
        <f t="shared" si="0"/>
        <v>no</v>
      </c>
      <c r="AF56" s="36"/>
      <c r="AG56" s="389" t="e">
        <f>P56*('upper bound Kenaga'!$F$36/100)</f>
        <v>#DIV/0!</v>
      </c>
      <c r="AH56" s="36"/>
      <c r="AI56" s="389" t="e">
        <f>P56*('upper bound Kenaga'!$F$96/100)</f>
        <v>#DIV/0!</v>
      </c>
      <c r="AJ56" s="36"/>
      <c r="AK56" s="36"/>
      <c r="AL56" s="36"/>
      <c r="AM56" s="36"/>
      <c r="AN56" s="36"/>
      <c r="AO56" s="36"/>
    </row>
    <row r="57" spans="1:41" ht="12.75" hidden="1" customHeight="1">
      <c r="A57" s="639"/>
      <c r="B57" s="640"/>
      <c r="C57" s="640"/>
      <c r="D57" s="641"/>
      <c r="E57" s="564"/>
      <c r="F57" s="569"/>
      <c r="G57" s="569"/>
      <c r="H57" s="617"/>
      <c r="I57" s="7"/>
      <c r="J57" s="6">
        <f>COUNTIF(K$21:K57,"=yes")</f>
        <v>1</v>
      </c>
      <c r="K57" s="533" t="str">
        <f>IF(LOOKUP(VALUE(M57),INPUTS!$G$6:$G$35)=M57,"yes","no")</f>
        <v>no</v>
      </c>
      <c r="L57" s="533">
        <f>IF(K57="yes",(LOOKUP(J57,INPUTS!$E$6:$E$35,INPUTS!$F$6:$F$35)),0)</f>
        <v>0</v>
      </c>
      <c r="M57" s="135">
        <f t="shared" si="1"/>
        <v>36</v>
      </c>
      <c r="N57" s="135">
        <f t="shared" si="2"/>
        <v>1</v>
      </c>
      <c r="O57" s="135">
        <f t="shared" si="3"/>
        <v>0</v>
      </c>
      <c r="P57" s="536" t="e">
        <f t="shared" si="14"/>
        <v>#DIV/0!</v>
      </c>
      <c r="Q57" s="537" t="e">
        <f t="shared" si="9"/>
        <v>#DIV/0!</v>
      </c>
      <c r="R57" s="538" t="e">
        <f>IF(INPUTS!$B$15="yes",Q57,P57)</f>
        <v>#DIV/0!</v>
      </c>
      <c r="S57" s="536" t="e">
        <f t="shared" si="4"/>
        <v>#DIV/0!</v>
      </c>
      <c r="T57" s="537" t="e">
        <f t="shared" si="10"/>
        <v>#DIV/0!</v>
      </c>
      <c r="U57" s="538" t="e">
        <f>IF(INPUTS!$B$15="yes",T57,S57)</f>
        <v>#DIV/0!</v>
      </c>
      <c r="V57" s="536" t="e">
        <f t="shared" si="5"/>
        <v>#DIV/0!</v>
      </c>
      <c r="W57" s="537" t="e">
        <f t="shared" si="11"/>
        <v>#DIV/0!</v>
      </c>
      <c r="X57" s="538" t="e">
        <f>IF(INPUTS!$B$15="yes",W57,V57)</f>
        <v>#DIV/0!</v>
      </c>
      <c r="Y57" s="536" t="e">
        <f t="shared" si="6"/>
        <v>#DIV/0!</v>
      </c>
      <c r="Z57" s="537" t="e">
        <f t="shared" si="12"/>
        <v>#DIV/0!</v>
      </c>
      <c r="AA57" s="538" t="e">
        <f>IF(INPUTS!$B$15="yes",Z57,Y57)</f>
        <v>#DIV/0!</v>
      </c>
      <c r="AB57" s="536" t="e">
        <f t="shared" si="7"/>
        <v>#DIV/0!</v>
      </c>
      <c r="AC57" s="537" t="e">
        <f t="shared" si="13"/>
        <v>#DIV/0!</v>
      </c>
      <c r="AD57" s="538" t="e">
        <f>IF(INPUTS!$B$15="yes",AC57,AB57)</f>
        <v>#DIV/0!</v>
      </c>
      <c r="AE57" s="36" t="str">
        <f t="shared" si="0"/>
        <v>no</v>
      </c>
      <c r="AF57" s="36"/>
      <c r="AG57" s="389" t="e">
        <f>P57*('upper bound Kenaga'!$F$36/100)</f>
        <v>#DIV/0!</v>
      </c>
      <c r="AH57" s="36"/>
      <c r="AI57" s="389" t="e">
        <f>P57*('upper bound Kenaga'!$F$96/100)</f>
        <v>#DIV/0!</v>
      </c>
      <c r="AJ57" s="36"/>
      <c r="AK57" s="36"/>
      <c r="AL57" s="36"/>
      <c r="AM57" s="36"/>
      <c r="AN57" s="36"/>
      <c r="AO57" s="36"/>
    </row>
    <row r="58" spans="1:41" ht="12.75" hidden="1" customHeight="1">
      <c r="A58" s="927"/>
      <c r="B58" s="928"/>
      <c r="C58" s="929"/>
      <c r="D58" s="930"/>
      <c r="E58" s="564"/>
      <c r="F58" s="893"/>
      <c r="G58" s="894"/>
      <c r="H58" s="617"/>
      <c r="I58" s="8"/>
      <c r="J58" s="6">
        <f>COUNTIF(K$21:K58,"=yes")</f>
        <v>1</v>
      </c>
      <c r="K58" s="533" t="str">
        <f>IF(LOOKUP(VALUE(M58),INPUTS!$G$6:$G$35)=M58,"yes","no")</f>
        <v>no</v>
      </c>
      <c r="L58" s="533">
        <f>IF(K58="yes",(LOOKUP(J58,INPUTS!$E$6:$E$35,INPUTS!$F$6:$F$35)),0)</f>
        <v>0</v>
      </c>
      <c r="M58" s="135">
        <f t="shared" si="1"/>
        <v>37</v>
      </c>
      <c r="N58" s="135">
        <f t="shared" si="2"/>
        <v>1</v>
      </c>
      <c r="O58" s="135">
        <f t="shared" si="3"/>
        <v>0</v>
      </c>
      <c r="P58" s="536" t="e">
        <f t="shared" si="14"/>
        <v>#DIV/0!</v>
      </c>
      <c r="Q58" s="537" t="e">
        <f t="shared" si="9"/>
        <v>#DIV/0!</v>
      </c>
      <c r="R58" s="538" t="e">
        <f>IF(INPUTS!$B$15="yes",Q58,P58)</f>
        <v>#DIV/0!</v>
      </c>
      <c r="S58" s="536" t="e">
        <f t="shared" si="4"/>
        <v>#DIV/0!</v>
      </c>
      <c r="T58" s="537" t="e">
        <f t="shared" si="10"/>
        <v>#DIV/0!</v>
      </c>
      <c r="U58" s="538" t="e">
        <f>IF(INPUTS!$B$15="yes",T58,S58)</f>
        <v>#DIV/0!</v>
      </c>
      <c r="V58" s="536" t="e">
        <f t="shared" si="5"/>
        <v>#DIV/0!</v>
      </c>
      <c r="W58" s="537" t="e">
        <f t="shared" si="11"/>
        <v>#DIV/0!</v>
      </c>
      <c r="X58" s="538" t="e">
        <f>IF(INPUTS!$B$15="yes",W58,V58)</f>
        <v>#DIV/0!</v>
      </c>
      <c r="Y58" s="536" t="e">
        <f t="shared" si="6"/>
        <v>#DIV/0!</v>
      </c>
      <c r="Z58" s="537" t="e">
        <f t="shared" si="12"/>
        <v>#DIV/0!</v>
      </c>
      <c r="AA58" s="538" t="e">
        <f>IF(INPUTS!$B$15="yes",Z58,Y58)</f>
        <v>#DIV/0!</v>
      </c>
      <c r="AB58" s="536" t="e">
        <f t="shared" si="7"/>
        <v>#DIV/0!</v>
      </c>
      <c r="AC58" s="537" t="e">
        <f t="shared" si="13"/>
        <v>#DIV/0!</v>
      </c>
      <c r="AD58" s="538" t="e">
        <f>IF(INPUTS!$B$15="yes",AC58,AB58)</f>
        <v>#DIV/0!</v>
      </c>
      <c r="AE58" s="36" t="str">
        <f t="shared" si="0"/>
        <v>no</v>
      </c>
      <c r="AF58" s="36"/>
      <c r="AG58" s="389" t="e">
        <f>P58*('upper bound Kenaga'!$F$36/100)</f>
        <v>#DIV/0!</v>
      </c>
      <c r="AH58" s="36"/>
      <c r="AI58" s="389" t="e">
        <f>P58*('upper bound Kenaga'!$F$96/100)</f>
        <v>#DIV/0!</v>
      </c>
      <c r="AJ58" s="36"/>
      <c r="AK58" s="36"/>
      <c r="AL58" s="36"/>
      <c r="AM58" s="36"/>
      <c r="AN58" s="36"/>
      <c r="AO58" s="36"/>
    </row>
    <row r="59" spans="1:41" ht="12.75" hidden="1" customHeight="1">
      <c r="A59" s="927"/>
      <c r="B59" s="642"/>
      <c r="C59" s="643"/>
      <c r="D59" s="644"/>
      <c r="E59" s="565"/>
      <c r="F59" s="566"/>
      <c r="G59" s="566"/>
      <c r="H59" s="617"/>
      <c r="I59" s="8"/>
      <c r="J59" s="6">
        <f>COUNTIF(K$21:K59,"=yes")</f>
        <v>1</v>
      </c>
      <c r="K59" s="533" t="str">
        <f>IF(LOOKUP(VALUE(M59),INPUTS!$G$6:$G$35)=M59,"yes","no")</f>
        <v>no</v>
      </c>
      <c r="L59" s="533">
        <f>IF(K59="yes",(LOOKUP(J59,INPUTS!$E$6:$E$35,INPUTS!$F$6:$F$35)),0)</f>
        <v>0</v>
      </c>
      <c r="M59" s="135">
        <f t="shared" si="1"/>
        <v>38</v>
      </c>
      <c r="N59" s="135">
        <f t="shared" si="2"/>
        <v>1</v>
      </c>
      <c r="O59" s="135">
        <f t="shared" si="3"/>
        <v>0</v>
      </c>
      <c r="P59" s="536" t="e">
        <f t="shared" si="14"/>
        <v>#DIV/0!</v>
      </c>
      <c r="Q59" s="537" t="e">
        <f t="shared" si="9"/>
        <v>#DIV/0!</v>
      </c>
      <c r="R59" s="538" t="e">
        <f>IF(INPUTS!$B$15="yes",Q59,P59)</f>
        <v>#DIV/0!</v>
      </c>
      <c r="S59" s="536" t="e">
        <f t="shared" si="4"/>
        <v>#DIV/0!</v>
      </c>
      <c r="T59" s="537" t="e">
        <f t="shared" si="10"/>
        <v>#DIV/0!</v>
      </c>
      <c r="U59" s="538" t="e">
        <f>IF(INPUTS!$B$15="yes",T59,S59)</f>
        <v>#DIV/0!</v>
      </c>
      <c r="V59" s="536" t="e">
        <f t="shared" si="5"/>
        <v>#DIV/0!</v>
      </c>
      <c r="W59" s="537" t="e">
        <f t="shared" si="11"/>
        <v>#DIV/0!</v>
      </c>
      <c r="X59" s="538" t="e">
        <f>IF(INPUTS!$B$15="yes",W59,V59)</f>
        <v>#DIV/0!</v>
      </c>
      <c r="Y59" s="536" t="e">
        <f t="shared" si="6"/>
        <v>#DIV/0!</v>
      </c>
      <c r="Z59" s="537" t="e">
        <f t="shared" si="12"/>
        <v>#DIV/0!</v>
      </c>
      <c r="AA59" s="538" t="e">
        <f>IF(INPUTS!$B$15="yes",Z59,Y59)</f>
        <v>#DIV/0!</v>
      </c>
      <c r="AB59" s="536" t="e">
        <f t="shared" si="7"/>
        <v>#DIV/0!</v>
      </c>
      <c r="AC59" s="537" t="e">
        <f t="shared" si="13"/>
        <v>#DIV/0!</v>
      </c>
      <c r="AD59" s="538" t="e">
        <f>IF(INPUTS!$B$15="yes",AC59,AB59)</f>
        <v>#DIV/0!</v>
      </c>
      <c r="AE59" s="36" t="str">
        <f t="shared" si="0"/>
        <v>no</v>
      </c>
      <c r="AF59" s="36"/>
      <c r="AG59" s="389" t="e">
        <f>P59*('upper bound Kenaga'!$F$36/100)</f>
        <v>#DIV/0!</v>
      </c>
      <c r="AH59" s="36"/>
      <c r="AI59" s="389" t="e">
        <f>P59*('upper bound Kenaga'!$F$96/100)</f>
        <v>#DIV/0!</v>
      </c>
      <c r="AJ59" s="36"/>
      <c r="AK59" s="36"/>
      <c r="AL59" s="36"/>
      <c r="AM59" s="36"/>
      <c r="AN59" s="36"/>
      <c r="AO59" s="36"/>
    </row>
    <row r="60" spans="1:41" ht="13.5" hidden="1" customHeight="1">
      <c r="A60" s="927"/>
      <c r="B60" s="642"/>
      <c r="C60" s="642"/>
      <c r="D60" s="645"/>
      <c r="E60" s="569"/>
      <c r="F60" s="612"/>
      <c r="G60" s="612"/>
      <c r="H60" s="617"/>
      <c r="I60" s="8"/>
      <c r="J60" s="6">
        <f>COUNTIF(K$21:K60,"=yes")</f>
        <v>1</v>
      </c>
      <c r="K60" s="533" t="str">
        <f>IF(LOOKUP(VALUE(M60),INPUTS!$G$6:$G$35)=M60,"yes","no")</f>
        <v>no</v>
      </c>
      <c r="L60" s="533">
        <f>IF(K60="yes",(LOOKUP(J60,INPUTS!$E$6:$E$35,INPUTS!$F$6:$F$35)),0)</f>
        <v>0</v>
      </c>
      <c r="M60" s="135">
        <f t="shared" si="1"/>
        <v>39</v>
      </c>
      <c r="N60" s="135">
        <f t="shared" si="2"/>
        <v>1</v>
      </c>
      <c r="O60" s="135">
        <f t="shared" si="3"/>
        <v>0</v>
      </c>
      <c r="P60" s="536" t="e">
        <f t="shared" si="14"/>
        <v>#DIV/0!</v>
      </c>
      <c r="Q60" s="537" t="e">
        <f t="shared" si="9"/>
        <v>#DIV/0!</v>
      </c>
      <c r="R60" s="538" t="e">
        <f>IF(INPUTS!$B$15="yes",Q60,P60)</f>
        <v>#DIV/0!</v>
      </c>
      <c r="S60" s="536" t="e">
        <f t="shared" si="4"/>
        <v>#DIV/0!</v>
      </c>
      <c r="T60" s="537" t="e">
        <f t="shared" si="10"/>
        <v>#DIV/0!</v>
      </c>
      <c r="U60" s="538" t="e">
        <f>IF(INPUTS!$B$15="yes",T60,S60)</f>
        <v>#DIV/0!</v>
      </c>
      <c r="V60" s="536" t="e">
        <f t="shared" si="5"/>
        <v>#DIV/0!</v>
      </c>
      <c r="W60" s="537" t="e">
        <f t="shared" si="11"/>
        <v>#DIV/0!</v>
      </c>
      <c r="X60" s="538" t="e">
        <f>IF(INPUTS!$B$15="yes",W60,V60)</f>
        <v>#DIV/0!</v>
      </c>
      <c r="Y60" s="536" t="e">
        <f t="shared" si="6"/>
        <v>#DIV/0!</v>
      </c>
      <c r="Z60" s="537" t="e">
        <f t="shared" si="12"/>
        <v>#DIV/0!</v>
      </c>
      <c r="AA60" s="538" t="e">
        <f>IF(INPUTS!$B$15="yes",Z60,Y60)</f>
        <v>#DIV/0!</v>
      </c>
      <c r="AB60" s="536" t="e">
        <f t="shared" si="7"/>
        <v>#DIV/0!</v>
      </c>
      <c r="AC60" s="537" t="e">
        <f t="shared" si="13"/>
        <v>#DIV/0!</v>
      </c>
      <c r="AD60" s="538" t="e">
        <f>IF(INPUTS!$B$15="yes",AC60,AB60)</f>
        <v>#DIV/0!</v>
      </c>
      <c r="AE60" s="36" t="str">
        <f t="shared" si="0"/>
        <v>no</v>
      </c>
      <c r="AF60" s="36"/>
      <c r="AG60" s="389" t="e">
        <f>P60*('upper bound Kenaga'!$F$36/100)</f>
        <v>#DIV/0!</v>
      </c>
      <c r="AH60" s="36"/>
      <c r="AI60" s="389" t="e">
        <f>P60*('upper bound Kenaga'!$F$96/100)</f>
        <v>#DIV/0!</v>
      </c>
      <c r="AJ60" s="36"/>
      <c r="AK60" s="36"/>
      <c r="AL60" s="36"/>
      <c r="AM60" s="36"/>
      <c r="AN60" s="36"/>
      <c r="AO60" s="36"/>
    </row>
    <row r="61" spans="1:41" hidden="1">
      <c r="A61" s="646"/>
      <c r="B61" s="647"/>
      <c r="C61" s="647"/>
      <c r="D61" s="648"/>
      <c r="E61" s="569"/>
      <c r="F61" s="568"/>
      <c r="G61" s="568"/>
      <c r="H61" s="617"/>
      <c r="I61" s="8"/>
      <c r="J61" s="6">
        <f>COUNTIF(K$21:K61,"=yes")</f>
        <v>1</v>
      </c>
      <c r="K61" s="533" t="str">
        <f>IF(LOOKUP(VALUE(M61),INPUTS!$G$6:$G$35)=M61,"yes","no")</f>
        <v>no</v>
      </c>
      <c r="L61" s="533">
        <f>IF(K61="yes",(LOOKUP(J61,INPUTS!$E$6:$E$35,INPUTS!$F$6:$F$35)),0)</f>
        <v>0</v>
      </c>
      <c r="M61" s="135">
        <f t="shared" si="1"/>
        <v>40</v>
      </c>
      <c r="N61" s="135">
        <f t="shared" si="2"/>
        <v>1</v>
      </c>
      <c r="O61" s="135">
        <f t="shared" si="3"/>
        <v>0</v>
      </c>
      <c r="P61" s="536" t="e">
        <f t="shared" si="14"/>
        <v>#DIV/0!</v>
      </c>
      <c r="Q61" s="537" t="e">
        <f t="shared" si="9"/>
        <v>#DIV/0!</v>
      </c>
      <c r="R61" s="538" t="e">
        <f>IF(INPUTS!$B$15="yes",Q61,P61)</f>
        <v>#DIV/0!</v>
      </c>
      <c r="S61" s="536" t="e">
        <f t="shared" si="4"/>
        <v>#DIV/0!</v>
      </c>
      <c r="T61" s="537" t="e">
        <f t="shared" si="10"/>
        <v>#DIV/0!</v>
      </c>
      <c r="U61" s="538" t="e">
        <f>IF(INPUTS!$B$15="yes",T61,S61)</f>
        <v>#DIV/0!</v>
      </c>
      <c r="V61" s="536" t="e">
        <f t="shared" si="5"/>
        <v>#DIV/0!</v>
      </c>
      <c r="W61" s="537" t="e">
        <f t="shared" si="11"/>
        <v>#DIV/0!</v>
      </c>
      <c r="X61" s="538" t="e">
        <f>IF(INPUTS!$B$15="yes",W61,V61)</f>
        <v>#DIV/0!</v>
      </c>
      <c r="Y61" s="536" t="e">
        <f t="shared" si="6"/>
        <v>#DIV/0!</v>
      </c>
      <c r="Z61" s="537" t="e">
        <f t="shared" si="12"/>
        <v>#DIV/0!</v>
      </c>
      <c r="AA61" s="538" t="e">
        <f>IF(INPUTS!$B$15="yes",Z61,Y61)</f>
        <v>#DIV/0!</v>
      </c>
      <c r="AB61" s="536" t="e">
        <f t="shared" si="7"/>
        <v>#DIV/0!</v>
      </c>
      <c r="AC61" s="537" t="e">
        <f t="shared" si="13"/>
        <v>#DIV/0!</v>
      </c>
      <c r="AD61" s="538" t="e">
        <f>IF(INPUTS!$B$15="yes",AC61,AB61)</f>
        <v>#DIV/0!</v>
      </c>
      <c r="AE61" s="36" t="str">
        <f t="shared" si="0"/>
        <v>no</v>
      </c>
      <c r="AF61" s="36"/>
      <c r="AG61" s="389" t="e">
        <f>P61*('upper bound Kenaga'!$F$36/100)</f>
        <v>#DIV/0!</v>
      </c>
      <c r="AH61" s="36"/>
      <c r="AI61" s="389" t="e">
        <f>P61*('upper bound Kenaga'!$F$96/100)</f>
        <v>#DIV/0!</v>
      </c>
      <c r="AJ61" s="36"/>
      <c r="AK61" s="36"/>
      <c r="AL61" s="36"/>
      <c r="AM61" s="36"/>
      <c r="AN61" s="36"/>
      <c r="AO61" s="36"/>
    </row>
    <row r="62" spans="1:41" hidden="1">
      <c r="A62" s="646"/>
      <c r="B62" s="647"/>
      <c r="C62" s="647"/>
      <c r="D62" s="648"/>
      <c r="E62" s="569"/>
      <c r="F62" s="568"/>
      <c r="G62" s="568"/>
      <c r="H62" s="617"/>
      <c r="J62" s="6">
        <f>COUNTIF(K$21:K62,"=yes")</f>
        <v>1</v>
      </c>
      <c r="K62" s="533" t="str">
        <f>IF(LOOKUP(VALUE(M62),INPUTS!$G$6:$G$35)=M62,"yes","no")</f>
        <v>no</v>
      </c>
      <c r="L62" s="533">
        <f>IF(K62="yes",(LOOKUP(J62,INPUTS!$E$6:$E$35,INPUTS!$F$6:$F$35)),0)</f>
        <v>0</v>
      </c>
      <c r="M62" s="135">
        <f t="shared" si="1"/>
        <v>41</v>
      </c>
      <c r="N62" s="135">
        <f t="shared" si="2"/>
        <v>1</v>
      </c>
      <c r="O62" s="135">
        <f t="shared" si="3"/>
        <v>0</v>
      </c>
      <c r="P62" s="536" t="e">
        <f t="shared" si="14"/>
        <v>#DIV/0!</v>
      </c>
      <c r="Q62" s="537" t="e">
        <f t="shared" si="9"/>
        <v>#DIV/0!</v>
      </c>
      <c r="R62" s="538" t="e">
        <f>IF(INPUTS!$B$15="yes",Q62,P62)</f>
        <v>#DIV/0!</v>
      </c>
      <c r="S62" s="536" t="e">
        <f t="shared" si="4"/>
        <v>#DIV/0!</v>
      </c>
      <c r="T62" s="537" t="e">
        <f t="shared" si="10"/>
        <v>#DIV/0!</v>
      </c>
      <c r="U62" s="538" t="e">
        <f>IF(INPUTS!$B$15="yes",T62,S62)</f>
        <v>#DIV/0!</v>
      </c>
      <c r="V62" s="536" t="e">
        <f t="shared" si="5"/>
        <v>#DIV/0!</v>
      </c>
      <c r="W62" s="537" t="e">
        <f t="shared" si="11"/>
        <v>#DIV/0!</v>
      </c>
      <c r="X62" s="538" t="e">
        <f>IF(INPUTS!$B$15="yes",W62,V62)</f>
        <v>#DIV/0!</v>
      </c>
      <c r="Y62" s="536" t="e">
        <f t="shared" si="6"/>
        <v>#DIV/0!</v>
      </c>
      <c r="Z62" s="537" t="e">
        <f t="shared" si="12"/>
        <v>#DIV/0!</v>
      </c>
      <c r="AA62" s="538" t="e">
        <f>IF(INPUTS!$B$15="yes",Z62,Y62)</f>
        <v>#DIV/0!</v>
      </c>
      <c r="AB62" s="536" t="e">
        <f t="shared" si="7"/>
        <v>#DIV/0!</v>
      </c>
      <c r="AC62" s="537" t="e">
        <f t="shared" si="13"/>
        <v>#DIV/0!</v>
      </c>
      <c r="AD62" s="538" t="e">
        <f>IF(INPUTS!$B$15="yes",AC62,AB62)</f>
        <v>#DIV/0!</v>
      </c>
      <c r="AE62" s="36" t="str">
        <f t="shared" si="0"/>
        <v>no</v>
      </c>
      <c r="AF62" s="36"/>
      <c r="AG62" s="389" t="e">
        <f>P62*('upper bound Kenaga'!$F$36/100)</f>
        <v>#DIV/0!</v>
      </c>
      <c r="AH62" s="36"/>
      <c r="AI62" s="389" t="e">
        <f>P62*('upper bound Kenaga'!$F$96/100)</f>
        <v>#DIV/0!</v>
      </c>
      <c r="AJ62" s="36"/>
      <c r="AK62" s="36"/>
      <c r="AL62" s="36"/>
      <c r="AM62" s="36"/>
      <c r="AN62" s="36"/>
      <c r="AO62" s="36"/>
    </row>
    <row r="63" spans="1:41" hidden="1">
      <c r="A63" s="646"/>
      <c r="B63" s="647"/>
      <c r="C63" s="647"/>
      <c r="D63" s="648"/>
      <c r="E63" s="569"/>
      <c r="F63" s="568"/>
      <c r="G63" s="568"/>
      <c r="H63" s="617"/>
      <c r="J63" s="6">
        <f>COUNTIF(K$21:K63,"=yes")</f>
        <v>1</v>
      </c>
      <c r="K63" s="533" t="str">
        <f>IF(LOOKUP(VALUE(M63),INPUTS!$G$6:$G$35)=M63,"yes","no")</f>
        <v>no</v>
      </c>
      <c r="L63" s="533">
        <f>IF(K63="yes",(LOOKUP(J63,INPUTS!$E$6:$E$35,INPUTS!$F$6:$F$35)),0)</f>
        <v>0</v>
      </c>
      <c r="M63" s="135">
        <f t="shared" si="1"/>
        <v>42</v>
      </c>
      <c r="N63" s="135">
        <f t="shared" si="2"/>
        <v>1</v>
      </c>
      <c r="O63" s="135">
        <f t="shared" si="3"/>
        <v>0</v>
      </c>
      <c r="P63" s="536" t="e">
        <f t="shared" si="14"/>
        <v>#DIV/0!</v>
      </c>
      <c r="Q63" s="537" t="e">
        <f t="shared" si="9"/>
        <v>#DIV/0!</v>
      </c>
      <c r="R63" s="538" t="e">
        <f>IF(INPUTS!$B$15="yes",Q63,P63)</f>
        <v>#DIV/0!</v>
      </c>
      <c r="S63" s="536" t="e">
        <f t="shared" si="4"/>
        <v>#DIV/0!</v>
      </c>
      <c r="T63" s="537" t="e">
        <f t="shared" si="10"/>
        <v>#DIV/0!</v>
      </c>
      <c r="U63" s="538" t="e">
        <f>IF(INPUTS!$B$15="yes",T63,S63)</f>
        <v>#DIV/0!</v>
      </c>
      <c r="V63" s="536" t="e">
        <f t="shared" si="5"/>
        <v>#DIV/0!</v>
      </c>
      <c r="W63" s="537" t="e">
        <f t="shared" si="11"/>
        <v>#DIV/0!</v>
      </c>
      <c r="X63" s="538" t="e">
        <f>IF(INPUTS!$B$15="yes",W63,V63)</f>
        <v>#DIV/0!</v>
      </c>
      <c r="Y63" s="536" t="e">
        <f t="shared" si="6"/>
        <v>#DIV/0!</v>
      </c>
      <c r="Z63" s="537" t="e">
        <f t="shared" si="12"/>
        <v>#DIV/0!</v>
      </c>
      <c r="AA63" s="538" t="e">
        <f>IF(INPUTS!$B$15="yes",Z63,Y63)</f>
        <v>#DIV/0!</v>
      </c>
      <c r="AB63" s="536" t="e">
        <f t="shared" si="7"/>
        <v>#DIV/0!</v>
      </c>
      <c r="AC63" s="537" t="e">
        <f t="shared" si="13"/>
        <v>#DIV/0!</v>
      </c>
      <c r="AD63" s="538" t="e">
        <f>IF(INPUTS!$B$15="yes",AC63,AB63)</f>
        <v>#DIV/0!</v>
      </c>
      <c r="AE63" s="36" t="str">
        <f t="shared" si="0"/>
        <v>no</v>
      </c>
      <c r="AF63" s="36"/>
      <c r="AG63" s="389" t="e">
        <f>P63*('upper bound Kenaga'!$F$36/100)</f>
        <v>#DIV/0!</v>
      </c>
      <c r="AH63" s="36"/>
      <c r="AI63" s="389" t="e">
        <f>P63*('upper bound Kenaga'!$F$96/100)</f>
        <v>#DIV/0!</v>
      </c>
      <c r="AJ63" s="36"/>
      <c r="AK63" s="36"/>
      <c r="AL63" s="36"/>
      <c r="AM63" s="36"/>
      <c r="AN63" s="36"/>
      <c r="AO63" s="36"/>
    </row>
    <row r="64" spans="1:41">
      <c r="A64" s="649" t="s">
        <v>414</v>
      </c>
      <c r="B64" s="647" t="e">
        <f>B31*($G$36/($C$36/1000))</f>
        <v>#DIV/0!</v>
      </c>
      <c r="C64" s="647" t="e">
        <f>B31*($G$37/(C$37/1000))</f>
        <v>#DIV/0!</v>
      </c>
      <c r="D64" s="648" t="e">
        <f>B31*($G$38/(C$38/1000))</f>
        <v>#DIV/0!</v>
      </c>
      <c r="E64" s="569"/>
      <c r="F64" s="568"/>
      <c r="G64" s="568"/>
      <c r="H64" s="617"/>
      <c r="J64" s="6">
        <f>COUNTIF(K$21:K64,"=yes")</f>
        <v>1</v>
      </c>
      <c r="K64" s="533" t="str">
        <f>IF(LOOKUP(VALUE(M64),INPUTS!$G$6:$G$35)=M64,"yes","no")</f>
        <v>no</v>
      </c>
      <c r="L64" s="533">
        <f>IF(K64="yes",(LOOKUP(J64,INPUTS!$E$6:$E$35,INPUTS!$F$6:$F$35)),0)</f>
        <v>0</v>
      </c>
      <c r="M64" s="135">
        <f t="shared" si="1"/>
        <v>43</v>
      </c>
      <c r="N64" s="135">
        <f t="shared" si="2"/>
        <v>1</v>
      </c>
      <c r="O64" s="135">
        <f t="shared" si="3"/>
        <v>0</v>
      </c>
      <c r="P64" s="536" t="e">
        <f t="shared" si="14"/>
        <v>#DIV/0!</v>
      </c>
      <c r="Q64" s="537" t="e">
        <f t="shared" si="9"/>
        <v>#DIV/0!</v>
      </c>
      <c r="R64" s="538" t="e">
        <f>IF(INPUTS!$B$15="yes",Q64,P64)</f>
        <v>#DIV/0!</v>
      </c>
      <c r="S64" s="536" t="e">
        <f t="shared" si="4"/>
        <v>#DIV/0!</v>
      </c>
      <c r="T64" s="537" t="e">
        <f t="shared" si="10"/>
        <v>#DIV/0!</v>
      </c>
      <c r="U64" s="538" t="e">
        <f>IF(INPUTS!$B$15="yes",T64,S64)</f>
        <v>#DIV/0!</v>
      </c>
      <c r="V64" s="536" t="e">
        <f t="shared" si="5"/>
        <v>#DIV/0!</v>
      </c>
      <c r="W64" s="537" t="e">
        <f t="shared" si="11"/>
        <v>#DIV/0!</v>
      </c>
      <c r="X64" s="538" t="e">
        <f>IF(INPUTS!$B$15="yes",W64,V64)</f>
        <v>#DIV/0!</v>
      </c>
      <c r="Y64" s="536" t="e">
        <f t="shared" si="6"/>
        <v>#DIV/0!</v>
      </c>
      <c r="Z64" s="537" t="e">
        <f t="shared" si="12"/>
        <v>#DIV/0!</v>
      </c>
      <c r="AA64" s="538" t="e">
        <f>IF(INPUTS!$B$15="yes",Z64,Y64)</f>
        <v>#DIV/0!</v>
      </c>
      <c r="AB64" s="536" t="e">
        <f t="shared" si="7"/>
        <v>#DIV/0!</v>
      </c>
      <c r="AC64" s="537" t="e">
        <f t="shared" si="13"/>
        <v>#DIV/0!</v>
      </c>
      <c r="AD64" s="538" t="e">
        <f>IF(INPUTS!$B$15="yes",AC64,AB64)</f>
        <v>#DIV/0!</v>
      </c>
      <c r="AE64" s="36" t="str">
        <f t="shared" si="0"/>
        <v>no</v>
      </c>
      <c r="AF64" s="36"/>
      <c r="AG64" s="389" t="e">
        <f>P64*('upper bound Kenaga'!$F$36/100)</f>
        <v>#DIV/0!</v>
      </c>
      <c r="AH64" s="36"/>
      <c r="AI64" s="389" t="e">
        <f>P64*('upper bound Kenaga'!$F$96/100)</f>
        <v>#DIV/0!</v>
      </c>
      <c r="AJ64" s="36"/>
      <c r="AK64" s="36"/>
      <c r="AL64" s="36"/>
      <c r="AM64" s="36"/>
      <c r="AN64" s="36"/>
      <c r="AO64" s="36"/>
    </row>
    <row r="65" spans="1:41" ht="12.75" customHeight="1" thickBot="1">
      <c r="A65" s="650" t="s">
        <v>418</v>
      </c>
      <c r="B65" s="651" t="e">
        <f>B30*(G39/(C39/1000))</f>
        <v>#DIV/0!</v>
      </c>
      <c r="C65" s="651" t="e">
        <f>B30*(G40/(C40/1000))</f>
        <v>#DIV/0!</v>
      </c>
      <c r="D65" s="652" t="e">
        <f>B30*(G41/(C41/1000))</f>
        <v>#DIV/0!</v>
      </c>
      <c r="E65" s="569"/>
      <c r="F65" s="569"/>
      <c r="G65" s="569"/>
      <c r="H65" s="617"/>
      <c r="J65" s="6">
        <f>COUNTIF(K$21:K65,"=yes")</f>
        <v>1</v>
      </c>
      <c r="K65" s="533" t="str">
        <f>IF(LOOKUP(VALUE(M65),INPUTS!$G$6:$G$35)=M65,"yes","no")</f>
        <v>no</v>
      </c>
      <c r="L65" s="533">
        <f>IF(K65="yes",(LOOKUP(J65,INPUTS!$E$6:$E$35,INPUTS!$F$6:$F$35)),0)</f>
        <v>0</v>
      </c>
      <c r="M65" s="135">
        <f t="shared" si="1"/>
        <v>44</v>
      </c>
      <c r="N65" s="135">
        <f t="shared" si="2"/>
        <v>1</v>
      </c>
      <c r="O65" s="135">
        <f t="shared" si="3"/>
        <v>0</v>
      </c>
      <c r="P65" s="536" t="e">
        <f t="shared" si="14"/>
        <v>#DIV/0!</v>
      </c>
      <c r="Q65" s="537" t="e">
        <f t="shared" si="9"/>
        <v>#DIV/0!</v>
      </c>
      <c r="R65" s="538" t="e">
        <f>IF(INPUTS!$B$15="yes",Q65,P65)</f>
        <v>#DIV/0!</v>
      </c>
      <c r="S65" s="536" t="e">
        <f t="shared" si="4"/>
        <v>#DIV/0!</v>
      </c>
      <c r="T65" s="537" t="e">
        <f t="shared" si="10"/>
        <v>#DIV/0!</v>
      </c>
      <c r="U65" s="538" t="e">
        <f>IF(INPUTS!$B$15="yes",T65,S65)</f>
        <v>#DIV/0!</v>
      </c>
      <c r="V65" s="536" t="e">
        <f t="shared" si="5"/>
        <v>#DIV/0!</v>
      </c>
      <c r="W65" s="537" t="e">
        <f t="shared" si="11"/>
        <v>#DIV/0!</v>
      </c>
      <c r="X65" s="538" t="e">
        <f>IF(INPUTS!$B$15="yes",W65,V65)</f>
        <v>#DIV/0!</v>
      </c>
      <c r="Y65" s="536" t="e">
        <f t="shared" si="6"/>
        <v>#DIV/0!</v>
      </c>
      <c r="Z65" s="537" t="e">
        <f t="shared" si="12"/>
        <v>#DIV/0!</v>
      </c>
      <c r="AA65" s="538" t="e">
        <f>IF(INPUTS!$B$15="yes",Z65,Y65)</f>
        <v>#DIV/0!</v>
      </c>
      <c r="AB65" s="536" t="e">
        <f t="shared" si="7"/>
        <v>#DIV/0!</v>
      </c>
      <c r="AC65" s="537" t="e">
        <f t="shared" si="13"/>
        <v>#DIV/0!</v>
      </c>
      <c r="AD65" s="538" t="e">
        <f>IF(INPUTS!$B$15="yes",AC65,AB65)</f>
        <v>#DIV/0!</v>
      </c>
      <c r="AE65" s="36" t="str">
        <f t="shared" si="0"/>
        <v>no</v>
      </c>
      <c r="AF65" s="36"/>
      <c r="AG65" s="389" t="e">
        <f>P65*('upper bound Kenaga'!$F$36/100)</f>
        <v>#DIV/0!</v>
      </c>
      <c r="AH65" s="36"/>
      <c r="AI65" s="389" t="e">
        <f>P65*('upper bound Kenaga'!$F$96/100)</f>
        <v>#DIV/0!</v>
      </c>
      <c r="AJ65" s="36"/>
      <c r="AK65" s="36"/>
      <c r="AL65" s="36"/>
      <c r="AM65" s="36"/>
      <c r="AN65" s="36"/>
      <c r="AO65" s="36"/>
    </row>
    <row r="66" spans="1:41" ht="36.75" customHeight="1" thickBot="1">
      <c r="A66" s="617"/>
      <c r="B66" s="617"/>
      <c r="C66" s="617"/>
      <c r="D66" s="623"/>
      <c r="E66" s="617"/>
      <c r="F66" s="617"/>
      <c r="G66" s="617"/>
      <c r="H66" s="617"/>
      <c r="J66" s="6">
        <f>COUNTIF(K$21:K66,"=yes")</f>
        <v>1</v>
      </c>
      <c r="K66" s="533" t="str">
        <f>IF(LOOKUP(VALUE(M66),INPUTS!$G$6:$G$35)=M66,"yes","no")</f>
        <v>no</v>
      </c>
      <c r="L66" s="533">
        <f>IF(K66="yes",(LOOKUP(J66,INPUTS!$E$6:$E$35,INPUTS!$F$6:$F$35)),0)</f>
        <v>0</v>
      </c>
      <c r="M66" s="135">
        <f t="shared" si="1"/>
        <v>45</v>
      </c>
      <c r="N66" s="135">
        <f t="shared" si="2"/>
        <v>1</v>
      </c>
      <c r="O66" s="135">
        <f t="shared" si="3"/>
        <v>0</v>
      </c>
      <c r="P66" s="536" t="e">
        <f t="shared" si="14"/>
        <v>#DIV/0!</v>
      </c>
      <c r="Q66" s="537" t="e">
        <f t="shared" si="9"/>
        <v>#DIV/0!</v>
      </c>
      <c r="R66" s="538" t="e">
        <f>IF(INPUTS!$B$15="yes",Q66,P66)</f>
        <v>#DIV/0!</v>
      </c>
      <c r="S66" s="536" t="e">
        <f t="shared" si="4"/>
        <v>#DIV/0!</v>
      </c>
      <c r="T66" s="537" t="e">
        <f t="shared" si="10"/>
        <v>#DIV/0!</v>
      </c>
      <c r="U66" s="538" t="e">
        <f>IF(INPUTS!$B$15="yes",T66,S66)</f>
        <v>#DIV/0!</v>
      </c>
      <c r="V66" s="536" t="e">
        <f t="shared" si="5"/>
        <v>#DIV/0!</v>
      </c>
      <c r="W66" s="537" t="e">
        <f t="shared" si="11"/>
        <v>#DIV/0!</v>
      </c>
      <c r="X66" s="538" t="e">
        <f>IF(INPUTS!$B$15="yes",W66,V66)</f>
        <v>#DIV/0!</v>
      </c>
      <c r="Y66" s="536" t="e">
        <f t="shared" si="6"/>
        <v>#DIV/0!</v>
      </c>
      <c r="Z66" s="537" t="e">
        <f t="shared" si="12"/>
        <v>#DIV/0!</v>
      </c>
      <c r="AA66" s="538" t="e">
        <f>IF(INPUTS!$B$15="yes",Z66,Y66)</f>
        <v>#DIV/0!</v>
      </c>
      <c r="AB66" s="536" t="e">
        <f t="shared" si="7"/>
        <v>#DIV/0!</v>
      </c>
      <c r="AC66" s="537" t="e">
        <f t="shared" si="13"/>
        <v>#DIV/0!</v>
      </c>
      <c r="AD66" s="538" t="e">
        <f>IF(INPUTS!$B$15="yes",AC66,AB66)</f>
        <v>#DIV/0!</v>
      </c>
      <c r="AE66" s="36" t="str">
        <f t="shared" si="0"/>
        <v>no</v>
      </c>
      <c r="AF66" s="36"/>
      <c r="AG66" s="389" t="e">
        <f>P66*('upper bound Kenaga'!$F$36/100)</f>
        <v>#DIV/0!</v>
      </c>
      <c r="AH66" s="36"/>
      <c r="AI66" s="389" t="e">
        <f>P66*('upper bound Kenaga'!$F$96/100)</f>
        <v>#DIV/0!</v>
      </c>
      <c r="AJ66" s="36"/>
      <c r="AK66" s="36"/>
      <c r="AL66" s="36"/>
      <c r="AM66" s="36"/>
      <c r="AN66" s="36"/>
      <c r="AO66" s="36"/>
    </row>
    <row r="67" spans="1:41" ht="31.5" customHeight="1">
      <c r="A67" s="907" t="s">
        <v>276</v>
      </c>
      <c r="B67" s="913" t="s">
        <v>370</v>
      </c>
      <c r="C67" s="914"/>
      <c r="D67" s="915"/>
      <c r="E67" s="617"/>
      <c r="F67" s="617"/>
      <c r="G67" s="617"/>
      <c r="H67" s="617"/>
      <c r="J67" s="6">
        <f>COUNTIF(K$21:K67,"=yes")</f>
        <v>1</v>
      </c>
      <c r="K67" s="533" t="str">
        <f>IF(LOOKUP(VALUE(M67),INPUTS!$G$6:$G$35)=M67,"yes","no")</f>
        <v>no</v>
      </c>
      <c r="L67" s="533">
        <f>IF(K67="yes",(LOOKUP(J67,INPUTS!$E$6:$E$35,INPUTS!$F$6:$F$35)),0)</f>
        <v>0</v>
      </c>
      <c r="M67" s="135">
        <f t="shared" si="1"/>
        <v>46</v>
      </c>
      <c r="N67" s="135">
        <f t="shared" si="2"/>
        <v>1</v>
      </c>
      <c r="O67" s="135">
        <f t="shared" si="3"/>
        <v>0</v>
      </c>
      <c r="P67" s="536" t="e">
        <f t="shared" si="14"/>
        <v>#DIV/0!</v>
      </c>
      <c r="Q67" s="537" t="e">
        <f t="shared" si="9"/>
        <v>#DIV/0!</v>
      </c>
      <c r="R67" s="538" t="e">
        <f>IF(INPUTS!$B$15="yes",Q67,P67)</f>
        <v>#DIV/0!</v>
      </c>
      <c r="S67" s="536" t="e">
        <f t="shared" si="4"/>
        <v>#DIV/0!</v>
      </c>
      <c r="T67" s="537" t="e">
        <f t="shared" si="10"/>
        <v>#DIV/0!</v>
      </c>
      <c r="U67" s="538" t="e">
        <f>IF(INPUTS!$B$15="yes",T67,S67)</f>
        <v>#DIV/0!</v>
      </c>
      <c r="V67" s="536" t="e">
        <f t="shared" si="5"/>
        <v>#DIV/0!</v>
      </c>
      <c r="W67" s="537" t="e">
        <f t="shared" si="11"/>
        <v>#DIV/0!</v>
      </c>
      <c r="X67" s="538" t="e">
        <f>IF(INPUTS!$B$15="yes",W67,V67)</f>
        <v>#DIV/0!</v>
      </c>
      <c r="Y67" s="536" t="e">
        <f t="shared" si="6"/>
        <v>#DIV/0!</v>
      </c>
      <c r="Z67" s="537" t="e">
        <f t="shared" si="12"/>
        <v>#DIV/0!</v>
      </c>
      <c r="AA67" s="538" t="e">
        <f>IF(INPUTS!$B$15="yes",Z67,Y67)</f>
        <v>#DIV/0!</v>
      </c>
      <c r="AB67" s="536" t="e">
        <f t="shared" si="7"/>
        <v>#DIV/0!</v>
      </c>
      <c r="AC67" s="537" t="e">
        <f t="shared" si="13"/>
        <v>#DIV/0!</v>
      </c>
      <c r="AD67" s="538" t="e">
        <f>IF(INPUTS!$B$15="yes",AC67,AB67)</f>
        <v>#DIV/0!</v>
      </c>
      <c r="AE67" s="36" t="str">
        <f t="shared" si="0"/>
        <v>no</v>
      </c>
      <c r="AF67" s="36"/>
      <c r="AG67" s="389" t="e">
        <f>P67*('upper bound Kenaga'!$F$36/100)</f>
        <v>#DIV/0!</v>
      </c>
      <c r="AH67" s="36"/>
      <c r="AI67" s="389" t="e">
        <f>P67*('upper bound Kenaga'!$F$96/100)</f>
        <v>#DIV/0!</v>
      </c>
      <c r="AJ67" s="36"/>
      <c r="AK67" s="36"/>
      <c r="AL67" s="36"/>
      <c r="AM67" s="36"/>
      <c r="AN67" s="36"/>
      <c r="AO67" s="36"/>
    </row>
    <row r="68" spans="1:41" ht="18.75" customHeight="1" thickBot="1">
      <c r="A68" s="908"/>
      <c r="B68" s="399">
        <f>B46</f>
        <v>20</v>
      </c>
      <c r="C68" s="399">
        <f>B47</f>
        <v>100</v>
      </c>
      <c r="D68" s="599">
        <f>B48</f>
        <v>1000</v>
      </c>
      <c r="E68" s="613"/>
      <c r="F68" s="617"/>
      <c r="G68" s="617"/>
      <c r="H68" s="617"/>
      <c r="J68" s="6">
        <f>COUNTIF(K$21:K68,"=yes")</f>
        <v>1</v>
      </c>
      <c r="K68" s="533" t="str">
        <f>IF(LOOKUP(VALUE(M68),INPUTS!$G$6:$G$35)=M68,"yes","no")</f>
        <v>no</v>
      </c>
      <c r="L68" s="533">
        <f>IF(K68="yes",(LOOKUP(J68,INPUTS!$E$6:$E$35,INPUTS!$F$6:$F$35)),0)</f>
        <v>0</v>
      </c>
      <c r="M68" s="135">
        <f t="shared" si="1"/>
        <v>47</v>
      </c>
      <c r="N68" s="135">
        <f t="shared" si="2"/>
        <v>1</v>
      </c>
      <c r="O68" s="135">
        <f t="shared" si="3"/>
        <v>0</v>
      </c>
      <c r="P68" s="536" t="e">
        <f t="shared" si="14"/>
        <v>#DIV/0!</v>
      </c>
      <c r="Q68" s="537" t="e">
        <f t="shared" si="9"/>
        <v>#DIV/0!</v>
      </c>
      <c r="R68" s="538" t="e">
        <f>IF(INPUTS!$B$15="yes",Q68,P68)</f>
        <v>#DIV/0!</v>
      </c>
      <c r="S68" s="536" t="e">
        <f t="shared" si="4"/>
        <v>#DIV/0!</v>
      </c>
      <c r="T68" s="537" t="e">
        <f t="shared" si="10"/>
        <v>#DIV/0!</v>
      </c>
      <c r="U68" s="538" t="e">
        <f>IF(INPUTS!$B$15="yes",T68,S68)</f>
        <v>#DIV/0!</v>
      </c>
      <c r="V68" s="536" t="e">
        <f t="shared" si="5"/>
        <v>#DIV/0!</v>
      </c>
      <c r="W68" s="537" t="e">
        <f t="shared" si="11"/>
        <v>#DIV/0!</v>
      </c>
      <c r="X68" s="538" t="e">
        <f>IF(INPUTS!$B$15="yes",W68,V68)</f>
        <v>#DIV/0!</v>
      </c>
      <c r="Y68" s="536" t="e">
        <f t="shared" si="6"/>
        <v>#DIV/0!</v>
      </c>
      <c r="Z68" s="537" t="e">
        <f t="shared" si="12"/>
        <v>#DIV/0!</v>
      </c>
      <c r="AA68" s="538" t="e">
        <f>IF(INPUTS!$B$15="yes",Z68,Y68)</f>
        <v>#DIV/0!</v>
      </c>
      <c r="AB68" s="536" t="e">
        <f t="shared" si="7"/>
        <v>#DIV/0!</v>
      </c>
      <c r="AC68" s="537" t="e">
        <f t="shared" si="13"/>
        <v>#DIV/0!</v>
      </c>
      <c r="AD68" s="538" t="e">
        <f>IF(INPUTS!$B$15="yes",AC68,AB68)</f>
        <v>#DIV/0!</v>
      </c>
      <c r="AE68" s="36" t="str">
        <f t="shared" si="0"/>
        <v>no</v>
      </c>
      <c r="AF68" s="36"/>
      <c r="AG68" s="389" t="e">
        <f>P68*('upper bound Kenaga'!$F$36/100)</f>
        <v>#DIV/0!</v>
      </c>
      <c r="AH68" s="36"/>
      <c r="AI68" s="389" t="e">
        <f>P68*('upper bound Kenaga'!$F$96/100)</f>
        <v>#DIV/0!</v>
      </c>
      <c r="AJ68" s="36"/>
      <c r="AK68" s="36"/>
      <c r="AL68" s="36"/>
      <c r="AM68" s="36"/>
      <c r="AN68" s="36"/>
      <c r="AO68" s="36"/>
    </row>
    <row r="69" spans="1:41" ht="13.5" customHeight="1" thickTop="1">
      <c r="A69" s="590" t="s">
        <v>27</v>
      </c>
      <c r="B69" s="468" t="e">
        <f>B53/$C$46</f>
        <v>#DIV/0!</v>
      </c>
      <c r="C69" s="468" t="e">
        <f>C53/$C$47</f>
        <v>#DIV/0!</v>
      </c>
      <c r="D69" s="469" t="e">
        <f>D53/$C$48</f>
        <v>#DIV/0!</v>
      </c>
      <c r="E69" s="653"/>
      <c r="F69" s="617"/>
      <c r="G69" s="617"/>
      <c r="H69" s="617"/>
      <c r="J69" s="6">
        <f>COUNTIF(K$21:K69,"=yes")</f>
        <v>1</v>
      </c>
      <c r="K69" s="533" t="str">
        <f>IF(LOOKUP(VALUE(M69),INPUTS!$G$6:$G$35)=M69,"yes","no")</f>
        <v>no</v>
      </c>
      <c r="L69" s="533">
        <f>IF(K69="yes",(LOOKUP(J69,INPUTS!$E$6:$E$35,INPUTS!$F$6:$F$35)),0)</f>
        <v>0</v>
      </c>
      <c r="M69" s="135">
        <f t="shared" si="1"/>
        <v>48</v>
      </c>
      <c r="N69" s="135">
        <f t="shared" si="2"/>
        <v>1</v>
      </c>
      <c r="O69" s="135">
        <f t="shared" si="3"/>
        <v>0</v>
      </c>
      <c r="P69" s="536" t="e">
        <f t="shared" si="14"/>
        <v>#DIV/0!</v>
      </c>
      <c r="Q69" s="537" t="e">
        <f t="shared" si="9"/>
        <v>#DIV/0!</v>
      </c>
      <c r="R69" s="538" t="e">
        <f>IF(INPUTS!$B$15="yes",Q69,P69)</f>
        <v>#DIV/0!</v>
      </c>
      <c r="S69" s="536" t="e">
        <f t="shared" si="4"/>
        <v>#DIV/0!</v>
      </c>
      <c r="T69" s="537" t="e">
        <f t="shared" si="10"/>
        <v>#DIV/0!</v>
      </c>
      <c r="U69" s="538" t="e">
        <f>IF(INPUTS!$B$15="yes",T69,S69)</f>
        <v>#DIV/0!</v>
      </c>
      <c r="V69" s="536" t="e">
        <f t="shared" si="5"/>
        <v>#DIV/0!</v>
      </c>
      <c r="W69" s="537" t="e">
        <f t="shared" si="11"/>
        <v>#DIV/0!</v>
      </c>
      <c r="X69" s="538" t="e">
        <f>IF(INPUTS!$B$15="yes",W69,V69)</f>
        <v>#DIV/0!</v>
      </c>
      <c r="Y69" s="536" t="e">
        <f t="shared" si="6"/>
        <v>#DIV/0!</v>
      </c>
      <c r="Z69" s="537" t="e">
        <f t="shared" si="12"/>
        <v>#DIV/0!</v>
      </c>
      <c r="AA69" s="538" t="e">
        <f>IF(INPUTS!$B$15="yes",Z69,Y69)</f>
        <v>#DIV/0!</v>
      </c>
      <c r="AB69" s="536" t="e">
        <f t="shared" si="7"/>
        <v>#DIV/0!</v>
      </c>
      <c r="AC69" s="537" t="e">
        <f t="shared" si="13"/>
        <v>#DIV/0!</v>
      </c>
      <c r="AD69" s="538" t="e">
        <f>IF(INPUTS!$B$15="yes",AC69,AB69)</f>
        <v>#DIV/0!</v>
      </c>
      <c r="AE69" s="36" t="str">
        <f t="shared" si="0"/>
        <v>no</v>
      </c>
      <c r="AF69" s="36"/>
      <c r="AG69" s="389" t="e">
        <f>P69*('upper bound Kenaga'!$F$36/100)</f>
        <v>#DIV/0!</v>
      </c>
      <c r="AH69" s="36"/>
      <c r="AI69" s="389" t="e">
        <f>P69*('upper bound Kenaga'!$F$96/100)</f>
        <v>#DIV/0!</v>
      </c>
      <c r="AJ69" s="36"/>
      <c r="AK69" s="36"/>
      <c r="AL69" s="36"/>
      <c r="AM69" s="36"/>
      <c r="AN69" s="36"/>
      <c r="AO69" s="36"/>
    </row>
    <row r="70" spans="1:41">
      <c r="A70" s="311" t="s">
        <v>23</v>
      </c>
      <c r="B70" s="324" t="e">
        <f>B54/$C$46</f>
        <v>#DIV/0!</v>
      </c>
      <c r="C70" s="324" t="e">
        <f>C54/$C$47</f>
        <v>#DIV/0!</v>
      </c>
      <c r="D70" s="295" t="e">
        <f>D54/$C$48</f>
        <v>#DIV/0!</v>
      </c>
      <c r="E70" s="612"/>
      <c r="F70" s="617"/>
      <c r="G70" s="617"/>
      <c r="H70" s="617"/>
      <c r="J70" s="6">
        <f>COUNTIF(K$21:K70,"=yes")</f>
        <v>1</v>
      </c>
      <c r="K70" s="533" t="str">
        <f>IF(LOOKUP(VALUE(M70),INPUTS!$G$6:$G$35)=M70,"yes","no")</f>
        <v>no</v>
      </c>
      <c r="L70" s="533">
        <f>IF(K70="yes",(LOOKUP(J70,INPUTS!$E$6:$E$35,INPUTS!$F$6:$F$35)),0)</f>
        <v>0</v>
      </c>
      <c r="M70" s="135">
        <f t="shared" si="1"/>
        <v>49</v>
      </c>
      <c r="N70" s="135">
        <f t="shared" si="2"/>
        <v>1</v>
      </c>
      <c r="O70" s="135">
        <f t="shared" si="3"/>
        <v>0</v>
      </c>
      <c r="P70" s="536" t="e">
        <f t="shared" si="14"/>
        <v>#DIV/0!</v>
      </c>
      <c r="Q70" s="537" t="e">
        <f t="shared" si="9"/>
        <v>#DIV/0!</v>
      </c>
      <c r="R70" s="538" t="e">
        <f>IF(INPUTS!$B$15="yes",Q70,P70)</f>
        <v>#DIV/0!</v>
      </c>
      <c r="S70" s="536" t="e">
        <f t="shared" si="4"/>
        <v>#DIV/0!</v>
      </c>
      <c r="T70" s="537" t="e">
        <f t="shared" si="10"/>
        <v>#DIV/0!</v>
      </c>
      <c r="U70" s="538" t="e">
        <f>IF(INPUTS!$B$15="yes",T70,S70)</f>
        <v>#DIV/0!</v>
      </c>
      <c r="V70" s="536" t="e">
        <f t="shared" si="5"/>
        <v>#DIV/0!</v>
      </c>
      <c r="W70" s="537" t="e">
        <f t="shared" si="11"/>
        <v>#DIV/0!</v>
      </c>
      <c r="X70" s="538" t="e">
        <f>IF(INPUTS!$B$15="yes",W70,V70)</f>
        <v>#DIV/0!</v>
      </c>
      <c r="Y70" s="536" t="e">
        <f t="shared" si="6"/>
        <v>#DIV/0!</v>
      </c>
      <c r="Z70" s="537" t="e">
        <f t="shared" si="12"/>
        <v>#DIV/0!</v>
      </c>
      <c r="AA70" s="538" t="e">
        <f>IF(INPUTS!$B$15="yes",Z70,Y70)</f>
        <v>#DIV/0!</v>
      </c>
      <c r="AB70" s="536" t="e">
        <f t="shared" si="7"/>
        <v>#DIV/0!</v>
      </c>
      <c r="AC70" s="537" t="e">
        <f t="shared" si="13"/>
        <v>#DIV/0!</v>
      </c>
      <c r="AD70" s="538" t="e">
        <f>IF(INPUTS!$B$15="yes",AC70,AB70)</f>
        <v>#DIV/0!</v>
      </c>
      <c r="AE70" s="36" t="str">
        <f t="shared" si="0"/>
        <v>no</v>
      </c>
      <c r="AF70" s="36"/>
      <c r="AG70" s="389" t="e">
        <f>P70*('upper bound Kenaga'!$F$36/100)</f>
        <v>#DIV/0!</v>
      </c>
      <c r="AH70" s="36"/>
      <c r="AI70" s="389" t="e">
        <f>P70*('upper bound Kenaga'!$F$96/100)</f>
        <v>#DIV/0!</v>
      </c>
      <c r="AJ70" s="36"/>
      <c r="AK70" s="36"/>
      <c r="AL70" s="36"/>
      <c r="AM70" s="36"/>
      <c r="AN70" s="36"/>
      <c r="AO70" s="36"/>
    </row>
    <row r="71" spans="1:41">
      <c r="A71" s="311" t="s">
        <v>415</v>
      </c>
      <c r="B71" s="324" t="e">
        <f>B55/$C$46</f>
        <v>#DIV/0!</v>
      </c>
      <c r="C71" s="324" t="e">
        <f>C55/$C$47</f>
        <v>#DIV/0!</v>
      </c>
      <c r="D71" s="295" t="e">
        <f>D55/$C$48</f>
        <v>#DIV/0!</v>
      </c>
      <c r="E71" s="568"/>
      <c r="F71" s="617"/>
      <c r="G71" s="617"/>
      <c r="H71" s="617"/>
      <c r="J71" s="6">
        <f>COUNTIF(K$21:K71,"=yes")</f>
        <v>1</v>
      </c>
      <c r="K71" s="533" t="str">
        <f>IF(LOOKUP(VALUE(M71),INPUTS!$G$6:$G$35)=M71,"yes","no")</f>
        <v>no</v>
      </c>
      <c r="L71" s="533">
        <f>IF(K71="yes",(LOOKUP(J71,INPUTS!$E$6:$E$35,INPUTS!$F$6:$F$35)),0)</f>
        <v>0</v>
      </c>
      <c r="M71" s="135">
        <f t="shared" si="1"/>
        <v>50</v>
      </c>
      <c r="N71" s="135">
        <f t="shared" si="2"/>
        <v>1</v>
      </c>
      <c r="O71" s="135">
        <f t="shared" si="3"/>
        <v>0</v>
      </c>
      <c r="P71" s="536" t="e">
        <f t="shared" si="14"/>
        <v>#DIV/0!</v>
      </c>
      <c r="Q71" s="537" t="e">
        <f t="shared" si="9"/>
        <v>#DIV/0!</v>
      </c>
      <c r="R71" s="538" t="e">
        <f>IF(INPUTS!$B$15="yes",Q71,P71)</f>
        <v>#DIV/0!</v>
      </c>
      <c r="S71" s="536" t="e">
        <f t="shared" si="4"/>
        <v>#DIV/0!</v>
      </c>
      <c r="T71" s="537" t="e">
        <f t="shared" si="10"/>
        <v>#DIV/0!</v>
      </c>
      <c r="U71" s="538" t="e">
        <f>IF(INPUTS!$B$15="yes",T71,S71)</f>
        <v>#DIV/0!</v>
      </c>
      <c r="V71" s="536" t="e">
        <f t="shared" si="5"/>
        <v>#DIV/0!</v>
      </c>
      <c r="W71" s="537" t="e">
        <f t="shared" si="11"/>
        <v>#DIV/0!</v>
      </c>
      <c r="X71" s="538" t="e">
        <f>IF(INPUTS!$B$15="yes",W71,V71)</f>
        <v>#DIV/0!</v>
      </c>
      <c r="Y71" s="536" t="e">
        <f t="shared" si="6"/>
        <v>#DIV/0!</v>
      </c>
      <c r="Z71" s="537" t="e">
        <f t="shared" si="12"/>
        <v>#DIV/0!</v>
      </c>
      <c r="AA71" s="538" t="e">
        <f>IF(INPUTS!$B$15="yes",Z71,Y71)</f>
        <v>#DIV/0!</v>
      </c>
      <c r="AB71" s="536" t="e">
        <f t="shared" si="7"/>
        <v>#DIV/0!</v>
      </c>
      <c r="AC71" s="537" t="e">
        <f t="shared" si="13"/>
        <v>#DIV/0!</v>
      </c>
      <c r="AD71" s="538" t="e">
        <f>IF(INPUTS!$B$15="yes",AC71,AB71)</f>
        <v>#DIV/0!</v>
      </c>
      <c r="AE71" s="36" t="str">
        <f t="shared" si="0"/>
        <v>no</v>
      </c>
      <c r="AF71" s="36"/>
      <c r="AG71" s="389" t="e">
        <f>P71*('upper bound Kenaga'!$F$36/100)</f>
        <v>#DIV/0!</v>
      </c>
      <c r="AH71" s="36"/>
      <c r="AI71" s="389" t="e">
        <f>P71*('upper bound Kenaga'!$F$96/100)</f>
        <v>#DIV/0!</v>
      </c>
      <c r="AJ71" s="36"/>
      <c r="AK71" s="36"/>
      <c r="AL71" s="36"/>
      <c r="AM71" s="36"/>
      <c r="AN71" s="36"/>
      <c r="AO71" s="36"/>
    </row>
    <row r="72" spans="1:41">
      <c r="A72" s="311" t="s">
        <v>417</v>
      </c>
      <c r="B72" s="324" t="e">
        <f>B56/$C$46</f>
        <v>#DIV/0!</v>
      </c>
      <c r="C72" s="324" t="e">
        <f>C56/$C$47</f>
        <v>#DIV/0!</v>
      </c>
      <c r="D72" s="295" t="e">
        <f>D56/$C$48</f>
        <v>#DIV/0!</v>
      </c>
      <c r="E72" s="654"/>
      <c r="F72" s="568"/>
      <c r="G72" s="654"/>
      <c r="H72" s="569"/>
      <c r="J72" s="6">
        <f>COUNTIF(K$21:K72,"=yes")</f>
        <v>1</v>
      </c>
      <c r="K72" s="533" t="str">
        <f>IF(LOOKUP(VALUE(M72),INPUTS!$G$6:$G$35)=M72,"yes","no")</f>
        <v>no</v>
      </c>
      <c r="L72" s="533">
        <f>IF(K72="yes",(LOOKUP(J72,INPUTS!$E$6:$E$35,INPUTS!$F$6:$F$35)),0)</f>
        <v>0</v>
      </c>
      <c r="M72" s="135">
        <f t="shared" si="1"/>
        <v>51</v>
      </c>
      <c r="N72" s="135">
        <f t="shared" si="2"/>
        <v>1</v>
      </c>
      <c r="O72" s="135">
        <f t="shared" si="3"/>
        <v>0</v>
      </c>
      <c r="P72" s="536" t="e">
        <f t="shared" si="14"/>
        <v>#DIV/0!</v>
      </c>
      <c r="Q72" s="537" t="e">
        <f t="shared" si="9"/>
        <v>#DIV/0!</v>
      </c>
      <c r="R72" s="538" t="e">
        <f>IF(INPUTS!$B$15="yes",Q72,P72)</f>
        <v>#DIV/0!</v>
      </c>
      <c r="S72" s="536" t="e">
        <f t="shared" si="4"/>
        <v>#DIV/0!</v>
      </c>
      <c r="T72" s="537" t="e">
        <f t="shared" si="10"/>
        <v>#DIV/0!</v>
      </c>
      <c r="U72" s="538" t="e">
        <f>IF(INPUTS!$B$15="yes",T72,S72)</f>
        <v>#DIV/0!</v>
      </c>
      <c r="V72" s="536" t="e">
        <f t="shared" si="5"/>
        <v>#DIV/0!</v>
      </c>
      <c r="W72" s="537" t="e">
        <f t="shared" si="11"/>
        <v>#DIV/0!</v>
      </c>
      <c r="X72" s="538" t="e">
        <f>IF(INPUTS!$B$15="yes",W72,V72)</f>
        <v>#DIV/0!</v>
      </c>
      <c r="Y72" s="536" t="e">
        <f t="shared" si="6"/>
        <v>#DIV/0!</v>
      </c>
      <c r="Z72" s="537" t="e">
        <f t="shared" si="12"/>
        <v>#DIV/0!</v>
      </c>
      <c r="AA72" s="538" t="e">
        <f>IF(INPUTS!$B$15="yes",Z72,Y72)</f>
        <v>#DIV/0!</v>
      </c>
      <c r="AB72" s="536" t="e">
        <f t="shared" si="7"/>
        <v>#DIV/0!</v>
      </c>
      <c r="AC72" s="537" t="e">
        <f t="shared" si="13"/>
        <v>#DIV/0!</v>
      </c>
      <c r="AD72" s="538" t="e">
        <f>IF(INPUTS!$B$15="yes",AC72,AB72)</f>
        <v>#DIV/0!</v>
      </c>
      <c r="AE72" s="36" t="str">
        <f t="shared" si="0"/>
        <v>no</v>
      </c>
      <c r="AF72" s="36"/>
      <c r="AG72" s="389" t="e">
        <f>P72*('upper bound Kenaga'!$F$36/100)</f>
        <v>#DIV/0!</v>
      </c>
      <c r="AH72" s="36"/>
      <c r="AI72" s="389" t="e">
        <f>P72*('upper bound Kenaga'!$F$96/100)</f>
        <v>#DIV/0!</v>
      </c>
      <c r="AJ72" s="36"/>
      <c r="AK72" s="36"/>
      <c r="AL72" s="36"/>
      <c r="AM72" s="36"/>
      <c r="AN72" s="36"/>
      <c r="AO72" s="36"/>
    </row>
    <row r="73" spans="1:41" ht="12.75" customHeight="1">
      <c r="A73" s="594" t="s">
        <v>414</v>
      </c>
      <c r="B73" s="591" t="e">
        <f>B64/$C$46</f>
        <v>#DIV/0!</v>
      </c>
      <c r="C73" s="591" t="e">
        <f>C64/$C$47</f>
        <v>#DIV/0!</v>
      </c>
      <c r="D73" s="595" t="e">
        <f>D64/$C$48</f>
        <v>#DIV/0!</v>
      </c>
      <c r="E73" s="568"/>
      <c r="F73" s="617"/>
      <c r="G73" s="617"/>
      <c r="H73" s="617"/>
      <c r="J73" s="6">
        <f>COUNTIF(K$21:K73,"=yes")</f>
        <v>1</v>
      </c>
      <c r="K73" s="533" t="str">
        <f>IF(LOOKUP(VALUE(M73),INPUTS!$G$6:$G$35)=M73,"yes","no")</f>
        <v>no</v>
      </c>
      <c r="L73" s="533">
        <f>IF(K73="yes",(LOOKUP(J73,INPUTS!$E$6:$E$35,INPUTS!$F$6:$F$35)),0)</f>
        <v>0</v>
      </c>
      <c r="M73" s="135">
        <f t="shared" si="1"/>
        <v>52</v>
      </c>
      <c r="N73" s="135">
        <f>IF($B$9&gt;N71,IF(O71=($B$8-1),(N71+1),(N71)),(N71))</f>
        <v>1</v>
      </c>
      <c r="O73" s="135">
        <f t="shared" si="3"/>
        <v>0</v>
      </c>
      <c r="P73" s="536" t="e">
        <f t="shared" si="14"/>
        <v>#DIV/0!</v>
      </c>
      <c r="Q73" s="537" t="e">
        <f t="shared" si="9"/>
        <v>#DIV/0!</v>
      </c>
      <c r="R73" s="538" t="e">
        <f>IF(INPUTS!$B$15="yes",Q73,P73)</f>
        <v>#DIV/0!</v>
      </c>
      <c r="S73" s="536" t="e">
        <f t="shared" si="4"/>
        <v>#DIV/0!</v>
      </c>
      <c r="T73" s="537" t="e">
        <f t="shared" si="10"/>
        <v>#DIV/0!</v>
      </c>
      <c r="U73" s="538" t="e">
        <f>IF(INPUTS!$B$15="yes",T73,S73)</f>
        <v>#DIV/0!</v>
      </c>
      <c r="V73" s="536" t="e">
        <f t="shared" si="5"/>
        <v>#DIV/0!</v>
      </c>
      <c r="W73" s="537" t="e">
        <f t="shared" si="11"/>
        <v>#DIV/0!</v>
      </c>
      <c r="X73" s="538" t="e">
        <f>IF(INPUTS!$B$15="yes",W73,V73)</f>
        <v>#DIV/0!</v>
      </c>
      <c r="Y73" s="536" t="e">
        <f t="shared" si="6"/>
        <v>#DIV/0!</v>
      </c>
      <c r="Z73" s="537" t="e">
        <f t="shared" si="12"/>
        <v>#DIV/0!</v>
      </c>
      <c r="AA73" s="538" t="e">
        <f>IF(INPUTS!$B$15="yes",Z73,Y73)</f>
        <v>#DIV/0!</v>
      </c>
      <c r="AB73" s="536" t="e">
        <f t="shared" si="7"/>
        <v>#DIV/0!</v>
      </c>
      <c r="AC73" s="537" t="e">
        <f t="shared" si="13"/>
        <v>#DIV/0!</v>
      </c>
      <c r="AD73" s="538" t="e">
        <f>IF(INPUTS!$B$15="yes",AC73,AB73)</f>
        <v>#DIV/0!</v>
      </c>
      <c r="AE73" s="36" t="str">
        <f t="shared" si="0"/>
        <v>no</v>
      </c>
      <c r="AF73" s="36"/>
      <c r="AG73" s="389" t="e">
        <f>P73*('upper bound Kenaga'!$F$36/100)</f>
        <v>#DIV/0!</v>
      </c>
      <c r="AH73" s="36"/>
      <c r="AI73" s="389" t="e">
        <f>P73*('upper bound Kenaga'!$F$96/100)</f>
        <v>#DIV/0!</v>
      </c>
      <c r="AJ73" s="36"/>
      <c r="AK73" s="36"/>
      <c r="AL73" s="36"/>
      <c r="AM73" s="36"/>
      <c r="AN73" s="36"/>
      <c r="AO73" s="36"/>
    </row>
    <row r="74" spans="1:41" ht="12.75" customHeight="1" thickBot="1">
      <c r="A74" s="358" t="s">
        <v>418</v>
      </c>
      <c r="B74" s="592" t="e">
        <f>$B$65/$C$46</f>
        <v>#DIV/0!</v>
      </c>
      <c r="C74" s="592" t="e">
        <f>$C$65/$C$47</f>
        <v>#DIV/0!</v>
      </c>
      <c r="D74" s="593" t="e">
        <f>$D$65/$C$48</f>
        <v>#DIV/0!</v>
      </c>
      <c r="E74" s="568"/>
      <c r="F74" s="617"/>
      <c r="G74" s="617"/>
      <c r="H74" s="617"/>
      <c r="J74" s="6">
        <f>COUNTIF(K$21:K74,"=yes")</f>
        <v>1</v>
      </c>
      <c r="K74" s="533" t="str">
        <f>IF(LOOKUP(VALUE(M74),INPUTS!$G$6:$G$35)=M74,"yes","no")</f>
        <v>no</v>
      </c>
      <c r="L74" s="533">
        <f>IF(K74="yes",(LOOKUP(J74,INPUTS!$E$6:$E$35,INPUTS!$F$6:$F$35)),0)</f>
        <v>0</v>
      </c>
      <c r="M74" s="135">
        <f t="shared" si="1"/>
        <v>53</v>
      </c>
      <c r="N74" s="135">
        <f t="shared" si="2"/>
        <v>1</v>
      </c>
      <c r="O74" s="135">
        <f t="shared" si="3"/>
        <v>0</v>
      </c>
      <c r="P74" s="536" t="e">
        <f t="shared" si="14"/>
        <v>#DIV/0!</v>
      </c>
      <c r="Q74" s="537" t="e">
        <f t="shared" si="9"/>
        <v>#DIV/0!</v>
      </c>
      <c r="R74" s="538" t="e">
        <f>IF(INPUTS!$B$15="yes",Q74,P74)</f>
        <v>#DIV/0!</v>
      </c>
      <c r="S74" s="536" t="e">
        <f t="shared" si="4"/>
        <v>#DIV/0!</v>
      </c>
      <c r="T74" s="537" t="e">
        <f t="shared" si="10"/>
        <v>#DIV/0!</v>
      </c>
      <c r="U74" s="538" t="e">
        <f>IF(INPUTS!$B$15="yes",T74,S74)</f>
        <v>#DIV/0!</v>
      </c>
      <c r="V74" s="536" t="e">
        <f t="shared" si="5"/>
        <v>#DIV/0!</v>
      </c>
      <c r="W74" s="537" t="e">
        <f t="shared" si="11"/>
        <v>#DIV/0!</v>
      </c>
      <c r="X74" s="538" t="e">
        <f>IF(INPUTS!$B$15="yes",W74,V74)</f>
        <v>#DIV/0!</v>
      </c>
      <c r="Y74" s="536" t="e">
        <f t="shared" si="6"/>
        <v>#DIV/0!</v>
      </c>
      <c r="Z74" s="537" t="e">
        <f t="shared" si="12"/>
        <v>#DIV/0!</v>
      </c>
      <c r="AA74" s="538" t="e">
        <f>IF(INPUTS!$B$15="yes",Z74,Y74)</f>
        <v>#DIV/0!</v>
      </c>
      <c r="AB74" s="536" t="e">
        <f t="shared" si="7"/>
        <v>#DIV/0!</v>
      </c>
      <c r="AC74" s="537" t="e">
        <f t="shared" si="13"/>
        <v>#DIV/0!</v>
      </c>
      <c r="AD74" s="538" t="e">
        <f>IF(INPUTS!$B$15="yes",AC74,AB74)</f>
        <v>#DIV/0!</v>
      </c>
      <c r="AE74" s="36" t="str">
        <f t="shared" si="0"/>
        <v>no</v>
      </c>
      <c r="AF74" s="36"/>
      <c r="AG74" s="389" t="e">
        <f>P74*('upper bound Kenaga'!$F$36/100)</f>
        <v>#DIV/0!</v>
      </c>
      <c r="AH74" s="36"/>
      <c r="AI74" s="389" t="e">
        <f>P74*('upper bound Kenaga'!$F$96/100)</f>
        <v>#DIV/0!</v>
      </c>
      <c r="AJ74" s="36"/>
      <c r="AK74" s="36"/>
      <c r="AL74" s="36"/>
      <c r="AM74" s="36"/>
      <c r="AN74" s="36"/>
      <c r="AO74" s="36"/>
    </row>
    <row r="75" spans="1:41" ht="12.75" customHeight="1" thickBot="1">
      <c r="A75" s="616"/>
      <c r="B75" s="617"/>
      <c r="C75" s="617"/>
      <c r="D75" s="623"/>
      <c r="E75" s="568"/>
      <c r="F75" s="617"/>
      <c r="G75" s="617"/>
      <c r="H75" s="617"/>
      <c r="J75" s="6">
        <f>COUNTIF(K$21:K75,"=yes")</f>
        <v>1</v>
      </c>
      <c r="K75" s="533" t="str">
        <f>IF(LOOKUP(VALUE(M75),INPUTS!$G$6:$G$35)=M75,"yes","no")</f>
        <v>no</v>
      </c>
      <c r="L75" s="533">
        <f>IF(K75="yes",(LOOKUP(J75,INPUTS!$E$6:$E$35,INPUTS!$F$6:$F$35)),0)</f>
        <v>0</v>
      </c>
      <c r="M75" s="135">
        <f t="shared" si="1"/>
        <v>54</v>
      </c>
      <c r="N75" s="135">
        <f t="shared" si="2"/>
        <v>1</v>
      </c>
      <c r="O75" s="135">
        <f t="shared" si="3"/>
        <v>0</v>
      </c>
      <c r="P75" s="536" t="e">
        <f t="shared" si="14"/>
        <v>#DIV/0!</v>
      </c>
      <c r="Q75" s="537" t="e">
        <f t="shared" si="9"/>
        <v>#DIV/0!</v>
      </c>
      <c r="R75" s="538" t="e">
        <f>IF(INPUTS!$B$15="yes",Q75,P75)</f>
        <v>#DIV/0!</v>
      </c>
      <c r="S75" s="536" t="e">
        <f t="shared" si="4"/>
        <v>#DIV/0!</v>
      </c>
      <c r="T75" s="537" t="e">
        <f t="shared" si="10"/>
        <v>#DIV/0!</v>
      </c>
      <c r="U75" s="538" t="e">
        <f>IF(INPUTS!$B$15="yes",T75,S75)</f>
        <v>#DIV/0!</v>
      </c>
      <c r="V75" s="536" t="e">
        <f t="shared" si="5"/>
        <v>#DIV/0!</v>
      </c>
      <c r="W75" s="537" t="e">
        <f t="shared" si="11"/>
        <v>#DIV/0!</v>
      </c>
      <c r="X75" s="538" t="e">
        <f>IF(INPUTS!$B$15="yes",W75,V75)</f>
        <v>#DIV/0!</v>
      </c>
      <c r="Y75" s="536" t="e">
        <f t="shared" si="6"/>
        <v>#DIV/0!</v>
      </c>
      <c r="Z75" s="537" t="e">
        <f t="shared" si="12"/>
        <v>#DIV/0!</v>
      </c>
      <c r="AA75" s="538" t="e">
        <f>IF(INPUTS!$B$15="yes",Z75,Y75)</f>
        <v>#DIV/0!</v>
      </c>
      <c r="AB75" s="536" t="e">
        <f t="shared" si="7"/>
        <v>#DIV/0!</v>
      </c>
      <c r="AC75" s="537" t="e">
        <f t="shared" si="13"/>
        <v>#DIV/0!</v>
      </c>
      <c r="AD75" s="538" t="e">
        <f>IF(INPUTS!$B$15="yes",AC75,AB75)</f>
        <v>#DIV/0!</v>
      </c>
      <c r="AE75" s="36" t="str">
        <f t="shared" si="0"/>
        <v>no</v>
      </c>
      <c r="AF75" s="36"/>
      <c r="AG75" s="389" t="e">
        <f>P75*('upper bound Kenaga'!$F$36/100)</f>
        <v>#DIV/0!</v>
      </c>
      <c r="AH75" s="36"/>
      <c r="AI75" s="389" t="e">
        <f>P75*('upper bound Kenaga'!$F$96/100)</f>
        <v>#DIV/0!</v>
      </c>
      <c r="AJ75" s="36"/>
      <c r="AK75" s="36"/>
      <c r="AL75" s="36"/>
      <c r="AM75" s="36"/>
      <c r="AN75" s="36"/>
      <c r="AO75" s="36"/>
    </row>
    <row r="76" spans="1:41" ht="25.5" customHeight="1">
      <c r="A76" s="546" t="s">
        <v>277</v>
      </c>
      <c r="B76" s="909" t="s">
        <v>126</v>
      </c>
      <c r="C76" s="910"/>
      <c r="D76" s="623"/>
      <c r="E76" s="617"/>
      <c r="F76" s="617"/>
      <c r="G76" s="617"/>
      <c r="H76" s="617"/>
      <c r="J76" s="6">
        <f>COUNTIF(K$21:K76,"=yes")</f>
        <v>1</v>
      </c>
      <c r="K76" s="533" t="str">
        <f>IF(LOOKUP(VALUE(M76),INPUTS!$G$6:$G$35)=M76,"yes","no")</f>
        <v>no</v>
      </c>
      <c r="L76" s="533">
        <f>IF(K76="yes",(LOOKUP(J76,INPUTS!$E$6:$E$35,INPUTS!$F$6:$F$35)),0)</f>
        <v>0</v>
      </c>
      <c r="M76" s="135">
        <f t="shared" si="1"/>
        <v>55</v>
      </c>
      <c r="N76" s="135">
        <f t="shared" si="2"/>
        <v>1</v>
      </c>
      <c r="O76" s="135">
        <f t="shared" si="3"/>
        <v>0</v>
      </c>
      <c r="P76" s="536" t="e">
        <f t="shared" si="14"/>
        <v>#DIV/0!</v>
      </c>
      <c r="Q76" s="537" t="e">
        <f t="shared" si="9"/>
        <v>#DIV/0!</v>
      </c>
      <c r="R76" s="538" t="e">
        <f>IF(INPUTS!$B$15="yes",Q76,P76)</f>
        <v>#DIV/0!</v>
      </c>
      <c r="S76" s="536" t="e">
        <f t="shared" si="4"/>
        <v>#DIV/0!</v>
      </c>
      <c r="T76" s="537" t="e">
        <f t="shared" si="10"/>
        <v>#DIV/0!</v>
      </c>
      <c r="U76" s="538" t="e">
        <f>IF(INPUTS!$B$15="yes",T76,S76)</f>
        <v>#DIV/0!</v>
      </c>
      <c r="V76" s="536" t="e">
        <f t="shared" si="5"/>
        <v>#DIV/0!</v>
      </c>
      <c r="W76" s="537" t="e">
        <f t="shared" si="11"/>
        <v>#DIV/0!</v>
      </c>
      <c r="X76" s="538" t="e">
        <f>IF(INPUTS!$B$15="yes",W76,V76)</f>
        <v>#DIV/0!</v>
      </c>
      <c r="Y76" s="536" t="e">
        <f t="shared" si="6"/>
        <v>#DIV/0!</v>
      </c>
      <c r="Z76" s="537" t="e">
        <f t="shared" si="12"/>
        <v>#DIV/0!</v>
      </c>
      <c r="AA76" s="538" t="e">
        <f>IF(INPUTS!$B$15="yes",Z76,Y76)</f>
        <v>#DIV/0!</v>
      </c>
      <c r="AB76" s="536" t="e">
        <f t="shared" si="7"/>
        <v>#DIV/0!</v>
      </c>
      <c r="AC76" s="537" t="e">
        <f t="shared" si="13"/>
        <v>#DIV/0!</v>
      </c>
      <c r="AD76" s="538" t="e">
        <f>IF(INPUTS!$B$15="yes",AC76,AB76)</f>
        <v>#DIV/0!</v>
      </c>
      <c r="AE76" s="36" t="str">
        <f t="shared" si="0"/>
        <v>no</v>
      </c>
      <c r="AF76" s="36"/>
      <c r="AG76" s="389" t="e">
        <f>P76*('upper bound Kenaga'!$F$36/100)</f>
        <v>#DIV/0!</v>
      </c>
      <c r="AH76" s="36"/>
      <c r="AI76" s="389" t="e">
        <f>P76*('upper bound Kenaga'!$F$96/100)</f>
        <v>#DIV/0!</v>
      </c>
      <c r="AJ76" s="36"/>
      <c r="AK76" s="36"/>
      <c r="AL76" s="36"/>
      <c r="AM76" s="36"/>
      <c r="AN76" s="36"/>
      <c r="AO76" s="36"/>
    </row>
    <row r="77" spans="1:41">
      <c r="A77" s="548"/>
      <c r="B77" s="911"/>
      <c r="C77" s="912"/>
      <c r="D77" s="623"/>
      <c r="E77" s="617"/>
      <c r="F77" s="617"/>
      <c r="G77" s="617"/>
      <c r="H77" s="617"/>
      <c r="J77" s="6">
        <f>COUNTIF(K$21:K77,"=yes")</f>
        <v>1</v>
      </c>
      <c r="K77" s="533" t="str">
        <f>IF(LOOKUP(VALUE(M77),INPUTS!$G$6:$G$35)=M77,"yes","no")</f>
        <v>no</v>
      </c>
      <c r="L77" s="533">
        <f>IF(K77="yes",(LOOKUP(J77,INPUTS!$E$6:$E$35,INPUTS!$F$6:$F$35)),0)</f>
        <v>0</v>
      </c>
      <c r="M77" s="135">
        <f t="shared" si="1"/>
        <v>56</v>
      </c>
      <c r="N77" s="135">
        <f t="shared" si="2"/>
        <v>1</v>
      </c>
      <c r="O77" s="135">
        <f t="shared" si="3"/>
        <v>0</v>
      </c>
      <c r="P77" s="536" t="e">
        <f t="shared" si="14"/>
        <v>#DIV/0!</v>
      </c>
      <c r="Q77" s="537" t="e">
        <f t="shared" si="9"/>
        <v>#DIV/0!</v>
      </c>
      <c r="R77" s="538" t="e">
        <f>IF(INPUTS!$B$15="yes",Q77,P77)</f>
        <v>#DIV/0!</v>
      </c>
      <c r="S77" s="536" t="e">
        <f t="shared" si="4"/>
        <v>#DIV/0!</v>
      </c>
      <c r="T77" s="537" t="e">
        <f t="shared" si="10"/>
        <v>#DIV/0!</v>
      </c>
      <c r="U77" s="538" t="e">
        <f>IF(INPUTS!$B$15="yes",T77,S77)</f>
        <v>#DIV/0!</v>
      </c>
      <c r="V77" s="536" t="e">
        <f t="shared" si="5"/>
        <v>#DIV/0!</v>
      </c>
      <c r="W77" s="537" t="e">
        <f t="shared" si="11"/>
        <v>#DIV/0!</v>
      </c>
      <c r="X77" s="538" t="e">
        <f>IF(INPUTS!$B$15="yes",W77,V77)</f>
        <v>#DIV/0!</v>
      </c>
      <c r="Y77" s="536" t="e">
        <f t="shared" si="6"/>
        <v>#DIV/0!</v>
      </c>
      <c r="Z77" s="537" t="e">
        <f t="shared" si="12"/>
        <v>#DIV/0!</v>
      </c>
      <c r="AA77" s="538" t="e">
        <f>IF(INPUTS!$B$15="yes",Z77,Y77)</f>
        <v>#DIV/0!</v>
      </c>
      <c r="AB77" s="536" t="e">
        <f t="shared" si="7"/>
        <v>#DIV/0!</v>
      </c>
      <c r="AC77" s="537" t="e">
        <f t="shared" si="13"/>
        <v>#DIV/0!</v>
      </c>
      <c r="AD77" s="538" t="e">
        <f>IF(INPUTS!$B$15="yes",AC77,AB77)</f>
        <v>#DIV/0!</v>
      </c>
      <c r="AE77" s="36" t="str">
        <f t="shared" si="0"/>
        <v>no</v>
      </c>
      <c r="AF77" s="36"/>
      <c r="AG77" s="389" t="e">
        <f>P77*('upper bound Kenaga'!$F$36/100)</f>
        <v>#DIV/0!</v>
      </c>
      <c r="AH77" s="36"/>
      <c r="AI77" s="389" t="e">
        <f>P77*('upper bound Kenaga'!$F$96/100)</f>
        <v>#DIV/0!</v>
      </c>
      <c r="AJ77" s="36"/>
      <c r="AK77" s="36"/>
      <c r="AL77" s="36"/>
      <c r="AM77" s="36"/>
      <c r="AN77" s="36"/>
      <c r="AO77" s="36"/>
    </row>
    <row r="78" spans="1:41" ht="13.5" thickBot="1">
      <c r="A78" s="547"/>
      <c r="B78" s="322" t="s">
        <v>31</v>
      </c>
      <c r="C78" s="323" t="s">
        <v>32</v>
      </c>
      <c r="D78" s="623"/>
      <c r="E78" s="617"/>
      <c r="F78" s="617"/>
      <c r="G78" s="617"/>
      <c r="H78" s="617"/>
      <c r="J78" s="6">
        <f>COUNTIF(K$21:K78,"=yes")</f>
        <v>1</v>
      </c>
      <c r="K78" s="533" t="str">
        <f>IF(LOOKUP(VALUE(M78),INPUTS!$G$6:$G$35)=M78,"yes","no")</f>
        <v>no</v>
      </c>
      <c r="L78" s="533">
        <f>IF(K78="yes",(LOOKUP(J78,INPUTS!$E$6:$E$35,INPUTS!$F$6:$F$35)),0)</f>
        <v>0</v>
      </c>
      <c r="M78" s="135">
        <f t="shared" si="1"/>
        <v>57</v>
      </c>
      <c r="N78" s="135">
        <f t="shared" si="2"/>
        <v>1</v>
      </c>
      <c r="O78" s="135">
        <f t="shared" si="3"/>
        <v>0</v>
      </c>
      <c r="P78" s="536" t="e">
        <f t="shared" si="14"/>
        <v>#DIV/0!</v>
      </c>
      <c r="Q78" s="537" t="e">
        <f t="shared" si="9"/>
        <v>#DIV/0!</v>
      </c>
      <c r="R78" s="538" t="e">
        <f>IF(INPUTS!$B$15="yes",Q78,P78)</f>
        <v>#DIV/0!</v>
      </c>
      <c r="S78" s="536" t="e">
        <f t="shared" si="4"/>
        <v>#DIV/0!</v>
      </c>
      <c r="T78" s="537" t="e">
        <f t="shared" si="10"/>
        <v>#DIV/0!</v>
      </c>
      <c r="U78" s="538" t="e">
        <f>IF(INPUTS!$B$15="yes",T78,S78)</f>
        <v>#DIV/0!</v>
      </c>
      <c r="V78" s="536" t="e">
        <f t="shared" si="5"/>
        <v>#DIV/0!</v>
      </c>
      <c r="W78" s="537" t="e">
        <f t="shared" si="11"/>
        <v>#DIV/0!</v>
      </c>
      <c r="X78" s="538" t="e">
        <f>IF(INPUTS!$B$15="yes",W78,V78)</f>
        <v>#DIV/0!</v>
      </c>
      <c r="Y78" s="536" t="e">
        <f t="shared" si="6"/>
        <v>#DIV/0!</v>
      </c>
      <c r="Z78" s="537" t="e">
        <f t="shared" si="12"/>
        <v>#DIV/0!</v>
      </c>
      <c r="AA78" s="538" t="e">
        <f>IF(INPUTS!$B$15="yes",Z78,Y78)</f>
        <v>#DIV/0!</v>
      </c>
      <c r="AB78" s="536" t="e">
        <f t="shared" si="7"/>
        <v>#DIV/0!</v>
      </c>
      <c r="AC78" s="537" t="e">
        <f t="shared" si="13"/>
        <v>#DIV/0!</v>
      </c>
      <c r="AD78" s="538" t="e">
        <f>IF(INPUTS!$B$15="yes",AC78,AB78)</f>
        <v>#DIV/0!</v>
      </c>
      <c r="AE78" s="36" t="str">
        <f t="shared" si="0"/>
        <v>no</v>
      </c>
      <c r="AF78" s="36"/>
      <c r="AG78" s="389" t="e">
        <f>P78*('upper bound Kenaga'!$F$36/100)</f>
        <v>#DIV/0!</v>
      </c>
      <c r="AH78" s="36"/>
      <c r="AI78" s="389" t="e">
        <f>P78*('upper bound Kenaga'!$F$96/100)</f>
        <v>#DIV/0!</v>
      </c>
      <c r="AJ78" s="36"/>
      <c r="AK78" s="36"/>
      <c r="AL78" s="36"/>
      <c r="AM78" s="36"/>
      <c r="AN78" s="36"/>
      <c r="AO78" s="36"/>
    </row>
    <row r="79" spans="1:41" ht="13.5" thickTop="1">
      <c r="A79" s="635" t="s">
        <v>13</v>
      </c>
      <c r="B79" s="655" t="e">
        <f>B27/D16</f>
        <v>#DIV/0!</v>
      </c>
      <c r="C79" s="656" t="e">
        <f>B27/D18</f>
        <v>#DIV/0!</v>
      </c>
      <c r="D79" s="623"/>
      <c r="E79" s="617"/>
      <c r="F79" s="617"/>
      <c r="G79" s="617"/>
      <c r="H79" s="617"/>
      <c r="I79" s="12"/>
      <c r="J79" s="6">
        <f>COUNTIF(K$21:K79,"=yes")</f>
        <v>1</v>
      </c>
      <c r="K79" s="533" t="str">
        <f>IF(LOOKUP(VALUE(M79),INPUTS!$G$6:$G$35)=M79,"yes","no")</f>
        <v>no</v>
      </c>
      <c r="L79" s="533">
        <f>IF(K79="yes",(LOOKUP(J79,INPUTS!$E$6:$E$35,INPUTS!$F$6:$F$35)),0)</f>
        <v>0</v>
      </c>
      <c r="M79" s="135">
        <f t="shared" si="1"/>
        <v>58</v>
      </c>
      <c r="N79" s="135">
        <f t="shared" si="2"/>
        <v>1</v>
      </c>
      <c r="O79" s="135">
        <f t="shared" si="3"/>
        <v>0</v>
      </c>
      <c r="P79" s="536" t="e">
        <f t="shared" si="14"/>
        <v>#DIV/0!</v>
      </c>
      <c r="Q79" s="537" t="e">
        <f t="shared" si="9"/>
        <v>#DIV/0!</v>
      </c>
      <c r="R79" s="538" t="e">
        <f>IF(INPUTS!$B$15="yes",Q79,P79)</f>
        <v>#DIV/0!</v>
      </c>
      <c r="S79" s="536" t="e">
        <f t="shared" si="4"/>
        <v>#DIV/0!</v>
      </c>
      <c r="T79" s="537" t="e">
        <f t="shared" si="10"/>
        <v>#DIV/0!</v>
      </c>
      <c r="U79" s="538" t="e">
        <f>IF(INPUTS!$B$15="yes",T79,S79)</f>
        <v>#DIV/0!</v>
      </c>
      <c r="V79" s="536" t="e">
        <f t="shared" si="5"/>
        <v>#DIV/0!</v>
      </c>
      <c r="W79" s="537" t="e">
        <f t="shared" si="11"/>
        <v>#DIV/0!</v>
      </c>
      <c r="X79" s="538" t="e">
        <f>IF(INPUTS!$B$15="yes",W79,V79)</f>
        <v>#DIV/0!</v>
      </c>
      <c r="Y79" s="536" t="e">
        <f t="shared" si="6"/>
        <v>#DIV/0!</v>
      </c>
      <c r="Z79" s="537" t="e">
        <f t="shared" si="12"/>
        <v>#DIV/0!</v>
      </c>
      <c r="AA79" s="538" t="e">
        <f>IF(INPUTS!$B$15="yes",Z79,Y79)</f>
        <v>#DIV/0!</v>
      </c>
      <c r="AB79" s="536" t="e">
        <f t="shared" si="7"/>
        <v>#DIV/0!</v>
      </c>
      <c r="AC79" s="537" t="e">
        <f t="shared" si="13"/>
        <v>#DIV/0!</v>
      </c>
      <c r="AD79" s="538" t="e">
        <f>IF(INPUTS!$B$15="yes",AC79,AB79)</f>
        <v>#DIV/0!</v>
      </c>
      <c r="AE79" s="36" t="str">
        <f t="shared" si="0"/>
        <v>no</v>
      </c>
      <c r="AF79" s="36"/>
      <c r="AG79" s="389" t="e">
        <f>P79*('upper bound Kenaga'!$F$36/100)</f>
        <v>#DIV/0!</v>
      </c>
      <c r="AH79" s="36"/>
      <c r="AI79" s="389" t="e">
        <f>P79*('upper bound Kenaga'!$F$96/100)</f>
        <v>#DIV/0!</v>
      </c>
      <c r="AJ79" s="36"/>
      <c r="AK79" s="36"/>
      <c r="AL79" s="36"/>
      <c r="AM79" s="36"/>
      <c r="AN79" s="36"/>
      <c r="AO79" s="36"/>
    </row>
    <row r="80" spans="1:41">
      <c r="A80" s="635" t="s">
        <v>16</v>
      </c>
      <c r="B80" s="655" t="e">
        <f>B28/D16</f>
        <v>#DIV/0!</v>
      </c>
      <c r="C80" s="656" t="e">
        <f>B28/D18</f>
        <v>#DIV/0!</v>
      </c>
      <c r="D80" s="623"/>
      <c r="E80" s="617"/>
      <c r="F80" s="617"/>
      <c r="G80" s="617"/>
      <c r="H80" s="617"/>
      <c r="I80" s="12"/>
      <c r="J80" s="6">
        <f>COUNTIF(K$21:K80,"=yes")</f>
        <v>1</v>
      </c>
      <c r="K80" s="533" t="str">
        <f>IF(LOOKUP(VALUE(M80),INPUTS!$G$6:$G$35)=M80,"yes","no")</f>
        <v>no</v>
      </c>
      <c r="L80" s="533">
        <f>IF(K80="yes",(LOOKUP(J80,INPUTS!$E$6:$E$35,INPUTS!$F$6:$F$35)),0)</f>
        <v>0</v>
      </c>
      <c r="M80" s="135">
        <f t="shared" si="1"/>
        <v>59</v>
      </c>
      <c r="N80" s="135">
        <f t="shared" si="2"/>
        <v>1</v>
      </c>
      <c r="O80" s="135">
        <f t="shared" si="3"/>
        <v>0</v>
      </c>
      <c r="P80" s="536" t="e">
        <f t="shared" si="14"/>
        <v>#DIV/0!</v>
      </c>
      <c r="Q80" s="537" t="e">
        <f t="shared" si="9"/>
        <v>#DIV/0!</v>
      </c>
      <c r="R80" s="538" t="e">
        <f>IF(INPUTS!$B$15="yes",Q80,P80)</f>
        <v>#DIV/0!</v>
      </c>
      <c r="S80" s="536" t="e">
        <f t="shared" si="4"/>
        <v>#DIV/0!</v>
      </c>
      <c r="T80" s="537" t="e">
        <f t="shared" si="10"/>
        <v>#DIV/0!</v>
      </c>
      <c r="U80" s="538" t="e">
        <f>IF(INPUTS!$B$15="yes",T80,S80)</f>
        <v>#DIV/0!</v>
      </c>
      <c r="V80" s="536" t="e">
        <f t="shared" si="5"/>
        <v>#DIV/0!</v>
      </c>
      <c r="W80" s="537" t="e">
        <f t="shared" si="11"/>
        <v>#DIV/0!</v>
      </c>
      <c r="X80" s="538" t="e">
        <f>IF(INPUTS!$B$15="yes",W80,V80)</f>
        <v>#DIV/0!</v>
      </c>
      <c r="Y80" s="536" t="e">
        <f t="shared" si="6"/>
        <v>#DIV/0!</v>
      </c>
      <c r="Z80" s="537" t="e">
        <f t="shared" si="12"/>
        <v>#DIV/0!</v>
      </c>
      <c r="AA80" s="538" t="e">
        <f>IF(INPUTS!$B$15="yes",Z80,Y80)</f>
        <v>#DIV/0!</v>
      </c>
      <c r="AB80" s="536" t="e">
        <f t="shared" si="7"/>
        <v>#DIV/0!</v>
      </c>
      <c r="AC80" s="537" t="e">
        <f t="shared" si="13"/>
        <v>#DIV/0!</v>
      </c>
      <c r="AD80" s="538" t="e">
        <f>IF(INPUTS!$B$15="yes",AC80,AB80)</f>
        <v>#DIV/0!</v>
      </c>
      <c r="AE80" s="36" t="str">
        <f t="shared" si="0"/>
        <v>no</v>
      </c>
      <c r="AF80" s="36"/>
      <c r="AG80" s="389" t="e">
        <f>P80*('upper bound Kenaga'!$F$36/100)</f>
        <v>#DIV/0!</v>
      </c>
      <c r="AH80" s="36"/>
      <c r="AI80" s="389" t="e">
        <f>P80*('upper bound Kenaga'!$F$96/100)</f>
        <v>#DIV/0!</v>
      </c>
      <c r="AJ80" s="36"/>
      <c r="AK80" s="36"/>
      <c r="AL80" s="36"/>
      <c r="AM80" s="36"/>
      <c r="AN80" s="36"/>
      <c r="AO80" s="36"/>
    </row>
    <row r="81" spans="1:41">
      <c r="A81" s="638" t="s">
        <v>415</v>
      </c>
      <c r="B81" s="655" t="e">
        <f>B29/D16</f>
        <v>#DIV/0!</v>
      </c>
      <c r="C81" s="656" t="e">
        <f>B29/D18</f>
        <v>#DIV/0!</v>
      </c>
      <c r="D81" s="612"/>
      <c r="E81" s="617"/>
      <c r="F81" s="617"/>
      <c r="G81" s="617"/>
      <c r="H81" s="617"/>
      <c r="I81" s="12"/>
      <c r="J81" s="6">
        <f>COUNTIF(K$21:K81,"=yes")</f>
        <v>1</v>
      </c>
      <c r="K81" s="533" t="str">
        <f>IF(LOOKUP(VALUE(M81),INPUTS!$G$6:$G$35)=M81,"yes","no")</f>
        <v>no</v>
      </c>
      <c r="L81" s="533">
        <f>IF(K81="yes",(LOOKUP(J81,INPUTS!$E$6:$E$35,INPUTS!$F$6:$F$35)),0)</f>
        <v>0</v>
      </c>
      <c r="M81" s="135">
        <f t="shared" si="1"/>
        <v>60</v>
      </c>
      <c r="N81" s="135">
        <f t="shared" si="2"/>
        <v>1</v>
      </c>
      <c r="O81" s="135">
        <f t="shared" si="3"/>
        <v>0</v>
      </c>
      <c r="P81" s="536" t="e">
        <f t="shared" si="14"/>
        <v>#DIV/0!</v>
      </c>
      <c r="Q81" s="537" t="e">
        <f t="shared" si="9"/>
        <v>#DIV/0!</v>
      </c>
      <c r="R81" s="538" t="e">
        <f>IF(INPUTS!$B$15="yes",Q81,P81)</f>
        <v>#DIV/0!</v>
      </c>
      <c r="S81" s="536" t="e">
        <f t="shared" si="4"/>
        <v>#DIV/0!</v>
      </c>
      <c r="T81" s="537" t="e">
        <f t="shared" si="10"/>
        <v>#DIV/0!</v>
      </c>
      <c r="U81" s="538" t="e">
        <f>IF(INPUTS!$B$15="yes",T81,S81)</f>
        <v>#DIV/0!</v>
      </c>
      <c r="V81" s="536" t="e">
        <f t="shared" si="5"/>
        <v>#DIV/0!</v>
      </c>
      <c r="W81" s="537" t="e">
        <f t="shared" si="11"/>
        <v>#DIV/0!</v>
      </c>
      <c r="X81" s="538" t="e">
        <f>IF(INPUTS!$B$15="yes",W81,V81)</f>
        <v>#DIV/0!</v>
      </c>
      <c r="Y81" s="536" t="e">
        <f t="shared" si="6"/>
        <v>#DIV/0!</v>
      </c>
      <c r="Z81" s="537" t="e">
        <f t="shared" si="12"/>
        <v>#DIV/0!</v>
      </c>
      <c r="AA81" s="538" t="e">
        <f>IF(INPUTS!$B$15="yes",Z81,Y81)</f>
        <v>#DIV/0!</v>
      </c>
      <c r="AB81" s="536" t="e">
        <f t="shared" si="7"/>
        <v>#DIV/0!</v>
      </c>
      <c r="AC81" s="537" t="e">
        <f t="shared" si="13"/>
        <v>#DIV/0!</v>
      </c>
      <c r="AD81" s="538" t="e">
        <f>IF(INPUTS!$B$15="yes",AC81,AB81)</f>
        <v>#DIV/0!</v>
      </c>
      <c r="AE81" s="36" t="str">
        <f t="shared" si="0"/>
        <v>no</v>
      </c>
      <c r="AF81" s="36"/>
      <c r="AG81" s="389" t="e">
        <f>P81*('upper bound Kenaga'!$F$36/100)</f>
        <v>#DIV/0!</v>
      </c>
      <c r="AH81" s="36"/>
      <c r="AI81" s="389" t="e">
        <f>P81*('upper bound Kenaga'!$F$96/100)</f>
        <v>#DIV/0!</v>
      </c>
      <c r="AJ81" s="36"/>
      <c r="AK81" s="36"/>
      <c r="AL81" s="36"/>
      <c r="AM81" s="36"/>
      <c r="AN81" s="36"/>
      <c r="AO81" s="36"/>
    </row>
    <row r="82" spans="1:41">
      <c r="A82" s="638" t="s">
        <v>416</v>
      </c>
      <c r="B82" s="657" t="e">
        <f>B30/D16</f>
        <v>#DIV/0!</v>
      </c>
      <c r="C82" s="656" t="e">
        <f>B30/D18</f>
        <v>#DIV/0!</v>
      </c>
      <c r="D82" s="653"/>
      <c r="E82" s="617"/>
      <c r="F82" s="617"/>
      <c r="G82" s="617"/>
      <c r="H82" s="617"/>
      <c r="I82" s="12"/>
      <c r="J82" s="6">
        <f>COUNTIF(K$21:K82,"=yes")</f>
        <v>1</v>
      </c>
      <c r="K82" s="533" t="str">
        <f>IF(LOOKUP(VALUE(M82),INPUTS!$G$6:$G$35)=M82,"yes","no")</f>
        <v>no</v>
      </c>
      <c r="L82" s="533">
        <f>IF(K82="yes",(LOOKUP(J82,INPUTS!$E$6:$E$35,INPUTS!$F$6:$F$35)),0)</f>
        <v>0</v>
      </c>
      <c r="M82" s="135">
        <f t="shared" si="1"/>
        <v>61</v>
      </c>
      <c r="N82" s="135">
        <f t="shared" si="2"/>
        <v>1</v>
      </c>
      <c r="O82" s="135">
        <f t="shared" si="3"/>
        <v>0</v>
      </c>
      <c r="P82" s="536" t="e">
        <f t="shared" si="14"/>
        <v>#DIV/0!</v>
      </c>
      <c r="Q82" s="537" t="e">
        <f t="shared" si="9"/>
        <v>#DIV/0!</v>
      </c>
      <c r="R82" s="538" t="e">
        <f>IF(INPUTS!$B$15="yes",Q82,P82)</f>
        <v>#DIV/0!</v>
      </c>
      <c r="S82" s="536" t="e">
        <f t="shared" si="4"/>
        <v>#DIV/0!</v>
      </c>
      <c r="T82" s="537" t="e">
        <f t="shared" si="10"/>
        <v>#DIV/0!</v>
      </c>
      <c r="U82" s="538" t="e">
        <f>IF(INPUTS!$B$15="yes",T82,S82)</f>
        <v>#DIV/0!</v>
      </c>
      <c r="V82" s="536" t="e">
        <f t="shared" si="5"/>
        <v>#DIV/0!</v>
      </c>
      <c r="W82" s="537" t="e">
        <f t="shared" si="11"/>
        <v>#DIV/0!</v>
      </c>
      <c r="X82" s="538" t="e">
        <f>IF(INPUTS!$B$15="yes",W82,V82)</f>
        <v>#DIV/0!</v>
      </c>
      <c r="Y82" s="536" t="e">
        <f t="shared" si="6"/>
        <v>#DIV/0!</v>
      </c>
      <c r="Z82" s="537" t="e">
        <f t="shared" si="12"/>
        <v>#DIV/0!</v>
      </c>
      <c r="AA82" s="538" t="e">
        <f>IF(INPUTS!$B$15="yes",Z82,Y82)</f>
        <v>#DIV/0!</v>
      </c>
      <c r="AB82" s="536" t="e">
        <f t="shared" si="7"/>
        <v>#DIV/0!</v>
      </c>
      <c r="AC82" s="537" t="e">
        <f t="shared" si="13"/>
        <v>#DIV/0!</v>
      </c>
      <c r="AD82" s="538" t="e">
        <f>IF(INPUTS!$B$15="yes",AC82,AB82)</f>
        <v>#DIV/0!</v>
      </c>
      <c r="AE82" s="36" t="str">
        <f t="shared" si="0"/>
        <v>no</v>
      </c>
      <c r="AF82" s="36"/>
      <c r="AG82" s="389" t="e">
        <f>P82*('upper bound Kenaga'!$F$36/100)</f>
        <v>#DIV/0!</v>
      </c>
      <c r="AH82" s="36"/>
      <c r="AI82" s="389" t="e">
        <f>P82*('upper bound Kenaga'!$F$96/100)</f>
        <v>#DIV/0!</v>
      </c>
      <c r="AJ82" s="36"/>
      <c r="AK82" s="36"/>
      <c r="AL82" s="36"/>
      <c r="AM82" s="36"/>
      <c r="AN82" s="36"/>
      <c r="AO82" s="36"/>
    </row>
    <row r="83" spans="1:41" ht="13.5" thickBot="1">
      <c r="A83" s="658" t="s">
        <v>414</v>
      </c>
      <c r="B83" s="659" t="e">
        <f>B31/D16</f>
        <v>#DIV/0!</v>
      </c>
      <c r="C83" s="660" t="e">
        <f>B31/D18</f>
        <v>#DIV/0!</v>
      </c>
      <c r="D83" s="612"/>
      <c r="E83" s="617"/>
      <c r="F83" s="617"/>
      <c r="G83" s="617"/>
      <c r="H83" s="617"/>
      <c r="I83" s="12"/>
      <c r="J83" s="6">
        <f>COUNTIF(K$21:K83,"=yes")</f>
        <v>1</v>
      </c>
      <c r="K83" s="533" t="str">
        <f>IF(LOOKUP(VALUE(M83),INPUTS!$G$6:$G$35)=M83,"yes","no")</f>
        <v>no</v>
      </c>
      <c r="L83" s="533">
        <f>IF(K83="yes",(LOOKUP(J83,INPUTS!$E$6:$E$35,INPUTS!$F$6:$F$35)),0)</f>
        <v>0</v>
      </c>
      <c r="M83" s="135">
        <f t="shared" si="1"/>
        <v>62</v>
      </c>
      <c r="N83" s="135">
        <f t="shared" si="2"/>
        <v>1</v>
      </c>
      <c r="O83" s="135">
        <f t="shared" si="3"/>
        <v>0</v>
      </c>
      <c r="P83" s="536" t="e">
        <f t="shared" si="14"/>
        <v>#DIV/0!</v>
      </c>
      <c r="Q83" s="537" t="e">
        <f t="shared" si="9"/>
        <v>#DIV/0!</v>
      </c>
      <c r="R83" s="538" t="e">
        <f>IF(INPUTS!$B$15="yes",Q83,P83)</f>
        <v>#DIV/0!</v>
      </c>
      <c r="S83" s="536" t="e">
        <f t="shared" si="4"/>
        <v>#DIV/0!</v>
      </c>
      <c r="T83" s="537" t="e">
        <f t="shared" si="10"/>
        <v>#DIV/0!</v>
      </c>
      <c r="U83" s="538" t="e">
        <f>IF(INPUTS!$B$15="yes",T83,S83)</f>
        <v>#DIV/0!</v>
      </c>
      <c r="V83" s="536" t="e">
        <f t="shared" si="5"/>
        <v>#DIV/0!</v>
      </c>
      <c r="W83" s="537" t="e">
        <f t="shared" si="11"/>
        <v>#DIV/0!</v>
      </c>
      <c r="X83" s="538" t="e">
        <f>IF(INPUTS!$B$15="yes",W83,V83)</f>
        <v>#DIV/0!</v>
      </c>
      <c r="Y83" s="536" t="e">
        <f t="shared" si="6"/>
        <v>#DIV/0!</v>
      </c>
      <c r="Z83" s="537" t="e">
        <f t="shared" si="12"/>
        <v>#DIV/0!</v>
      </c>
      <c r="AA83" s="538" t="e">
        <f>IF(INPUTS!$B$15="yes",Z83,Y83)</f>
        <v>#DIV/0!</v>
      </c>
      <c r="AB83" s="536" t="e">
        <f t="shared" si="7"/>
        <v>#DIV/0!</v>
      </c>
      <c r="AC83" s="537" t="e">
        <f t="shared" si="13"/>
        <v>#DIV/0!</v>
      </c>
      <c r="AD83" s="538" t="e">
        <f>IF(INPUTS!$B$15="yes",AC83,AB83)</f>
        <v>#DIV/0!</v>
      </c>
      <c r="AE83" s="36" t="str">
        <f t="shared" si="0"/>
        <v>no</v>
      </c>
      <c r="AF83" s="36"/>
      <c r="AG83" s="389" t="e">
        <f>P83*('upper bound Kenaga'!$F$36/100)</f>
        <v>#DIV/0!</v>
      </c>
      <c r="AH83" s="36"/>
      <c r="AI83" s="389" t="e">
        <f>P83*('upper bound Kenaga'!$F$96/100)</f>
        <v>#DIV/0!</v>
      </c>
      <c r="AJ83" s="36"/>
      <c r="AK83" s="36"/>
      <c r="AL83" s="36"/>
      <c r="AM83" s="36"/>
      <c r="AN83" s="36"/>
      <c r="AO83" s="36"/>
    </row>
    <row r="84" spans="1:41">
      <c r="A84" s="617"/>
      <c r="B84" s="617"/>
      <c r="C84" s="617"/>
      <c r="D84" s="568"/>
      <c r="E84" s="617"/>
      <c r="F84" s="617"/>
      <c r="G84" s="617"/>
      <c r="H84" s="617"/>
      <c r="I84" s="12"/>
      <c r="J84" s="6">
        <f>COUNTIF(K$21:K84,"=yes")</f>
        <v>1</v>
      </c>
      <c r="K84" s="533" t="str">
        <f>IF(LOOKUP(VALUE(M84),INPUTS!$G$6:$G$35)=M84,"yes","no")</f>
        <v>no</v>
      </c>
      <c r="L84" s="533">
        <f>IF(K84="yes",(LOOKUP(J84,INPUTS!$E$6:$E$35,INPUTS!$F$6:$F$35)),0)</f>
        <v>0</v>
      </c>
      <c r="M84" s="135">
        <f t="shared" si="1"/>
        <v>63</v>
      </c>
      <c r="N84" s="135">
        <f t="shared" si="2"/>
        <v>1</v>
      </c>
      <c r="O84" s="135">
        <f t="shared" si="3"/>
        <v>0</v>
      </c>
      <c r="P84" s="536" t="e">
        <f t="shared" si="14"/>
        <v>#DIV/0!</v>
      </c>
      <c r="Q84" s="537" t="e">
        <f t="shared" si="9"/>
        <v>#DIV/0!</v>
      </c>
      <c r="R84" s="538" t="e">
        <f>IF(INPUTS!$B$15="yes",Q84,P84)</f>
        <v>#DIV/0!</v>
      </c>
      <c r="S84" s="536" t="e">
        <f t="shared" si="4"/>
        <v>#DIV/0!</v>
      </c>
      <c r="T84" s="537" t="e">
        <f t="shared" si="10"/>
        <v>#DIV/0!</v>
      </c>
      <c r="U84" s="538" t="e">
        <f>IF(INPUTS!$B$15="yes",T84,S84)</f>
        <v>#DIV/0!</v>
      </c>
      <c r="V84" s="536" t="e">
        <f t="shared" si="5"/>
        <v>#DIV/0!</v>
      </c>
      <c r="W84" s="537" t="e">
        <f t="shared" si="11"/>
        <v>#DIV/0!</v>
      </c>
      <c r="X84" s="538" t="e">
        <f>IF(INPUTS!$B$15="yes",W84,V84)</f>
        <v>#DIV/0!</v>
      </c>
      <c r="Y84" s="536" t="e">
        <f t="shared" si="6"/>
        <v>#DIV/0!</v>
      </c>
      <c r="Z84" s="537" t="e">
        <f t="shared" si="12"/>
        <v>#DIV/0!</v>
      </c>
      <c r="AA84" s="538" t="e">
        <f>IF(INPUTS!$B$15="yes",Z84,Y84)</f>
        <v>#DIV/0!</v>
      </c>
      <c r="AB84" s="536" t="e">
        <f t="shared" si="7"/>
        <v>#DIV/0!</v>
      </c>
      <c r="AC84" s="537" t="e">
        <f t="shared" si="13"/>
        <v>#DIV/0!</v>
      </c>
      <c r="AD84" s="538" t="e">
        <f>IF(INPUTS!$B$15="yes",AC84,AB84)</f>
        <v>#DIV/0!</v>
      </c>
      <c r="AE84" s="36" t="str">
        <f t="shared" si="0"/>
        <v>no</v>
      </c>
      <c r="AF84" s="36"/>
      <c r="AG84" s="389" t="e">
        <f>P84*('upper bound Kenaga'!$F$36/100)</f>
        <v>#DIV/0!</v>
      </c>
      <c r="AH84" s="36"/>
      <c r="AI84" s="389" t="e">
        <f>P84*('upper bound Kenaga'!$F$96/100)</f>
        <v>#DIV/0!</v>
      </c>
      <c r="AJ84" s="36"/>
      <c r="AK84" s="36"/>
      <c r="AL84" s="36"/>
      <c r="AM84" s="36"/>
      <c r="AN84" s="36"/>
      <c r="AO84" s="36"/>
    </row>
    <row r="85" spans="1:41">
      <c r="A85" s="616" t="s">
        <v>134</v>
      </c>
      <c r="B85" s="617"/>
      <c r="C85" s="617"/>
      <c r="D85" s="568"/>
      <c r="E85" s="617"/>
      <c r="F85" s="617"/>
      <c r="G85" s="617"/>
      <c r="H85" s="617"/>
      <c r="I85" s="12"/>
      <c r="J85" s="6">
        <f>COUNTIF(K$21:K85,"=yes")</f>
        <v>1</v>
      </c>
      <c r="K85" s="533" t="str">
        <f>IF(LOOKUP(VALUE(M85),INPUTS!$G$6:$G$35)=M85,"yes","no")</f>
        <v>no</v>
      </c>
      <c r="L85" s="533">
        <f>IF(K85="yes",(LOOKUP(J85,INPUTS!$E$6:$E$35,INPUTS!$F$6:$F$35)),0)</f>
        <v>0</v>
      </c>
      <c r="M85" s="135">
        <f t="shared" si="1"/>
        <v>64</v>
      </c>
      <c r="N85" s="135">
        <f t="shared" si="2"/>
        <v>1</v>
      </c>
      <c r="O85" s="135">
        <f t="shared" si="3"/>
        <v>0</v>
      </c>
      <c r="P85" s="536" t="e">
        <f t="shared" si="14"/>
        <v>#DIV/0!</v>
      </c>
      <c r="Q85" s="537" t="e">
        <f t="shared" si="9"/>
        <v>#DIV/0!</v>
      </c>
      <c r="R85" s="538" t="e">
        <f>IF(INPUTS!$B$15="yes",Q85,P85)</f>
        <v>#DIV/0!</v>
      </c>
      <c r="S85" s="536" t="e">
        <f t="shared" si="4"/>
        <v>#DIV/0!</v>
      </c>
      <c r="T85" s="537" t="e">
        <f t="shared" si="10"/>
        <v>#DIV/0!</v>
      </c>
      <c r="U85" s="538" t="e">
        <f>IF(INPUTS!$B$15="yes",T85,S85)</f>
        <v>#DIV/0!</v>
      </c>
      <c r="V85" s="536" t="e">
        <f t="shared" si="5"/>
        <v>#DIV/0!</v>
      </c>
      <c r="W85" s="537" t="e">
        <f t="shared" si="11"/>
        <v>#DIV/0!</v>
      </c>
      <c r="X85" s="538" t="e">
        <f>IF(INPUTS!$B$15="yes",W85,V85)</f>
        <v>#DIV/0!</v>
      </c>
      <c r="Y85" s="536" t="e">
        <f t="shared" si="6"/>
        <v>#DIV/0!</v>
      </c>
      <c r="Z85" s="537" t="e">
        <f t="shared" si="12"/>
        <v>#DIV/0!</v>
      </c>
      <c r="AA85" s="538" t="e">
        <f>IF(INPUTS!$B$15="yes",Z85,Y85)</f>
        <v>#DIV/0!</v>
      </c>
      <c r="AB85" s="536" t="e">
        <f t="shared" si="7"/>
        <v>#DIV/0!</v>
      </c>
      <c r="AC85" s="537" t="e">
        <f t="shared" si="13"/>
        <v>#DIV/0!</v>
      </c>
      <c r="AD85" s="538" t="e">
        <f>IF(INPUTS!$B$15="yes",AC85,AB85)</f>
        <v>#DIV/0!</v>
      </c>
      <c r="AE85" s="36" t="str">
        <f t="shared" si="0"/>
        <v>no</v>
      </c>
      <c r="AF85" s="36"/>
      <c r="AG85" s="389" t="e">
        <f>P85*('upper bound Kenaga'!$F$36/100)</f>
        <v>#DIV/0!</v>
      </c>
      <c r="AH85" s="36"/>
      <c r="AI85" s="389" t="e">
        <f>P85*('upper bound Kenaga'!$F$96/100)</f>
        <v>#DIV/0!</v>
      </c>
      <c r="AJ85" s="36"/>
      <c r="AK85" s="36"/>
      <c r="AL85" s="36"/>
      <c r="AM85" s="36"/>
      <c r="AN85" s="36"/>
      <c r="AO85" s="36"/>
    </row>
    <row r="86" spans="1:41">
      <c r="A86" s="616" t="s">
        <v>133</v>
      </c>
      <c r="B86" s="617"/>
      <c r="C86" s="617"/>
      <c r="D86" s="568"/>
      <c r="E86" s="617"/>
      <c r="F86" s="617"/>
      <c r="G86" s="617"/>
      <c r="H86" s="617"/>
      <c r="I86" s="12"/>
      <c r="J86" s="6">
        <f>COUNTIF(K$21:K86,"=yes")</f>
        <v>1</v>
      </c>
      <c r="K86" s="533" t="str">
        <f>IF(LOOKUP(VALUE(M86),INPUTS!$G$6:$G$35)=M86,"yes","no")</f>
        <v>no</v>
      </c>
      <c r="L86" s="533">
        <f>IF(K86="yes",(LOOKUP(J86,INPUTS!$E$6:$E$35,INPUTS!$F$6:$F$35)),0)</f>
        <v>0</v>
      </c>
      <c r="M86" s="135">
        <f t="shared" ref="M86:M149" si="18">(M85+1)</f>
        <v>65</v>
      </c>
      <c r="N86" s="135">
        <f t="shared" ref="N86:N149" si="19">IF($B$9&gt;N85,IF(O85=($B$8-1),(N85+1),(N85)),(N85))</f>
        <v>1</v>
      </c>
      <c r="O86" s="135">
        <f t="shared" ref="O86:O149" si="20">IF(O85&lt;($B$8-1),(1+O85),0)</f>
        <v>0</v>
      </c>
      <c r="P86" s="536" t="e">
        <f t="shared" si="14"/>
        <v>#DIV/0!</v>
      </c>
      <c r="Q86" s="537" t="e">
        <f t="shared" si="9"/>
        <v>#DIV/0!</v>
      </c>
      <c r="R86" s="538" t="e">
        <f>IF(INPUTS!$B$15="yes",Q86,P86)</f>
        <v>#DIV/0!</v>
      </c>
      <c r="S86" s="536" t="e">
        <f t="shared" ref="S86:S149" si="21">IF(($N86&gt;$N85),(EXP(-$R$16)*(S85)+$R$12),((EXP(-$R$16)*(S85))))</f>
        <v>#DIV/0!</v>
      </c>
      <c r="T86" s="537" t="e">
        <f t="shared" si="10"/>
        <v>#DIV/0!</v>
      </c>
      <c r="U86" s="538" t="e">
        <f>IF(INPUTS!$B$15="yes",T86,S86)</f>
        <v>#DIV/0!</v>
      </c>
      <c r="V86" s="536" t="e">
        <f t="shared" ref="V86:V149" si="22">IF(($N86&gt;$N85),(EXP(-$R$16)*(V85)+$R$13),((EXP(-$R$16)*(V85))))</f>
        <v>#DIV/0!</v>
      </c>
      <c r="W86" s="537" t="e">
        <f t="shared" si="11"/>
        <v>#DIV/0!</v>
      </c>
      <c r="X86" s="538" t="e">
        <f>IF(INPUTS!$B$15="yes",W86,V86)</f>
        <v>#DIV/0!</v>
      </c>
      <c r="Y86" s="536" t="e">
        <f t="shared" ref="Y86:Y149" si="23">IF(($N86&gt;$N85),(EXP(-$R$16)*(Y85)+$R$14),((EXP(-$R$16)*(Y85))))</f>
        <v>#DIV/0!</v>
      </c>
      <c r="Z86" s="537" t="e">
        <f t="shared" si="12"/>
        <v>#DIV/0!</v>
      </c>
      <c r="AA86" s="538" t="e">
        <f>IF(INPUTS!$B$15="yes",Z86,Y86)</f>
        <v>#DIV/0!</v>
      </c>
      <c r="AB86" s="536" t="e">
        <f t="shared" ref="AB86:AB149" si="24">IF(($N86&gt;$N85),(EXP(-$R$16)*(AB85)+$R$15),((EXP(-$R$16)*(AB85))))</f>
        <v>#DIV/0!</v>
      </c>
      <c r="AC86" s="537" t="e">
        <f t="shared" si="13"/>
        <v>#DIV/0!</v>
      </c>
      <c r="AD86" s="538" t="e">
        <f>IF(INPUTS!$B$15="yes",AC86,AB86)</f>
        <v>#DIV/0!</v>
      </c>
      <c r="AE86" s="36" t="str">
        <f t="shared" si="0"/>
        <v>no</v>
      </c>
      <c r="AF86" s="36"/>
      <c r="AG86" s="389" t="e">
        <f>P86*('upper bound Kenaga'!$F$36/100)</f>
        <v>#DIV/0!</v>
      </c>
      <c r="AH86" s="36"/>
      <c r="AI86" s="389" t="e">
        <f>P86*('upper bound Kenaga'!$F$96/100)</f>
        <v>#DIV/0!</v>
      </c>
      <c r="AJ86" s="36"/>
      <c r="AK86" s="36"/>
      <c r="AL86" s="36"/>
      <c r="AM86" s="36"/>
      <c r="AN86" s="36"/>
      <c r="AO86" s="36"/>
    </row>
    <row r="87" spans="1:41">
      <c r="A87" s="616" t="s">
        <v>132</v>
      </c>
      <c r="B87" s="617"/>
      <c r="C87" s="617"/>
      <c r="D87" s="623"/>
      <c r="E87" s="617"/>
      <c r="F87" s="617"/>
      <c r="G87" s="617"/>
      <c r="H87" s="617"/>
      <c r="I87" s="12"/>
      <c r="J87" s="6">
        <f>COUNTIF(K$21:K87,"=yes")</f>
        <v>1</v>
      </c>
      <c r="K87" s="533" t="str">
        <f>IF(LOOKUP(VALUE(M87),INPUTS!$G$6:$G$35)=M87,"yes","no")</f>
        <v>no</v>
      </c>
      <c r="L87" s="533">
        <f>IF(K87="yes",(LOOKUP(J87,INPUTS!$E$6:$E$35,INPUTS!$F$6:$F$35)),0)</f>
        <v>0</v>
      </c>
      <c r="M87" s="135">
        <f t="shared" si="18"/>
        <v>66</v>
      </c>
      <c r="N87" s="135">
        <f t="shared" si="19"/>
        <v>1</v>
      </c>
      <c r="O87" s="135">
        <f t="shared" si="20"/>
        <v>0</v>
      </c>
      <c r="P87" s="536" t="e">
        <f t="shared" si="14"/>
        <v>#DIV/0!</v>
      </c>
      <c r="Q87" s="537" t="e">
        <f t="shared" ref="Q87:Q150" si="25">IF($K87="yes",(EXP(-$R$16)*(Q86)+(Q$11*$L87)),((EXP(-$R$16)*(Q86))))</f>
        <v>#DIV/0!</v>
      </c>
      <c r="R87" s="538" t="e">
        <f>IF(INPUTS!$B$15="yes",Q87,P87)</f>
        <v>#DIV/0!</v>
      </c>
      <c r="S87" s="536" t="e">
        <f t="shared" si="21"/>
        <v>#DIV/0!</v>
      </c>
      <c r="T87" s="537" t="e">
        <f t="shared" ref="T87:T150" si="26">IF($K87="yes",(EXP(-$R$16)*(T86)+(Q$12*$L87)),((EXP(-$R$16)*(T86))))</f>
        <v>#DIV/0!</v>
      </c>
      <c r="U87" s="538" t="e">
        <f>IF(INPUTS!$B$15="yes",T87,S87)</f>
        <v>#DIV/0!</v>
      </c>
      <c r="V87" s="536" t="e">
        <f t="shared" si="22"/>
        <v>#DIV/0!</v>
      </c>
      <c r="W87" s="537" t="e">
        <f t="shared" ref="W87:W150" si="27">IF($K87="yes",(EXP(-$R$16)*(W86)+(Q$13*$L87)),((EXP(-$R$16)*(W86))))</f>
        <v>#DIV/0!</v>
      </c>
      <c r="X87" s="538" t="e">
        <f>IF(INPUTS!$B$15="yes",W87,V87)</f>
        <v>#DIV/0!</v>
      </c>
      <c r="Y87" s="536" t="e">
        <f t="shared" si="23"/>
        <v>#DIV/0!</v>
      </c>
      <c r="Z87" s="537" t="e">
        <f t="shared" ref="Z87:Z150" si="28">IF($K87="yes",(EXP(-$R$16)*(Z86)+(Q$14*$L87)),((EXP(-$R$16)*(Z86))))</f>
        <v>#DIV/0!</v>
      </c>
      <c r="AA87" s="538" t="e">
        <f>IF(INPUTS!$B$15="yes",Z87,Y87)</f>
        <v>#DIV/0!</v>
      </c>
      <c r="AB87" s="536" t="e">
        <f t="shared" si="24"/>
        <v>#DIV/0!</v>
      </c>
      <c r="AC87" s="537" t="e">
        <f t="shared" ref="AC87:AC150" si="29">IF($K87="yes",(EXP(-$R$16)*(AC86)+(Q$15*$L87)),((EXP(-$R$16)*(AC86))))</f>
        <v>#DIV/0!</v>
      </c>
      <c r="AD87" s="538" t="e">
        <f>IF(INPUTS!$B$15="yes",AC87,AB87)</f>
        <v>#DIV/0!</v>
      </c>
      <c r="AE87" s="36" t="str">
        <f t="shared" si="0"/>
        <v>no</v>
      </c>
      <c r="AF87" s="36"/>
      <c r="AG87" s="389" t="e">
        <f>P87*('upper bound Kenaga'!$F$36/100)</f>
        <v>#DIV/0!</v>
      </c>
      <c r="AH87" s="36"/>
      <c r="AI87" s="389" t="e">
        <f>P87*('upper bound Kenaga'!$F$96/100)</f>
        <v>#DIV/0!</v>
      </c>
      <c r="AJ87" s="36"/>
      <c r="AK87" s="36"/>
      <c r="AL87" s="36"/>
      <c r="AM87" s="36"/>
      <c r="AN87" s="36"/>
      <c r="AO87" s="36"/>
    </row>
    <row r="88" spans="1:41">
      <c r="A88" s="617"/>
      <c r="B88" s="617"/>
      <c r="C88" s="617"/>
      <c r="D88" s="623"/>
      <c r="E88" s="617"/>
      <c r="F88" s="617"/>
      <c r="G88" s="617"/>
      <c r="H88" s="617"/>
      <c r="I88" s="12"/>
      <c r="J88" s="6">
        <f>COUNTIF(K$21:K88,"=yes")</f>
        <v>1</v>
      </c>
      <c r="K88" s="533" t="str">
        <f>IF(LOOKUP(VALUE(M88),INPUTS!$G$6:$G$35)=M88,"yes","no")</f>
        <v>no</v>
      </c>
      <c r="L88" s="533">
        <f>IF(K88="yes",(LOOKUP(J88,INPUTS!$E$6:$E$35,INPUTS!$F$6:$F$35)),0)</f>
        <v>0</v>
      </c>
      <c r="M88" s="135">
        <f t="shared" si="18"/>
        <v>67</v>
      </c>
      <c r="N88" s="135">
        <f t="shared" si="19"/>
        <v>1</v>
      </c>
      <c r="O88" s="135">
        <f t="shared" si="20"/>
        <v>0</v>
      </c>
      <c r="P88" s="536" t="e">
        <f t="shared" si="14"/>
        <v>#DIV/0!</v>
      </c>
      <c r="Q88" s="537" t="e">
        <f t="shared" si="25"/>
        <v>#DIV/0!</v>
      </c>
      <c r="R88" s="538" t="e">
        <f>IF(INPUTS!$B$15="yes",Q88,P88)</f>
        <v>#DIV/0!</v>
      </c>
      <c r="S88" s="536" t="e">
        <f t="shared" si="21"/>
        <v>#DIV/0!</v>
      </c>
      <c r="T88" s="537" t="e">
        <f t="shared" si="26"/>
        <v>#DIV/0!</v>
      </c>
      <c r="U88" s="538" t="e">
        <f>IF(INPUTS!$B$15="yes",T88,S88)</f>
        <v>#DIV/0!</v>
      </c>
      <c r="V88" s="536" t="e">
        <f t="shared" si="22"/>
        <v>#DIV/0!</v>
      </c>
      <c r="W88" s="537" t="e">
        <f t="shared" si="27"/>
        <v>#DIV/0!</v>
      </c>
      <c r="X88" s="538" t="e">
        <f>IF(INPUTS!$B$15="yes",W88,V88)</f>
        <v>#DIV/0!</v>
      </c>
      <c r="Y88" s="536" t="e">
        <f t="shared" si="23"/>
        <v>#DIV/0!</v>
      </c>
      <c r="Z88" s="537" t="e">
        <f t="shared" si="28"/>
        <v>#DIV/0!</v>
      </c>
      <c r="AA88" s="538" t="e">
        <f>IF(INPUTS!$B$15="yes",Z88,Y88)</f>
        <v>#DIV/0!</v>
      </c>
      <c r="AB88" s="536" t="e">
        <f t="shared" si="24"/>
        <v>#DIV/0!</v>
      </c>
      <c r="AC88" s="537" t="e">
        <f t="shared" si="29"/>
        <v>#DIV/0!</v>
      </c>
      <c r="AD88" s="538" t="e">
        <f>IF(INPUTS!$B$15="yes",AC88,AB88)</f>
        <v>#DIV/0!</v>
      </c>
      <c r="AE88" s="36" t="str">
        <f t="shared" si="0"/>
        <v>no</v>
      </c>
      <c r="AF88" s="36"/>
      <c r="AG88" s="389" t="e">
        <f>P88*('upper bound Kenaga'!$F$36/100)</f>
        <v>#DIV/0!</v>
      </c>
      <c r="AH88" s="36"/>
      <c r="AI88" s="389" t="e">
        <f>P88*('upper bound Kenaga'!$F$96/100)</f>
        <v>#DIV/0!</v>
      </c>
      <c r="AJ88" s="36"/>
      <c r="AK88" s="36"/>
      <c r="AL88" s="36"/>
      <c r="AM88" s="36"/>
      <c r="AN88" s="36"/>
      <c r="AO88" s="36"/>
    </row>
    <row r="89" spans="1:41">
      <c r="A89" s="617"/>
      <c r="B89" s="617"/>
      <c r="C89" s="617"/>
      <c r="D89" s="623"/>
      <c r="E89" s="617"/>
      <c r="F89" s="617"/>
      <c r="G89" s="617"/>
      <c r="H89" s="617"/>
      <c r="I89" s="12"/>
      <c r="J89" s="6">
        <f>COUNTIF(K$21:K89,"=yes")</f>
        <v>1</v>
      </c>
      <c r="K89" s="533" t="str">
        <f>IF(LOOKUP(VALUE(M89),INPUTS!$G$6:$G$35)=M89,"yes","no")</f>
        <v>no</v>
      </c>
      <c r="L89" s="533">
        <f>IF(K89="yes",(LOOKUP(J89,INPUTS!$E$6:$E$35,INPUTS!$F$6:$F$35)),0)</f>
        <v>0</v>
      </c>
      <c r="M89" s="135">
        <f t="shared" si="18"/>
        <v>68</v>
      </c>
      <c r="N89" s="135">
        <f t="shared" si="19"/>
        <v>1</v>
      </c>
      <c r="O89" s="135">
        <f t="shared" si="20"/>
        <v>0</v>
      </c>
      <c r="P89" s="536" t="e">
        <f t="shared" si="14"/>
        <v>#DIV/0!</v>
      </c>
      <c r="Q89" s="537" t="e">
        <f t="shared" si="25"/>
        <v>#DIV/0!</v>
      </c>
      <c r="R89" s="538" t="e">
        <f>IF(INPUTS!$B$15="yes",Q89,P89)</f>
        <v>#DIV/0!</v>
      </c>
      <c r="S89" s="536" t="e">
        <f t="shared" si="21"/>
        <v>#DIV/0!</v>
      </c>
      <c r="T89" s="537" t="e">
        <f t="shared" si="26"/>
        <v>#DIV/0!</v>
      </c>
      <c r="U89" s="538" t="e">
        <f>IF(INPUTS!$B$15="yes",T89,S89)</f>
        <v>#DIV/0!</v>
      </c>
      <c r="V89" s="536" t="e">
        <f t="shared" si="22"/>
        <v>#DIV/0!</v>
      </c>
      <c r="W89" s="537" t="e">
        <f t="shared" si="27"/>
        <v>#DIV/0!</v>
      </c>
      <c r="X89" s="538" t="e">
        <f>IF(INPUTS!$B$15="yes",W89,V89)</f>
        <v>#DIV/0!</v>
      </c>
      <c r="Y89" s="536" t="e">
        <f t="shared" si="23"/>
        <v>#DIV/0!</v>
      </c>
      <c r="Z89" s="537" t="e">
        <f t="shared" si="28"/>
        <v>#DIV/0!</v>
      </c>
      <c r="AA89" s="538" t="e">
        <f>IF(INPUTS!$B$15="yes",Z89,Y89)</f>
        <v>#DIV/0!</v>
      </c>
      <c r="AB89" s="536" t="e">
        <f t="shared" si="24"/>
        <v>#DIV/0!</v>
      </c>
      <c r="AC89" s="537" t="e">
        <f t="shared" si="29"/>
        <v>#DIV/0!</v>
      </c>
      <c r="AD89" s="538" t="e">
        <f>IF(INPUTS!$B$15="yes",AC89,AB89)</f>
        <v>#DIV/0!</v>
      </c>
      <c r="AE89" s="36" t="str">
        <f t="shared" si="0"/>
        <v>no</v>
      </c>
      <c r="AF89" s="36"/>
      <c r="AG89" s="389" t="e">
        <f>P89*('upper bound Kenaga'!$F$36/100)</f>
        <v>#DIV/0!</v>
      </c>
      <c r="AH89" s="36"/>
      <c r="AI89" s="389" t="e">
        <f>P89*('upper bound Kenaga'!$F$96/100)</f>
        <v>#DIV/0!</v>
      </c>
      <c r="AJ89" s="36"/>
      <c r="AK89" s="36"/>
      <c r="AL89" s="36"/>
      <c r="AM89" s="36"/>
      <c r="AN89" s="36"/>
      <c r="AO89" s="36"/>
    </row>
    <row r="90" spans="1:41">
      <c r="A90" s="617"/>
      <c r="B90" s="617"/>
      <c r="C90" s="617"/>
      <c r="D90" s="623"/>
      <c r="E90" s="617"/>
      <c r="F90" s="617"/>
      <c r="G90" s="617"/>
      <c r="H90" s="617"/>
      <c r="I90" s="12"/>
      <c r="J90" s="6">
        <f>COUNTIF(K$21:K90,"=yes")</f>
        <v>1</v>
      </c>
      <c r="K90" s="533" t="str">
        <f>IF(LOOKUP(VALUE(M90),INPUTS!$G$6:$G$35)=M90,"yes","no")</f>
        <v>no</v>
      </c>
      <c r="L90" s="533">
        <f>IF(K90="yes",(LOOKUP(J90,INPUTS!$E$6:$E$35,INPUTS!$F$6:$F$35)),0)</f>
        <v>0</v>
      </c>
      <c r="M90" s="135">
        <f t="shared" si="18"/>
        <v>69</v>
      </c>
      <c r="N90" s="135">
        <f t="shared" si="19"/>
        <v>1</v>
      </c>
      <c r="O90" s="135">
        <f t="shared" si="20"/>
        <v>0</v>
      </c>
      <c r="P90" s="536" t="e">
        <f t="shared" si="14"/>
        <v>#DIV/0!</v>
      </c>
      <c r="Q90" s="537" t="e">
        <f t="shared" si="25"/>
        <v>#DIV/0!</v>
      </c>
      <c r="R90" s="538" t="e">
        <f>IF(INPUTS!$B$15="yes",Q90,P90)</f>
        <v>#DIV/0!</v>
      </c>
      <c r="S90" s="536" t="e">
        <f t="shared" si="21"/>
        <v>#DIV/0!</v>
      </c>
      <c r="T90" s="537" t="e">
        <f t="shared" si="26"/>
        <v>#DIV/0!</v>
      </c>
      <c r="U90" s="538" t="e">
        <f>IF(INPUTS!$B$15="yes",T90,S90)</f>
        <v>#DIV/0!</v>
      </c>
      <c r="V90" s="536" t="e">
        <f t="shared" si="22"/>
        <v>#DIV/0!</v>
      </c>
      <c r="W90" s="537" t="e">
        <f t="shared" si="27"/>
        <v>#DIV/0!</v>
      </c>
      <c r="X90" s="538" t="e">
        <f>IF(INPUTS!$B$15="yes",W90,V90)</f>
        <v>#DIV/0!</v>
      </c>
      <c r="Y90" s="536" t="e">
        <f t="shared" si="23"/>
        <v>#DIV/0!</v>
      </c>
      <c r="Z90" s="537" t="e">
        <f t="shared" si="28"/>
        <v>#DIV/0!</v>
      </c>
      <c r="AA90" s="538" t="e">
        <f>IF(INPUTS!$B$15="yes",Z90,Y90)</f>
        <v>#DIV/0!</v>
      </c>
      <c r="AB90" s="536" t="e">
        <f t="shared" si="24"/>
        <v>#DIV/0!</v>
      </c>
      <c r="AC90" s="537" t="e">
        <f t="shared" si="29"/>
        <v>#DIV/0!</v>
      </c>
      <c r="AD90" s="538" t="e">
        <f>IF(INPUTS!$B$15="yes",AC90,AB90)</f>
        <v>#DIV/0!</v>
      </c>
      <c r="AE90" s="36" t="str">
        <f t="shared" ref="AE90:AE153" si="30">$B$11</f>
        <v>no</v>
      </c>
      <c r="AF90" s="36"/>
      <c r="AG90" s="389" t="e">
        <f>P90*('upper bound Kenaga'!$F$36/100)</f>
        <v>#DIV/0!</v>
      </c>
      <c r="AH90" s="36"/>
      <c r="AI90" s="389" t="e">
        <f>P90*('upper bound Kenaga'!$F$96/100)</f>
        <v>#DIV/0!</v>
      </c>
      <c r="AJ90" s="36"/>
      <c r="AK90" s="36"/>
      <c r="AL90" s="36"/>
      <c r="AM90" s="36"/>
      <c r="AN90" s="36"/>
      <c r="AO90" s="36"/>
    </row>
    <row r="91" spans="1:41">
      <c r="A91" s="661">
        <f>B3</f>
        <v>0</v>
      </c>
      <c r="B91" s="661">
        <f>B4</f>
        <v>0</v>
      </c>
      <c r="C91" s="662"/>
      <c r="D91" s="663"/>
      <c r="E91" s="662" t="s">
        <v>99</v>
      </c>
      <c r="F91" s="617"/>
      <c r="G91" s="617"/>
      <c r="H91" s="617"/>
      <c r="J91" s="6">
        <f>COUNTIF(K$21:K91,"=yes")</f>
        <v>1</v>
      </c>
      <c r="K91" s="533" t="str">
        <f>IF(LOOKUP(VALUE(M91),INPUTS!$G$6:$G$35)=M91,"yes","no")</f>
        <v>no</v>
      </c>
      <c r="L91" s="533">
        <f>IF(K91="yes",(LOOKUP(J91,INPUTS!$E$6:$E$35,INPUTS!$F$6:$F$35)),0)</f>
        <v>0</v>
      </c>
      <c r="M91" s="135">
        <f t="shared" si="18"/>
        <v>70</v>
      </c>
      <c r="N91" s="135">
        <f t="shared" si="19"/>
        <v>1</v>
      </c>
      <c r="O91" s="135">
        <f t="shared" si="20"/>
        <v>0</v>
      </c>
      <c r="P91" s="536" t="e">
        <f t="shared" si="14"/>
        <v>#DIV/0!</v>
      </c>
      <c r="Q91" s="537" t="e">
        <f t="shared" si="25"/>
        <v>#DIV/0!</v>
      </c>
      <c r="R91" s="538" t="e">
        <f>IF(INPUTS!$B$15="yes",Q91,P91)</f>
        <v>#DIV/0!</v>
      </c>
      <c r="S91" s="536" t="e">
        <f t="shared" si="21"/>
        <v>#DIV/0!</v>
      </c>
      <c r="T91" s="537" t="e">
        <f t="shared" si="26"/>
        <v>#DIV/0!</v>
      </c>
      <c r="U91" s="538" t="e">
        <f>IF(INPUTS!$B$15="yes",T91,S91)</f>
        <v>#DIV/0!</v>
      </c>
      <c r="V91" s="536" t="e">
        <f t="shared" si="22"/>
        <v>#DIV/0!</v>
      </c>
      <c r="W91" s="537" t="e">
        <f t="shared" si="27"/>
        <v>#DIV/0!</v>
      </c>
      <c r="X91" s="538" t="e">
        <f>IF(INPUTS!$B$15="yes",W91,V91)</f>
        <v>#DIV/0!</v>
      </c>
      <c r="Y91" s="536" t="e">
        <f t="shared" si="23"/>
        <v>#DIV/0!</v>
      </c>
      <c r="Z91" s="537" t="e">
        <f t="shared" si="28"/>
        <v>#DIV/0!</v>
      </c>
      <c r="AA91" s="538" t="e">
        <f>IF(INPUTS!$B$15="yes",Z91,Y91)</f>
        <v>#DIV/0!</v>
      </c>
      <c r="AB91" s="536" t="e">
        <f t="shared" si="24"/>
        <v>#DIV/0!</v>
      </c>
      <c r="AC91" s="537" t="e">
        <f t="shared" si="29"/>
        <v>#DIV/0!</v>
      </c>
      <c r="AD91" s="538" t="e">
        <f>IF(INPUTS!$B$15="yes",AC91,AB91)</f>
        <v>#DIV/0!</v>
      </c>
      <c r="AE91" s="36" t="str">
        <f t="shared" si="30"/>
        <v>no</v>
      </c>
      <c r="AF91" s="36"/>
      <c r="AG91" s="389" t="e">
        <f>P91*('upper bound Kenaga'!$F$36/100)</f>
        <v>#DIV/0!</v>
      </c>
      <c r="AH91" s="36"/>
      <c r="AI91" s="389" t="e">
        <f>P91*('upper bound Kenaga'!$F$96/100)</f>
        <v>#DIV/0!</v>
      </c>
      <c r="AJ91" s="36"/>
      <c r="AK91" s="36"/>
      <c r="AL91" s="36"/>
      <c r="AM91" s="36"/>
      <c r="AN91" s="36"/>
      <c r="AO91" s="36"/>
    </row>
    <row r="92" spans="1:41" ht="21" thickBot="1">
      <c r="A92" s="624" t="s">
        <v>48</v>
      </c>
      <c r="B92" s="664"/>
      <c r="C92" s="664"/>
      <c r="D92" s="665"/>
      <c r="E92" s="664"/>
      <c r="F92" s="666"/>
      <c r="G92" s="667"/>
      <c r="H92" s="666"/>
      <c r="J92" s="6">
        <f>COUNTIF(K$21:K92,"=yes")</f>
        <v>1</v>
      </c>
      <c r="K92" s="533" t="str">
        <f>IF(LOOKUP(VALUE(M92),INPUTS!$G$6:$G$35)=M92,"yes","no")</f>
        <v>no</v>
      </c>
      <c r="L92" s="533">
        <f>IF(K92="yes",(LOOKUP(J92,INPUTS!$E$6:$E$35,INPUTS!$F$6:$F$35)),0)</f>
        <v>0</v>
      </c>
      <c r="M92" s="135">
        <f t="shared" si="18"/>
        <v>71</v>
      </c>
      <c r="N92" s="135">
        <f t="shared" si="19"/>
        <v>1</v>
      </c>
      <c r="O92" s="135">
        <f t="shared" si="20"/>
        <v>0</v>
      </c>
      <c r="P92" s="536" t="e">
        <f t="shared" si="14"/>
        <v>#DIV/0!</v>
      </c>
      <c r="Q92" s="537" t="e">
        <f t="shared" si="25"/>
        <v>#DIV/0!</v>
      </c>
      <c r="R92" s="538" t="e">
        <f>IF(INPUTS!$B$15="yes",Q92,P92)</f>
        <v>#DIV/0!</v>
      </c>
      <c r="S92" s="536" t="e">
        <f t="shared" si="21"/>
        <v>#DIV/0!</v>
      </c>
      <c r="T92" s="537" t="e">
        <f t="shared" si="26"/>
        <v>#DIV/0!</v>
      </c>
      <c r="U92" s="538" t="e">
        <f>IF(INPUTS!$B$15="yes",T92,S92)</f>
        <v>#DIV/0!</v>
      </c>
      <c r="V92" s="536" t="e">
        <f t="shared" si="22"/>
        <v>#DIV/0!</v>
      </c>
      <c r="W92" s="537" t="e">
        <f t="shared" si="27"/>
        <v>#DIV/0!</v>
      </c>
      <c r="X92" s="538" t="e">
        <f>IF(INPUTS!$B$15="yes",W92,V92)</f>
        <v>#DIV/0!</v>
      </c>
      <c r="Y92" s="536" t="e">
        <f t="shared" si="23"/>
        <v>#DIV/0!</v>
      </c>
      <c r="Z92" s="537" t="e">
        <f t="shared" si="28"/>
        <v>#DIV/0!</v>
      </c>
      <c r="AA92" s="538" t="e">
        <f>IF(INPUTS!$B$15="yes",Z92,Y92)</f>
        <v>#DIV/0!</v>
      </c>
      <c r="AB92" s="536" t="e">
        <f t="shared" si="24"/>
        <v>#DIV/0!</v>
      </c>
      <c r="AC92" s="537" t="e">
        <f t="shared" si="29"/>
        <v>#DIV/0!</v>
      </c>
      <c r="AD92" s="538" t="e">
        <f>IF(INPUTS!$B$15="yes",AC92,AB92)</f>
        <v>#DIV/0!</v>
      </c>
      <c r="AE92" s="36" t="str">
        <f t="shared" si="30"/>
        <v>no</v>
      </c>
      <c r="AF92" s="36"/>
      <c r="AG92" s="389" t="e">
        <f>P92*('upper bound Kenaga'!$F$36/100)</f>
        <v>#DIV/0!</v>
      </c>
      <c r="AH92" s="36"/>
      <c r="AI92" s="389" t="e">
        <f>P92*('upper bound Kenaga'!$F$96/100)</f>
        <v>#DIV/0!</v>
      </c>
      <c r="AJ92" s="36"/>
      <c r="AK92" s="36"/>
      <c r="AL92" s="36"/>
      <c r="AM92" s="36"/>
      <c r="AN92" s="36"/>
      <c r="AO92" s="36"/>
    </row>
    <row r="93" spans="1:41" ht="14.25" thickTop="1" thickBot="1">
      <c r="A93" s="617"/>
      <c r="B93" s="617"/>
      <c r="C93" s="668"/>
      <c r="D93" s="669"/>
      <c r="E93" s="670"/>
      <c r="F93" s="671"/>
      <c r="G93" s="672"/>
      <c r="H93" s="671"/>
      <c r="J93" s="6">
        <f>COUNTIF(K$21:K93,"=yes")</f>
        <v>1</v>
      </c>
      <c r="K93" s="533" t="str">
        <f>IF(LOOKUP(VALUE(M93),INPUTS!$G$6:$G$35)=M93,"yes","no")</f>
        <v>no</v>
      </c>
      <c r="L93" s="533">
        <f>IF(K93="yes",(LOOKUP(J93,INPUTS!$E$6:$E$35,INPUTS!$F$6:$F$35)),0)</f>
        <v>0</v>
      </c>
      <c r="M93" s="135">
        <f t="shared" si="18"/>
        <v>72</v>
      </c>
      <c r="N93" s="135">
        <f t="shared" si="19"/>
        <v>1</v>
      </c>
      <c r="O93" s="135">
        <f t="shared" si="20"/>
        <v>0</v>
      </c>
      <c r="P93" s="536" t="e">
        <f t="shared" si="14"/>
        <v>#DIV/0!</v>
      </c>
      <c r="Q93" s="537" t="e">
        <f t="shared" si="25"/>
        <v>#DIV/0!</v>
      </c>
      <c r="R93" s="538" t="e">
        <f>IF(INPUTS!$B$15="yes",Q93,P93)</f>
        <v>#DIV/0!</v>
      </c>
      <c r="S93" s="536" t="e">
        <f t="shared" si="21"/>
        <v>#DIV/0!</v>
      </c>
      <c r="T93" s="537" t="e">
        <f t="shared" si="26"/>
        <v>#DIV/0!</v>
      </c>
      <c r="U93" s="538" t="e">
        <f>IF(INPUTS!$B$15="yes",T93,S93)</f>
        <v>#DIV/0!</v>
      </c>
      <c r="V93" s="536" t="e">
        <f t="shared" si="22"/>
        <v>#DIV/0!</v>
      </c>
      <c r="W93" s="537" t="e">
        <f t="shared" si="27"/>
        <v>#DIV/0!</v>
      </c>
      <c r="X93" s="538" t="e">
        <f>IF(INPUTS!$B$15="yes",W93,V93)</f>
        <v>#DIV/0!</v>
      </c>
      <c r="Y93" s="536" t="e">
        <f t="shared" si="23"/>
        <v>#DIV/0!</v>
      </c>
      <c r="Z93" s="537" t="e">
        <f t="shared" si="28"/>
        <v>#DIV/0!</v>
      </c>
      <c r="AA93" s="538" t="e">
        <f>IF(INPUTS!$B$15="yes",Z93,Y93)</f>
        <v>#DIV/0!</v>
      </c>
      <c r="AB93" s="536" t="e">
        <f t="shared" si="24"/>
        <v>#DIV/0!</v>
      </c>
      <c r="AC93" s="537" t="e">
        <f t="shared" si="29"/>
        <v>#DIV/0!</v>
      </c>
      <c r="AD93" s="538" t="e">
        <f>IF(INPUTS!$B$15="yes",AC93,AB93)</f>
        <v>#DIV/0!</v>
      </c>
      <c r="AE93" s="36" t="str">
        <f t="shared" si="30"/>
        <v>no</v>
      </c>
      <c r="AF93" s="36"/>
      <c r="AG93" s="389" t="e">
        <f>P93*('upper bound Kenaga'!$F$36/100)</f>
        <v>#DIV/0!</v>
      </c>
      <c r="AH93" s="36"/>
      <c r="AI93" s="389" t="e">
        <f>P93*('upper bound Kenaga'!$F$96/100)</f>
        <v>#DIV/0!</v>
      </c>
      <c r="AJ93" s="36"/>
      <c r="AK93" s="36"/>
      <c r="AL93" s="36"/>
      <c r="AM93" s="36"/>
      <c r="AN93" s="36"/>
      <c r="AO93" s="36"/>
    </row>
    <row r="94" spans="1:41">
      <c r="A94" s="617"/>
      <c r="B94" s="371" t="s">
        <v>15</v>
      </c>
      <c r="C94" s="372" t="s">
        <v>35</v>
      </c>
      <c r="D94" s="373" t="s">
        <v>212</v>
      </c>
      <c r="E94" s="373" t="s">
        <v>214</v>
      </c>
      <c r="F94" s="315" t="s">
        <v>37</v>
      </c>
      <c r="G94" s="374" t="s">
        <v>210</v>
      </c>
      <c r="H94" s="617"/>
      <c r="J94" s="6">
        <f>COUNTIF(K$21:K94,"=yes")</f>
        <v>1</v>
      </c>
      <c r="K94" s="533" t="str">
        <f>IF(LOOKUP(VALUE(M94),INPUTS!$G$6:$G$35)=M94,"yes","no")</f>
        <v>no</v>
      </c>
      <c r="L94" s="533">
        <f>IF(K94="yes",(LOOKUP(J94,INPUTS!$E$6:$E$35,INPUTS!$F$6:$F$35)),0)</f>
        <v>0</v>
      </c>
      <c r="M94" s="135">
        <f t="shared" si="18"/>
        <v>73</v>
      </c>
      <c r="N94" s="135">
        <f t="shared" si="19"/>
        <v>1</v>
      </c>
      <c r="O94" s="135">
        <f t="shared" si="20"/>
        <v>0</v>
      </c>
      <c r="P94" s="536" t="e">
        <f t="shared" si="14"/>
        <v>#DIV/0!</v>
      </c>
      <c r="Q94" s="537" t="e">
        <f t="shared" si="25"/>
        <v>#DIV/0!</v>
      </c>
      <c r="R94" s="538" t="e">
        <f>IF(INPUTS!$B$15="yes",Q94,P94)</f>
        <v>#DIV/0!</v>
      </c>
      <c r="S94" s="536" t="e">
        <f t="shared" si="21"/>
        <v>#DIV/0!</v>
      </c>
      <c r="T94" s="537" t="e">
        <f t="shared" si="26"/>
        <v>#DIV/0!</v>
      </c>
      <c r="U94" s="538" t="e">
        <f>IF(INPUTS!$B$15="yes",T94,S94)</f>
        <v>#DIV/0!</v>
      </c>
      <c r="V94" s="536" t="e">
        <f t="shared" si="22"/>
        <v>#DIV/0!</v>
      </c>
      <c r="W94" s="537" t="e">
        <f t="shared" si="27"/>
        <v>#DIV/0!</v>
      </c>
      <c r="X94" s="538" t="e">
        <f>IF(INPUTS!$B$15="yes",W94,V94)</f>
        <v>#DIV/0!</v>
      </c>
      <c r="Y94" s="536" t="e">
        <f t="shared" si="23"/>
        <v>#DIV/0!</v>
      </c>
      <c r="Z94" s="537" t="e">
        <f t="shared" si="28"/>
        <v>#DIV/0!</v>
      </c>
      <c r="AA94" s="538" t="e">
        <f>IF(INPUTS!$B$15="yes",Z94,Y94)</f>
        <v>#DIV/0!</v>
      </c>
      <c r="AB94" s="536" t="e">
        <f t="shared" si="24"/>
        <v>#DIV/0!</v>
      </c>
      <c r="AC94" s="537" t="e">
        <f t="shared" si="29"/>
        <v>#DIV/0!</v>
      </c>
      <c r="AD94" s="538" t="e">
        <f>IF(INPUTS!$B$15="yes",AC94,AB94)</f>
        <v>#DIV/0!</v>
      </c>
      <c r="AE94" s="36" t="str">
        <f t="shared" si="30"/>
        <v>no</v>
      </c>
      <c r="AF94" s="36"/>
      <c r="AG94" s="389" t="e">
        <f>P94*('upper bound Kenaga'!$F$36/100)</f>
        <v>#DIV/0!</v>
      </c>
      <c r="AH94" s="36"/>
      <c r="AI94" s="389" t="e">
        <f>P94*('upper bound Kenaga'!$F$96/100)</f>
        <v>#DIV/0!</v>
      </c>
      <c r="AJ94" s="36"/>
      <c r="AK94" s="36"/>
      <c r="AL94" s="36"/>
      <c r="AM94" s="36"/>
      <c r="AN94" s="36"/>
      <c r="AO94" s="36"/>
    </row>
    <row r="95" spans="1:41">
      <c r="A95" s="617"/>
      <c r="B95" s="375" t="s">
        <v>34</v>
      </c>
      <c r="C95" s="376" t="s">
        <v>36</v>
      </c>
      <c r="D95" s="321" t="s">
        <v>206</v>
      </c>
      <c r="E95" s="321" t="s">
        <v>208</v>
      </c>
      <c r="F95" s="318" t="s">
        <v>38</v>
      </c>
      <c r="G95" s="377" t="s">
        <v>211</v>
      </c>
      <c r="H95" s="617"/>
      <c r="J95" s="6">
        <f>COUNTIF(K$21:K95,"=yes")</f>
        <v>1</v>
      </c>
      <c r="K95" s="533" t="str">
        <f>IF(LOOKUP(VALUE(M95),INPUTS!$G$6:$G$35)=M95,"yes","no")</f>
        <v>no</v>
      </c>
      <c r="L95" s="533">
        <f>IF(K95="yes",(LOOKUP(J95,INPUTS!$E$6:$E$35,INPUTS!$F$6:$F$35)),0)</f>
        <v>0</v>
      </c>
      <c r="M95" s="135">
        <f t="shared" si="18"/>
        <v>74</v>
      </c>
      <c r="N95" s="135">
        <f t="shared" si="19"/>
        <v>1</v>
      </c>
      <c r="O95" s="135">
        <f t="shared" si="20"/>
        <v>0</v>
      </c>
      <c r="P95" s="536" t="e">
        <f t="shared" ref="P95:P158" si="31">IF((N95&gt;N94),(EXP(-$R$16)*(P94)+$R$11),((EXP(-$R$16)*(P94))))</f>
        <v>#DIV/0!</v>
      </c>
      <c r="Q95" s="537" t="e">
        <f t="shared" si="25"/>
        <v>#DIV/0!</v>
      </c>
      <c r="R95" s="538" t="e">
        <f>IF(INPUTS!$B$15="yes",Q95,P95)</f>
        <v>#DIV/0!</v>
      </c>
      <c r="S95" s="536" t="e">
        <f t="shared" si="21"/>
        <v>#DIV/0!</v>
      </c>
      <c r="T95" s="537" t="e">
        <f t="shared" si="26"/>
        <v>#DIV/0!</v>
      </c>
      <c r="U95" s="538" t="e">
        <f>IF(INPUTS!$B$15="yes",T95,S95)</f>
        <v>#DIV/0!</v>
      </c>
      <c r="V95" s="536" t="e">
        <f t="shared" si="22"/>
        <v>#DIV/0!</v>
      </c>
      <c r="W95" s="537" t="e">
        <f t="shared" si="27"/>
        <v>#DIV/0!</v>
      </c>
      <c r="X95" s="538" t="e">
        <f>IF(INPUTS!$B$15="yes",W95,V95)</f>
        <v>#DIV/0!</v>
      </c>
      <c r="Y95" s="536" t="e">
        <f t="shared" si="23"/>
        <v>#DIV/0!</v>
      </c>
      <c r="Z95" s="537" t="e">
        <f t="shared" si="28"/>
        <v>#DIV/0!</v>
      </c>
      <c r="AA95" s="538" t="e">
        <f>IF(INPUTS!$B$15="yes",Z95,Y95)</f>
        <v>#DIV/0!</v>
      </c>
      <c r="AB95" s="536" t="e">
        <f t="shared" si="24"/>
        <v>#DIV/0!</v>
      </c>
      <c r="AC95" s="537" t="e">
        <f t="shared" si="29"/>
        <v>#DIV/0!</v>
      </c>
      <c r="AD95" s="538" t="e">
        <f>IF(INPUTS!$B$15="yes",AC95,AB95)</f>
        <v>#DIV/0!</v>
      </c>
      <c r="AE95" s="36" t="str">
        <f t="shared" si="30"/>
        <v>no</v>
      </c>
      <c r="AF95" s="36"/>
      <c r="AG95" s="389" t="e">
        <f>P95*('upper bound Kenaga'!$F$36/100)</f>
        <v>#DIV/0!</v>
      </c>
      <c r="AH95" s="36"/>
      <c r="AI95" s="389" t="e">
        <f>P95*('upper bound Kenaga'!$F$96/100)</f>
        <v>#DIV/0!</v>
      </c>
      <c r="AJ95" s="36"/>
      <c r="AK95" s="36"/>
      <c r="AL95" s="36"/>
      <c r="AM95" s="36"/>
      <c r="AN95" s="36"/>
      <c r="AO95" s="36"/>
    </row>
    <row r="96" spans="1:41" ht="12.75" customHeight="1">
      <c r="A96" s="617"/>
      <c r="B96" s="328"/>
      <c r="C96" s="329">
        <f>INPUTS!C19</f>
        <v>15</v>
      </c>
      <c r="D96" s="330">
        <f t="shared" ref="D96:D101" si="32">(0.621*C96^0.564)</f>
        <v>2.8602702585762825</v>
      </c>
      <c r="E96" s="330">
        <f>D96/0.2</f>
        <v>14.301351292881412</v>
      </c>
      <c r="F96" s="300">
        <f t="shared" ref="F96:F101" si="33">(E96/C96)*100</f>
        <v>95.342341952542739</v>
      </c>
      <c r="G96" s="331">
        <f t="shared" ref="G96:G101" si="34">E96/1000</f>
        <v>1.4301351292881412E-2</v>
      </c>
      <c r="H96" s="617"/>
      <c r="J96" s="6">
        <f>COUNTIF(K$21:K96,"=yes")</f>
        <v>1</v>
      </c>
      <c r="K96" s="533" t="str">
        <f>IF(LOOKUP(VALUE(M96),INPUTS!$G$6:$G$35)=M96,"yes","no")</f>
        <v>no</v>
      </c>
      <c r="L96" s="533">
        <f>IF(K96="yes",(LOOKUP(J96,INPUTS!$E$6:$E$35,INPUTS!$F$6:$F$35)),0)</f>
        <v>0</v>
      </c>
      <c r="M96" s="135">
        <f t="shared" si="18"/>
        <v>75</v>
      </c>
      <c r="N96" s="135">
        <f t="shared" si="19"/>
        <v>1</v>
      </c>
      <c r="O96" s="135">
        <f t="shared" si="20"/>
        <v>0</v>
      </c>
      <c r="P96" s="536" t="e">
        <f t="shared" si="31"/>
        <v>#DIV/0!</v>
      </c>
      <c r="Q96" s="537" t="e">
        <f t="shared" si="25"/>
        <v>#DIV/0!</v>
      </c>
      <c r="R96" s="538" t="e">
        <f>IF(INPUTS!$B$15="yes",Q96,P96)</f>
        <v>#DIV/0!</v>
      </c>
      <c r="S96" s="536" t="e">
        <f t="shared" si="21"/>
        <v>#DIV/0!</v>
      </c>
      <c r="T96" s="537" t="e">
        <f t="shared" si="26"/>
        <v>#DIV/0!</v>
      </c>
      <c r="U96" s="538" t="e">
        <f>IF(INPUTS!$B$15="yes",T96,S96)</f>
        <v>#DIV/0!</v>
      </c>
      <c r="V96" s="536" t="e">
        <f t="shared" si="22"/>
        <v>#DIV/0!</v>
      </c>
      <c r="W96" s="537" t="e">
        <f t="shared" si="27"/>
        <v>#DIV/0!</v>
      </c>
      <c r="X96" s="538" t="e">
        <f>IF(INPUTS!$B$15="yes",W96,V96)</f>
        <v>#DIV/0!</v>
      </c>
      <c r="Y96" s="536" t="e">
        <f t="shared" si="23"/>
        <v>#DIV/0!</v>
      </c>
      <c r="Z96" s="537" t="e">
        <f t="shared" si="28"/>
        <v>#DIV/0!</v>
      </c>
      <c r="AA96" s="538" t="e">
        <f>IF(INPUTS!$B$15="yes",Z96,Y96)</f>
        <v>#DIV/0!</v>
      </c>
      <c r="AB96" s="536" t="e">
        <f t="shared" si="24"/>
        <v>#DIV/0!</v>
      </c>
      <c r="AC96" s="537" t="e">
        <f t="shared" si="29"/>
        <v>#DIV/0!</v>
      </c>
      <c r="AD96" s="538" t="e">
        <f>IF(INPUTS!$B$15="yes",AC96,AB96)</f>
        <v>#DIV/0!</v>
      </c>
      <c r="AE96" s="36" t="str">
        <f t="shared" si="30"/>
        <v>no</v>
      </c>
      <c r="AF96" s="36"/>
      <c r="AG96" s="389" t="e">
        <f>P96*('upper bound Kenaga'!$F$36/100)</f>
        <v>#DIV/0!</v>
      </c>
      <c r="AH96" s="36"/>
      <c r="AI96" s="389" t="e">
        <f>P96*('upper bound Kenaga'!$F$96/100)</f>
        <v>#DIV/0!</v>
      </c>
      <c r="AJ96" s="36"/>
      <c r="AK96" s="36"/>
      <c r="AL96" s="36"/>
      <c r="AM96" s="36"/>
      <c r="AN96" s="36"/>
      <c r="AO96" s="36"/>
    </row>
    <row r="97" spans="1:41">
      <c r="A97" s="617"/>
      <c r="B97" s="328" t="s">
        <v>29</v>
      </c>
      <c r="C97" s="329">
        <f>INPUTS!C20</f>
        <v>35</v>
      </c>
      <c r="D97" s="330">
        <f t="shared" si="32"/>
        <v>4.612601938597475</v>
      </c>
      <c r="E97" s="330">
        <f>D97/0.2</f>
        <v>23.063009692987375</v>
      </c>
      <c r="F97" s="300">
        <f t="shared" si="33"/>
        <v>65.894313408535353</v>
      </c>
      <c r="G97" s="331">
        <f t="shared" si="34"/>
        <v>2.3063009692987375E-2</v>
      </c>
      <c r="H97" s="617"/>
      <c r="J97" s="6">
        <f>COUNTIF(K$21:K97,"=yes")</f>
        <v>1</v>
      </c>
      <c r="K97" s="533" t="str">
        <f>IF(LOOKUP(VALUE(M97),INPUTS!$G$6:$G$35)=M97,"yes","no")</f>
        <v>no</v>
      </c>
      <c r="L97" s="533">
        <f>IF(K97="yes",(LOOKUP(J97,INPUTS!$E$6:$E$35,INPUTS!$F$6:$F$35)),0)</f>
        <v>0</v>
      </c>
      <c r="M97" s="135">
        <f t="shared" si="18"/>
        <v>76</v>
      </c>
      <c r="N97" s="135">
        <f t="shared" si="19"/>
        <v>1</v>
      </c>
      <c r="O97" s="135">
        <f t="shared" si="20"/>
        <v>0</v>
      </c>
      <c r="P97" s="536" t="e">
        <f t="shared" si="31"/>
        <v>#DIV/0!</v>
      </c>
      <c r="Q97" s="537" t="e">
        <f t="shared" si="25"/>
        <v>#DIV/0!</v>
      </c>
      <c r="R97" s="538" t="e">
        <f>IF(INPUTS!$B$15="yes",Q97,P97)</f>
        <v>#DIV/0!</v>
      </c>
      <c r="S97" s="536" t="e">
        <f t="shared" si="21"/>
        <v>#DIV/0!</v>
      </c>
      <c r="T97" s="537" t="e">
        <f t="shared" si="26"/>
        <v>#DIV/0!</v>
      </c>
      <c r="U97" s="538" t="e">
        <f>IF(INPUTS!$B$15="yes",T97,S97)</f>
        <v>#DIV/0!</v>
      </c>
      <c r="V97" s="536" t="e">
        <f t="shared" si="22"/>
        <v>#DIV/0!</v>
      </c>
      <c r="W97" s="537" t="e">
        <f t="shared" si="27"/>
        <v>#DIV/0!</v>
      </c>
      <c r="X97" s="538" t="e">
        <f>IF(INPUTS!$B$15="yes",W97,V97)</f>
        <v>#DIV/0!</v>
      </c>
      <c r="Y97" s="536" t="e">
        <f t="shared" si="23"/>
        <v>#DIV/0!</v>
      </c>
      <c r="Z97" s="537" t="e">
        <f t="shared" si="28"/>
        <v>#DIV/0!</v>
      </c>
      <c r="AA97" s="538" t="e">
        <f>IF(INPUTS!$B$15="yes",Z97,Y97)</f>
        <v>#DIV/0!</v>
      </c>
      <c r="AB97" s="536" t="e">
        <f t="shared" si="24"/>
        <v>#DIV/0!</v>
      </c>
      <c r="AC97" s="537" t="e">
        <f t="shared" si="29"/>
        <v>#DIV/0!</v>
      </c>
      <c r="AD97" s="538" t="e">
        <f>IF(INPUTS!$B$15="yes",AC97,AB97)</f>
        <v>#DIV/0!</v>
      </c>
      <c r="AE97" s="36" t="str">
        <f t="shared" si="30"/>
        <v>no</v>
      </c>
      <c r="AF97" s="36"/>
      <c r="AG97" s="389" t="e">
        <f>P97*('upper bound Kenaga'!$F$36/100)</f>
        <v>#DIV/0!</v>
      </c>
      <c r="AH97" s="36"/>
      <c r="AI97" s="389" t="e">
        <f>P97*('upper bound Kenaga'!$F$96/100)</f>
        <v>#DIV/0!</v>
      </c>
      <c r="AJ97" s="36"/>
      <c r="AK97" s="36"/>
      <c r="AL97" s="36"/>
      <c r="AM97" s="36"/>
      <c r="AN97" s="36"/>
      <c r="AO97" s="36"/>
    </row>
    <row r="98" spans="1:41">
      <c r="A98" s="617"/>
      <c r="B98" s="332" t="s">
        <v>30</v>
      </c>
      <c r="C98" s="327">
        <f>INPUTS!C21</f>
        <v>1000</v>
      </c>
      <c r="D98" s="333">
        <f t="shared" si="32"/>
        <v>30.555655165818088</v>
      </c>
      <c r="E98" s="333">
        <f>D98/0.2</f>
        <v>152.77827582909043</v>
      </c>
      <c r="F98" s="334">
        <f t="shared" si="33"/>
        <v>15.277827582909042</v>
      </c>
      <c r="G98" s="335">
        <f t="shared" si="34"/>
        <v>0.15277827582909043</v>
      </c>
      <c r="H98" s="617"/>
      <c r="J98" s="6">
        <f>COUNTIF(K$21:K98,"=yes")</f>
        <v>1</v>
      </c>
      <c r="K98" s="533" t="str">
        <f>IF(LOOKUP(VALUE(M98),INPUTS!$G$6:$G$35)=M98,"yes","no")</f>
        <v>no</v>
      </c>
      <c r="L98" s="533">
        <f>IF(K98="yes",(LOOKUP(J98,INPUTS!$E$6:$E$35,INPUTS!$F$6:$F$35)),0)</f>
        <v>0</v>
      </c>
      <c r="M98" s="135">
        <f t="shared" si="18"/>
        <v>77</v>
      </c>
      <c r="N98" s="135">
        <f t="shared" si="19"/>
        <v>1</v>
      </c>
      <c r="O98" s="135">
        <f t="shared" si="20"/>
        <v>0</v>
      </c>
      <c r="P98" s="536" t="e">
        <f t="shared" si="31"/>
        <v>#DIV/0!</v>
      </c>
      <c r="Q98" s="537" t="e">
        <f t="shared" si="25"/>
        <v>#DIV/0!</v>
      </c>
      <c r="R98" s="538" t="e">
        <f>IF(INPUTS!$B$15="yes",Q98,P98)</f>
        <v>#DIV/0!</v>
      </c>
      <c r="S98" s="536" t="e">
        <f t="shared" si="21"/>
        <v>#DIV/0!</v>
      </c>
      <c r="T98" s="537" t="e">
        <f t="shared" si="26"/>
        <v>#DIV/0!</v>
      </c>
      <c r="U98" s="538" t="e">
        <f>IF(INPUTS!$B$15="yes",T98,S98)</f>
        <v>#DIV/0!</v>
      </c>
      <c r="V98" s="536" t="e">
        <f t="shared" si="22"/>
        <v>#DIV/0!</v>
      </c>
      <c r="W98" s="537" t="e">
        <f t="shared" si="27"/>
        <v>#DIV/0!</v>
      </c>
      <c r="X98" s="538" t="e">
        <f>IF(INPUTS!$B$15="yes",W98,V98)</f>
        <v>#DIV/0!</v>
      </c>
      <c r="Y98" s="536" t="e">
        <f t="shared" si="23"/>
        <v>#DIV/0!</v>
      </c>
      <c r="Z98" s="537" t="e">
        <f t="shared" si="28"/>
        <v>#DIV/0!</v>
      </c>
      <c r="AA98" s="538" t="e">
        <f>IF(INPUTS!$B$15="yes",Z98,Y98)</f>
        <v>#DIV/0!</v>
      </c>
      <c r="AB98" s="536" t="e">
        <f t="shared" si="24"/>
        <v>#DIV/0!</v>
      </c>
      <c r="AC98" s="537" t="e">
        <f t="shared" si="29"/>
        <v>#DIV/0!</v>
      </c>
      <c r="AD98" s="538" t="e">
        <f>IF(INPUTS!$B$15="yes",AC98,AB98)</f>
        <v>#DIV/0!</v>
      </c>
      <c r="AE98" s="36" t="str">
        <f t="shared" si="30"/>
        <v>no</v>
      </c>
      <c r="AF98" s="36"/>
      <c r="AG98" s="389" t="e">
        <f>P98*('upper bound Kenaga'!$F$36/100)</f>
        <v>#DIV/0!</v>
      </c>
      <c r="AH98" s="36"/>
      <c r="AI98" s="389" t="e">
        <f>P98*('upper bound Kenaga'!$F$96/100)</f>
        <v>#DIV/0!</v>
      </c>
      <c r="AJ98" s="36"/>
      <c r="AK98" s="36"/>
      <c r="AL98" s="36"/>
      <c r="AM98" s="36"/>
      <c r="AN98" s="36"/>
      <c r="AO98" s="36"/>
    </row>
    <row r="99" spans="1:41">
      <c r="A99" s="617"/>
      <c r="B99" s="328"/>
      <c r="C99" s="329">
        <f>INPUTS!C19</f>
        <v>15</v>
      </c>
      <c r="D99" s="330">
        <f t="shared" si="32"/>
        <v>2.8602702585762825</v>
      </c>
      <c r="E99" s="330">
        <f>D99/0.9</f>
        <v>3.1780780650847582</v>
      </c>
      <c r="F99" s="300">
        <f t="shared" si="33"/>
        <v>21.187187100565055</v>
      </c>
      <c r="G99" s="331">
        <f t="shared" si="34"/>
        <v>3.1780780650847583E-3</v>
      </c>
      <c r="H99" s="617"/>
      <c r="J99" s="6">
        <f>COUNTIF(K$21:K99,"=yes")</f>
        <v>1</v>
      </c>
      <c r="K99" s="533" t="str">
        <f>IF(LOOKUP(VALUE(M99),INPUTS!$G$6:$G$35)=M99,"yes","no")</f>
        <v>no</v>
      </c>
      <c r="L99" s="533">
        <f>IF(K99="yes",(LOOKUP(J99,INPUTS!$E$6:$E$35,INPUTS!$F$6:$F$35)),0)</f>
        <v>0</v>
      </c>
      <c r="M99" s="135">
        <f t="shared" si="18"/>
        <v>78</v>
      </c>
      <c r="N99" s="135">
        <f t="shared" si="19"/>
        <v>1</v>
      </c>
      <c r="O99" s="135">
        <f t="shared" si="20"/>
        <v>0</v>
      </c>
      <c r="P99" s="536" t="e">
        <f t="shared" si="31"/>
        <v>#DIV/0!</v>
      </c>
      <c r="Q99" s="537" t="e">
        <f t="shared" si="25"/>
        <v>#DIV/0!</v>
      </c>
      <c r="R99" s="538" t="e">
        <f>IF(INPUTS!$B$15="yes",Q99,P99)</f>
        <v>#DIV/0!</v>
      </c>
      <c r="S99" s="536" t="e">
        <f t="shared" si="21"/>
        <v>#DIV/0!</v>
      </c>
      <c r="T99" s="537" t="e">
        <f t="shared" si="26"/>
        <v>#DIV/0!</v>
      </c>
      <c r="U99" s="538" t="e">
        <f>IF(INPUTS!$B$15="yes",T99,S99)</f>
        <v>#DIV/0!</v>
      </c>
      <c r="V99" s="536" t="e">
        <f t="shared" si="22"/>
        <v>#DIV/0!</v>
      </c>
      <c r="W99" s="537" t="e">
        <f t="shared" si="27"/>
        <v>#DIV/0!</v>
      </c>
      <c r="X99" s="538" t="e">
        <f>IF(INPUTS!$B$15="yes",W99,V99)</f>
        <v>#DIV/0!</v>
      </c>
      <c r="Y99" s="536" t="e">
        <f t="shared" si="23"/>
        <v>#DIV/0!</v>
      </c>
      <c r="Z99" s="537" t="e">
        <f t="shared" si="28"/>
        <v>#DIV/0!</v>
      </c>
      <c r="AA99" s="538" t="e">
        <f>IF(INPUTS!$B$15="yes",Z99,Y99)</f>
        <v>#DIV/0!</v>
      </c>
      <c r="AB99" s="536" t="e">
        <f t="shared" si="24"/>
        <v>#DIV/0!</v>
      </c>
      <c r="AC99" s="537" t="e">
        <f t="shared" si="29"/>
        <v>#DIV/0!</v>
      </c>
      <c r="AD99" s="538" t="e">
        <f>IF(INPUTS!$B$15="yes",AC99,AB99)</f>
        <v>#DIV/0!</v>
      </c>
      <c r="AE99" s="36" t="str">
        <f t="shared" si="30"/>
        <v>no</v>
      </c>
      <c r="AF99" s="36"/>
      <c r="AG99" s="389" t="e">
        <f>P99*('upper bound Kenaga'!$F$36/100)</f>
        <v>#DIV/0!</v>
      </c>
      <c r="AH99" s="36"/>
      <c r="AI99" s="389" t="e">
        <f>P99*('upper bound Kenaga'!$F$96/100)</f>
        <v>#DIV/0!</v>
      </c>
      <c r="AJ99" s="36"/>
      <c r="AK99" s="36"/>
      <c r="AL99" s="36"/>
      <c r="AM99" s="36"/>
      <c r="AN99" s="36"/>
      <c r="AO99" s="36"/>
    </row>
    <row r="100" spans="1:41">
      <c r="A100" s="617"/>
      <c r="B100" s="328" t="s">
        <v>57</v>
      </c>
      <c r="C100" s="329">
        <f>INPUTS!C20</f>
        <v>35</v>
      </c>
      <c r="D100" s="330">
        <f t="shared" si="32"/>
        <v>4.612601938597475</v>
      </c>
      <c r="E100" s="330">
        <f>D100/0.9</f>
        <v>5.1251132651083058</v>
      </c>
      <c r="F100" s="300">
        <f t="shared" si="33"/>
        <v>14.643180757452301</v>
      </c>
      <c r="G100" s="331">
        <f t="shared" si="34"/>
        <v>5.1251132651083057E-3</v>
      </c>
      <c r="H100" s="617"/>
      <c r="J100" s="6">
        <f>COUNTIF(K$21:K100,"=yes")</f>
        <v>1</v>
      </c>
      <c r="K100" s="533" t="str">
        <f>IF(LOOKUP(VALUE(M100),INPUTS!$G$6:$G$35)=M100,"yes","no")</f>
        <v>no</v>
      </c>
      <c r="L100" s="533">
        <f>IF(K100="yes",(LOOKUP(J100,INPUTS!$E$6:$E$35,INPUTS!$F$6:$F$35)),0)</f>
        <v>0</v>
      </c>
      <c r="M100" s="135">
        <f t="shared" si="18"/>
        <v>79</v>
      </c>
      <c r="N100" s="135">
        <f t="shared" si="19"/>
        <v>1</v>
      </c>
      <c r="O100" s="135">
        <f t="shared" si="20"/>
        <v>0</v>
      </c>
      <c r="P100" s="536" t="e">
        <f t="shared" si="31"/>
        <v>#DIV/0!</v>
      </c>
      <c r="Q100" s="537" t="e">
        <f t="shared" si="25"/>
        <v>#DIV/0!</v>
      </c>
      <c r="R100" s="538" t="e">
        <f>IF(INPUTS!$B$15="yes",Q100,P100)</f>
        <v>#DIV/0!</v>
      </c>
      <c r="S100" s="536" t="e">
        <f t="shared" si="21"/>
        <v>#DIV/0!</v>
      </c>
      <c r="T100" s="537" t="e">
        <f t="shared" si="26"/>
        <v>#DIV/0!</v>
      </c>
      <c r="U100" s="538" t="e">
        <f>IF(INPUTS!$B$15="yes",T100,S100)</f>
        <v>#DIV/0!</v>
      </c>
      <c r="V100" s="536" t="e">
        <f t="shared" si="22"/>
        <v>#DIV/0!</v>
      </c>
      <c r="W100" s="537" t="e">
        <f t="shared" si="27"/>
        <v>#DIV/0!</v>
      </c>
      <c r="X100" s="538" t="e">
        <f>IF(INPUTS!$B$15="yes",W100,V100)</f>
        <v>#DIV/0!</v>
      </c>
      <c r="Y100" s="536" t="e">
        <f t="shared" si="23"/>
        <v>#DIV/0!</v>
      </c>
      <c r="Z100" s="537" t="e">
        <f t="shared" si="28"/>
        <v>#DIV/0!</v>
      </c>
      <c r="AA100" s="538" t="e">
        <f>IF(INPUTS!$B$15="yes",Z100,Y100)</f>
        <v>#DIV/0!</v>
      </c>
      <c r="AB100" s="536" t="e">
        <f t="shared" si="24"/>
        <v>#DIV/0!</v>
      </c>
      <c r="AC100" s="537" t="e">
        <f t="shared" si="29"/>
        <v>#DIV/0!</v>
      </c>
      <c r="AD100" s="538" t="e">
        <f>IF(INPUTS!$B$15="yes",AC100,AB100)</f>
        <v>#DIV/0!</v>
      </c>
      <c r="AE100" s="36" t="str">
        <f t="shared" si="30"/>
        <v>no</v>
      </c>
      <c r="AF100" s="36"/>
      <c r="AG100" s="389" t="e">
        <f>P100*('upper bound Kenaga'!$F$36/100)</f>
        <v>#DIV/0!</v>
      </c>
      <c r="AH100" s="36"/>
      <c r="AI100" s="389" t="e">
        <f>P100*('upper bound Kenaga'!$F$96/100)</f>
        <v>#DIV/0!</v>
      </c>
      <c r="AJ100" s="36"/>
      <c r="AK100" s="36"/>
      <c r="AL100" s="36"/>
      <c r="AM100" s="36"/>
      <c r="AN100" s="36"/>
      <c r="AO100" s="36"/>
    </row>
    <row r="101" spans="1:41" ht="13.5" thickBot="1">
      <c r="A101" s="617"/>
      <c r="B101" s="336"/>
      <c r="C101" s="337">
        <f>INPUTS!C21</f>
        <v>1000</v>
      </c>
      <c r="D101" s="338">
        <f t="shared" si="32"/>
        <v>30.555655165818088</v>
      </c>
      <c r="E101" s="338">
        <f>D101/0.9</f>
        <v>33.950727962020096</v>
      </c>
      <c r="F101" s="306">
        <f t="shared" si="33"/>
        <v>3.3950727962020095</v>
      </c>
      <c r="G101" s="339">
        <f t="shared" si="34"/>
        <v>3.3950727962020096E-2</v>
      </c>
      <c r="H101" s="617"/>
      <c r="J101" s="6">
        <f>COUNTIF(K$21:K101,"=yes")</f>
        <v>1</v>
      </c>
      <c r="K101" s="533" t="str">
        <f>IF(LOOKUP(VALUE(M101),INPUTS!$G$6:$G$35)=M101,"yes","no")</f>
        <v>no</v>
      </c>
      <c r="L101" s="533">
        <f>IF(K101="yes",(LOOKUP(J101,INPUTS!$E$6:$E$35,INPUTS!$F$6:$F$35)),0)</f>
        <v>0</v>
      </c>
      <c r="M101" s="135">
        <f t="shared" si="18"/>
        <v>80</v>
      </c>
      <c r="N101" s="135">
        <f t="shared" si="19"/>
        <v>1</v>
      </c>
      <c r="O101" s="135">
        <f t="shared" si="20"/>
        <v>0</v>
      </c>
      <c r="P101" s="536" t="e">
        <f t="shared" si="31"/>
        <v>#DIV/0!</v>
      </c>
      <c r="Q101" s="537" t="e">
        <f t="shared" si="25"/>
        <v>#DIV/0!</v>
      </c>
      <c r="R101" s="538" t="e">
        <f>IF(INPUTS!$B$15="yes",Q101,P101)</f>
        <v>#DIV/0!</v>
      </c>
      <c r="S101" s="536" t="e">
        <f t="shared" si="21"/>
        <v>#DIV/0!</v>
      </c>
      <c r="T101" s="537" t="e">
        <f t="shared" si="26"/>
        <v>#DIV/0!</v>
      </c>
      <c r="U101" s="538" t="e">
        <f>IF(INPUTS!$B$15="yes",T101,S101)</f>
        <v>#DIV/0!</v>
      </c>
      <c r="V101" s="536" t="e">
        <f t="shared" si="22"/>
        <v>#DIV/0!</v>
      </c>
      <c r="W101" s="537" t="e">
        <f t="shared" si="27"/>
        <v>#DIV/0!</v>
      </c>
      <c r="X101" s="538" t="e">
        <f>IF(INPUTS!$B$15="yes",W101,V101)</f>
        <v>#DIV/0!</v>
      </c>
      <c r="Y101" s="536" t="e">
        <f t="shared" si="23"/>
        <v>#DIV/0!</v>
      </c>
      <c r="Z101" s="537" t="e">
        <f t="shared" si="28"/>
        <v>#DIV/0!</v>
      </c>
      <c r="AA101" s="538" t="e">
        <f>IF(INPUTS!$B$15="yes",Z101,Y101)</f>
        <v>#DIV/0!</v>
      </c>
      <c r="AB101" s="536" t="e">
        <f t="shared" si="24"/>
        <v>#DIV/0!</v>
      </c>
      <c r="AC101" s="537" t="e">
        <f t="shared" si="29"/>
        <v>#DIV/0!</v>
      </c>
      <c r="AD101" s="538" t="e">
        <f>IF(INPUTS!$B$15="yes",AC101,AB101)</f>
        <v>#DIV/0!</v>
      </c>
      <c r="AE101" s="36" t="str">
        <f t="shared" si="30"/>
        <v>no</v>
      </c>
      <c r="AF101" s="36"/>
      <c r="AG101" s="389" t="e">
        <f>P101*('upper bound Kenaga'!$F$36/100)</f>
        <v>#DIV/0!</v>
      </c>
      <c r="AH101" s="36"/>
      <c r="AI101" s="389" t="e">
        <f>P101*('upper bound Kenaga'!$F$96/100)</f>
        <v>#DIV/0!</v>
      </c>
      <c r="AJ101" s="36"/>
      <c r="AK101" s="36"/>
      <c r="AL101" s="36"/>
      <c r="AM101" s="36"/>
      <c r="AN101" s="36"/>
      <c r="AO101" s="36"/>
    </row>
    <row r="102" spans="1:41" ht="13.5" thickBot="1">
      <c r="A102" s="569"/>
      <c r="B102" s="147"/>
      <c r="C102" s="147"/>
      <c r="D102" s="340"/>
      <c r="E102" s="147"/>
      <c r="F102" s="147"/>
      <c r="G102" s="147"/>
      <c r="H102" s="617"/>
      <c r="J102" s="6">
        <f>COUNTIF(K$21:K102,"=yes")</f>
        <v>1</v>
      </c>
      <c r="K102" s="533" t="str">
        <f>IF(LOOKUP(VALUE(M102),INPUTS!$G$6:$G$35)=M102,"yes","no")</f>
        <v>no</v>
      </c>
      <c r="L102" s="533">
        <f>IF(K102="yes",(LOOKUP(J102,INPUTS!$E$6:$E$35,INPUTS!$F$6:$F$35)),0)</f>
        <v>0</v>
      </c>
      <c r="M102" s="135">
        <f t="shared" si="18"/>
        <v>81</v>
      </c>
      <c r="N102" s="135">
        <f t="shared" si="19"/>
        <v>1</v>
      </c>
      <c r="O102" s="135">
        <f t="shared" si="20"/>
        <v>0</v>
      </c>
      <c r="P102" s="536" t="e">
        <f t="shared" si="31"/>
        <v>#DIV/0!</v>
      </c>
      <c r="Q102" s="537" t="e">
        <f t="shared" si="25"/>
        <v>#DIV/0!</v>
      </c>
      <c r="R102" s="538" t="e">
        <f>IF(INPUTS!$B$15="yes",Q102,P102)</f>
        <v>#DIV/0!</v>
      </c>
      <c r="S102" s="536" t="e">
        <f t="shared" si="21"/>
        <v>#DIV/0!</v>
      </c>
      <c r="T102" s="537" t="e">
        <f t="shared" si="26"/>
        <v>#DIV/0!</v>
      </c>
      <c r="U102" s="538" t="e">
        <f>IF(INPUTS!$B$15="yes",T102,S102)</f>
        <v>#DIV/0!</v>
      </c>
      <c r="V102" s="536" t="e">
        <f t="shared" si="22"/>
        <v>#DIV/0!</v>
      </c>
      <c r="W102" s="537" t="e">
        <f t="shared" si="27"/>
        <v>#DIV/0!</v>
      </c>
      <c r="X102" s="538" t="e">
        <f>IF(INPUTS!$B$15="yes",W102,V102)</f>
        <v>#DIV/0!</v>
      </c>
      <c r="Y102" s="536" t="e">
        <f t="shared" si="23"/>
        <v>#DIV/0!</v>
      </c>
      <c r="Z102" s="537" t="e">
        <f t="shared" si="28"/>
        <v>#DIV/0!</v>
      </c>
      <c r="AA102" s="538" t="e">
        <f>IF(INPUTS!$B$15="yes",Z102,Y102)</f>
        <v>#DIV/0!</v>
      </c>
      <c r="AB102" s="536" t="e">
        <f t="shared" si="24"/>
        <v>#DIV/0!</v>
      </c>
      <c r="AC102" s="537" t="e">
        <f t="shared" si="29"/>
        <v>#DIV/0!</v>
      </c>
      <c r="AD102" s="538" t="e">
        <f>IF(INPUTS!$B$15="yes",AC102,AB102)</f>
        <v>#DIV/0!</v>
      </c>
      <c r="AE102" s="36" t="str">
        <f t="shared" si="30"/>
        <v>no</v>
      </c>
      <c r="AF102" s="36"/>
      <c r="AG102" s="389" t="e">
        <f>P102*('upper bound Kenaga'!$F$36/100)</f>
        <v>#DIV/0!</v>
      </c>
      <c r="AH102" s="36"/>
      <c r="AI102" s="389" t="e">
        <f>P102*('upper bound Kenaga'!$F$96/100)</f>
        <v>#DIV/0!</v>
      </c>
      <c r="AJ102" s="36"/>
      <c r="AK102" s="36"/>
      <c r="AL102" s="36"/>
      <c r="AM102" s="36"/>
      <c r="AN102" s="36"/>
      <c r="AO102" s="36"/>
    </row>
    <row r="103" spans="1:41">
      <c r="A103" s="617"/>
      <c r="B103" s="371" t="s">
        <v>15</v>
      </c>
      <c r="C103" s="378" t="s">
        <v>35</v>
      </c>
      <c r="D103" s="373" t="s">
        <v>140</v>
      </c>
      <c r="E103" s="379" t="s">
        <v>140</v>
      </c>
      <c r="F103" s="341"/>
      <c r="G103" s="147"/>
      <c r="H103" s="617"/>
      <c r="J103" s="6">
        <f>COUNTIF(K$21:K103,"=yes")</f>
        <v>1</v>
      </c>
      <c r="K103" s="533" t="str">
        <f>IF(LOOKUP(VALUE(M103),INPUTS!$G$6:$G$35)=M103,"yes","no")</f>
        <v>no</v>
      </c>
      <c r="L103" s="533">
        <f>IF(K103="yes",(LOOKUP(J103,INPUTS!$E$6:$E$35,INPUTS!$F$6:$F$35)),0)</f>
        <v>0</v>
      </c>
      <c r="M103" s="135">
        <f t="shared" si="18"/>
        <v>82</v>
      </c>
      <c r="N103" s="135">
        <f t="shared" si="19"/>
        <v>1</v>
      </c>
      <c r="O103" s="135">
        <f t="shared" si="20"/>
        <v>0</v>
      </c>
      <c r="P103" s="536" t="e">
        <f t="shared" si="31"/>
        <v>#DIV/0!</v>
      </c>
      <c r="Q103" s="537" t="e">
        <f t="shared" si="25"/>
        <v>#DIV/0!</v>
      </c>
      <c r="R103" s="538" t="e">
        <f>IF(INPUTS!$B$15="yes",Q103,P103)</f>
        <v>#DIV/0!</v>
      </c>
      <c r="S103" s="536" t="e">
        <f t="shared" si="21"/>
        <v>#DIV/0!</v>
      </c>
      <c r="T103" s="537" t="e">
        <f t="shared" si="26"/>
        <v>#DIV/0!</v>
      </c>
      <c r="U103" s="538" t="e">
        <f>IF(INPUTS!$B$15="yes",T103,S103)</f>
        <v>#DIV/0!</v>
      </c>
      <c r="V103" s="536" t="e">
        <f t="shared" si="22"/>
        <v>#DIV/0!</v>
      </c>
      <c r="W103" s="537" t="e">
        <f t="shared" si="27"/>
        <v>#DIV/0!</v>
      </c>
      <c r="X103" s="538" t="e">
        <f>IF(INPUTS!$B$15="yes",W103,V103)</f>
        <v>#DIV/0!</v>
      </c>
      <c r="Y103" s="536" t="e">
        <f t="shared" si="23"/>
        <v>#DIV/0!</v>
      </c>
      <c r="Z103" s="537" t="e">
        <f t="shared" si="28"/>
        <v>#DIV/0!</v>
      </c>
      <c r="AA103" s="538" t="e">
        <f>IF(INPUTS!$B$15="yes",Z103,Y103)</f>
        <v>#DIV/0!</v>
      </c>
      <c r="AB103" s="536" t="e">
        <f t="shared" si="24"/>
        <v>#DIV/0!</v>
      </c>
      <c r="AC103" s="537" t="e">
        <f t="shared" si="29"/>
        <v>#DIV/0!</v>
      </c>
      <c r="AD103" s="538" t="e">
        <f>IF(INPUTS!$B$15="yes",AC103,AB103)</f>
        <v>#DIV/0!</v>
      </c>
      <c r="AE103" s="36" t="str">
        <f t="shared" si="30"/>
        <v>no</v>
      </c>
      <c r="AF103" s="36"/>
      <c r="AG103" s="389" t="e">
        <f>P103*('upper bound Kenaga'!$F$36/100)</f>
        <v>#DIV/0!</v>
      </c>
      <c r="AH103" s="36"/>
      <c r="AI103" s="389" t="e">
        <f>P103*('upper bound Kenaga'!$F$96/100)</f>
        <v>#DIV/0!</v>
      </c>
      <c r="AJ103" s="36"/>
      <c r="AK103" s="36"/>
      <c r="AL103" s="36"/>
      <c r="AM103" s="36"/>
      <c r="AN103" s="36"/>
      <c r="AO103" s="36"/>
    </row>
    <row r="104" spans="1:41">
      <c r="A104" s="617"/>
      <c r="B104" s="375" t="s">
        <v>34</v>
      </c>
      <c r="C104" s="380" t="s">
        <v>36</v>
      </c>
      <c r="D104" s="321" t="s">
        <v>141</v>
      </c>
      <c r="E104" s="381" t="s">
        <v>82</v>
      </c>
      <c r="F104" s="341"/>
      <c r="G104" s="147"/>
      <c r="H104" s="617"/>
      <c r="J104" s="6">
        <f>COUNTIF(K$21:K104,"=yes")</f>
        <v>1</v>
      </c>
      <c r="K104" s="533" t="str">
        <f>IF(LOOKUP(VALUE(M104),INPUTS!$G$6:$G$35)=M104,"yes","no")</f>
        <v>no</v>
      </c>
      <c r="L104" s="533">
        <f>IF(K104="yes",(LOOKUP(J104,INPUTS!$E$6:$E$35,INPUTS!$F$6:$F$35)),0)</f>
        <v>0</v>
      </c>
      <c r="M104" s="135">
        <f t="shared" si="18"/>
        <v>83</v>
      </c>
      <c r="N104" s="135">
        <f t="shared" si="19"/>
        <v>1</v>
      </c>
      <c r="O104" s="135">
        <f t="shared" si="20"/>
        <v>0</v>
      </c>
      <c r="P104" s="536" t="e">
        <f t="shared" si="31"/>
        <v>#DIV/0!</v>
      </c>
      <c r="Q104" s="537" t="e">
        <f t="shared" si="25"/>
        <v>#DIV/0!</v>
      </c>
      <c r="R104" s="538" t="e">
        <f>IF(INPUTS!$B$15="yes",Q104,P104)</f>
        <v>#DIV/0!</v>
      </c>
      <c r="S104" s="536" t="e">
        <f t="shared" si="21"/>
        <v>#DIV/0!</v>
      </c>
      <c r="T104" s="537" t="e">
        <f t="shared" si="26"/>
        <v>#DIV/0!</v>
      </c>
      <c r="U104" s="538" t="e">
        <f>IF(INPUTS!$B$15="yes",T104,S104)</f>
        <v>#DIV/0!</v>
      </c>
      <c r="V104" s="536" t="e">
        <f t="shared" si="22"/>
        <v>#DIV/0!</v>
      </c>
      <c r="W104" s="537" t="e">
        <f t="shared" si="27"/>
        <v>#DIV/0!</v>
      </c>
      <c r="X104" s="538" t="e">
        <f>IF(INPUTS!$B$15="yes",W104,V104)</f>
        <v>#DIV/0!</v>
      </c>
      <c r="Y104" s="536" t="e">
        <f t="shared" si="23"/>
        <v>#DIV/0!</v>
      </c>
      <c r="Z104" s="537" t="e">
        <f t="shared" si="28"/>
        <v>#DIV/0!</v>
      </c>
      <c r="AA104" s="538" t="e">
        <f>IF(INPUTS!$B$15="yes",Z104,Y104)</f>
        <v>#DIV/0!</v>
      </c>
      <c r="AB104" s="536" t="e">
        <f t="shared" si="24"/>
        <v>#DIV/0!</v>
      </c>
      <c r="AC104" s="537" t="e">
        <f t="shared" si="29"/>
        <v>#DIV/0!</v>
      </c>
      <c r="AD104" s="538" t="e">
        <f>IF(INPUTS!$B$15="yes",AC104,AB104)</f>
        <v>#DIV/0!</v>
      </c>
      <c r="AE104" s="36" t="str">
        <f t="shared" si="30"/>
        <v>no</v>
      </c>
      <c r="AF104" s="36"/>
      <c r="AG104" s="389" t="e">
        <f>P104*('upper bound Kenaga'!$F$36/100)</f>
        <v>#DIV/0!</v>
      </c>
      <c r="AH104" s="36"/>
      <c r="AI104" s="389" t="e">
        <f>P104*('upper bound Kenaga'!$F$96/100)</f>
        <v>#DIV/0!</v>
      </c>
      <c r="AJ104" s="36"/>
      <c r="AK104" s="36"/>
      <c r="AL104" s="36"/>
      <c r="AM104" s="36"/>
      <c r="AN104" s="36"/>
      <c r="AO104" s="36"/>
    </row>
    <row r="105" spans="1:41">
      <c r="A105" s="617"/>
      <c r="B105" s="328"/>
      <c r="C105" s="343">
        <f t="shared" ref="C105:C110" si="35">C96</f>
        <v>15</v>
      </c>
      <c r="D105" s="344">
        <f>($D$20*((INPUTS!$D$48/C105)^0.25))</f>
        <v>0</v>
      </c>
      <c r="E105" s="345">
        <f>($D$22*((INPUTS!$E$48/C105)^0.25))</f>
        <v>0</v>
      </c>
      <c r="F105" s="346"/>
      <c r="G105" s="147"/>
      <c r="H105" s="617"/>
      <c r="J105" s="6">
        <f>COUNTIF(K$21:K105,"=yes")</f>
        <v>1</v>
      </c>
      <c r="K105" s="533" t="str">
        <f>IF(LOOKUP(VALUE(M105),INPUTS!$G$6:$G$35)=M105,"yes","no")</f>
        <v>no</v>
      </c>
      <c r="L105" s="533">
        <f>IF(K105="yes",(LOOKUP(J105,INPUTS!$E$6:$E$35,INPUTS!$F$6:$F$35)),0)</f>
        <v>0</v>
      </c>
      <c r="M105" s="135">
        <f t="shared" si="18"/>
        <v>84</v>
      </c>
      <c r="N105" s="135">
        <f t="shared" si="19"/>
        <v>1</v>
      </c>
      <c r="O105" s="135">
        <f t="shared" si="20"/>
        <v>0</v>
      </c>
      <c r="P105" s="536" t="e">
        <f t="shared" si="31"/>
        <v>#DIV/0!</v>
      </c>
      <c r="Q105" s="537" t="e">
        <f t="shared" si="25"/>
        <v>#DIV/0!</v>
      </c>
      <c r="R105" s="538" t="e">
        <f>IF(INPUTS!$B$15="yes",Q105,P105)</f>
        <v>#DIV/0!</v>
      </c>
      <c r="S105" s="536" t="e">
        <f t="shared" si="21"/>
        <v>#DIV/0!</v>
      </c>
      <c r="T105" s="537" t="e">
        <f t="shared" si="26"/>
        <v>#DIV/0!</v>
      </c>
      <c r="U105" s="538" t="e">
        <f>IF(INPUTS!$B$15="yes",T105,S105)</f>
        <v>#DIV/0!</v>
      </c>
      <c r="V105" s="536" t="e">
        <f t="shared" si="22"/>
        <v>#DIV/0!</v>
      </c>
      <c r="W105" s="537" t="e">
        <f t="shared" si="27"/>
        <v>#DIV/0!</v>
      </c>
      <c r="X105" s="538" t="e">
        <f>IF(INPUTS!$B$15="yes",W105,V105)</f>
        <v>#DIV/0!</v>
      </c>
      <c r="Y105" s="536" t="e">
        <f t="shared" si="23"/>
        <v>#DIV/0!</v>
      </c>
      <c r="Z105" s="537" t="e">
        <f t="shared" si="28"/>
        <v>#DIV/0!</v>
      </c>
      <c r="AA105" s="538" t="e">
        <f>IF(INPUTS!$B$15="yes",Z105,Y105)</f>
        <v>#DIV/0!</v>
      </c>
      <c r="AB105" s="536" t="e">
        <f t="shared" si="24"/>
        <v>#DIV/0!</v>
      </c>
      <c r="AC105" s="537" t="e">
        <f t="shared" si="29"/>
        <v>#DIV/0!</v>
      </c>
      <c r="AD105" s="538" t="e">
        <f>IF(INPUTS!$B$15="yes",AC105,AB105)</f>
        <v>#DIV/0!</v>
      </c>
      <c r="AE105" s="36" t="str">
        <f t="shared" si="30"/>
        <v>no</v>
      </c>
      <c r="AF105" s="36"/>
      <c r="AG105" s="389" t="e">
        <f>P105*('upper bound Kenaga'!$F$36/100)</f>
        <v>#DIV/0!</v>
      </c>
      <c r="AH105" s="36"/>
      <c r="AI105" s="389" t="e">
        <f>P105*('upper bound Kenaga'!$F$96/100)</f>
        <v>#DIV/0!</v>
      </c>
      <c r="AJ105" s="36"/>
      <c r="AK105" s="36"/>
      <c r="AL105" s="36"/>
      <c r="AM105" s="36"/>
      <c r="AN105" s="36"/>
      <c r="AO105" s="36"/>
    </row>
    <row r="106" spans="1:41">
      <c r="A106" s="617"/>
      <c r="B106" s="328" t="s">
        <v>29</v>
      </c>
      <c r="C106" s="343">
        <f t="shared" si="35"/>
        <v>35</v>
      </c>
      <c r="D106" s="324">
        <f>($D$20*((INPUTS!D48/C106)^0.25))</f>
        <v>0</v>
      </c>
      <c r="E106" s="347">
        <f>($D$22*((INPUTS!$E$48/C106)^0.25))</f>
        <v>0</v>
      </c>
      <c r="F106" s="346"/>
      <c r="G106" s="147"/>
      <c r="H106" s="617"/>
      <c r="J106" s="6">
        <f>COUNTIF(K$21:K106,"=yes")</f>
        <v>1</v>
      </c>
      <c r="K106" s="533" t="str">
        <f>IF(LOOKUP(VALUE(M106),INPUTS!$G$6:$G$35)=M106,"yes","no")</f>
        <v>no</v>
      </c>
      <c r="L106" s="533">
        <f>IF(K106="yes",(LOOKUP(J106,INPUTS!$E$6:$E$35,INPUTS!$F$6:$F$35)),0)</f>
        <v>0</v>
      </c>
      <c r="M106" s="135">
        <f t="shared" si="18"/>
        <v>85</v>
      </c>
      <c r="N106" s="135">
        <f t="shared" si="19"/>
        <v>1</v>
      </c>
      <c r="O106" s="135">
        <f t="shared" si="20"/>
        <v>0</v>
      </c>
      <c r="P106" s="536" t="e">
        <f t="shared" si="31"/>
        <v>#DIV/0!</v>
      </c>
      <c r="Q106" s="537" t="e">
        <f t="shared" si="25"/>
        <v>#DIV/0!</v>
      </c>
      <c r="R106" s="538" t="e">
        <f>IF(INPUTS!$B$15="yes",Q106,P106)</f>
        <v>#DIV/0!</v>
      </c>
      <c r="S106" s="536" t="e">
        <f t="shared" si="21"/>
        <v>#DIV/0!</v>
      </c>
      <c r="T106" s="537" t="e">
        <f t="shared" si="26"/>
        <v>#DIV/0!</v>
      </c>
      <c r="U106" s="538" t="e">
        <f>IF(INPUTS!$B$15="yes",T106,S106)</f>
        <v>#DIV/0!</v>
      </c>
      <c r="V106" s="536" t="e">
        <f t="shared" si="22"/>
        <v>#DIV/0!</v>
      </c>
      <c r="W106" s="537" t="e">
        <f t="shared" si="27"/>
        <v>#DIV/0!</v>
      </c>
      <c r="X106" s="538" t="e">
        <f>IF(INPUTS!$B$15="yes",W106,V106)</f>
        <v>#DIV/0!</v>
      </c>
      <c r="Y106" s="536" t="e">
        <f t="shared" si="23"/>
        <v>#DIV/0!</v>
      </c>
      <c r="Z106" s="537" t="e">
        <f t="shared" si="28"/>
        <v>#DIV/0!</v>
      </c>
      <c r="AA106" s="538" t="e">
        <f>IF(INPUTS!$B$15="yes",Z106,Y106)</f>
        <v>#DIV/0!</v>
      </c>
      <c r="AB106" s="536" t="e">
        <f t="shared" si="24"/>
        <v>#DIV/0!</v>
      </c>
      <c r="AC106" s="537" t="e">
        <f t="shared" si="29"/>
        <v>#DIV/0!</v>
      </c>
      <c r="AD106" s="538" t="e">
        <f>IF(INPUTS!$B$15="yes",AC106,AB106)</f>
        <v>#DIV/0!</v>
      </c>
      <c r="AE106" s="36" t="str">
        <f t="shared" si="30"/>
        <v>no</v>
      </c>
      <c r="AF106" s="36"/>
      <c r="AG106" s="389" t="e">
        <f>P106*('upper bound Kenaga'!$F$36/100)</f>
        <v>#DIV/0!</v>
      </c>
      <c r="AH106" s="36"/>
      <c r="AI106" s="389" t="e">
        <f>P106*('upper bound Kenaga'!$F$96/100)</f>
        <v>#DIV/0!</v>
      </c>
      <c r="AJ106" s="36"/>
      <c r="AK106" s="36"/>
      <c r="AL106" s="36"/>
      <c r="AM106" s="36"/>
      <c r="AN106" s="36"/>
      <c r="AO106" s="36"/>
    </row>
    <row r="107" spans="1:41">
      <c r="A107" s="617"/>
      <c r="B107" s="332" t="s">
        <v>30</v>
      </c>
      <c r="C107" s="342">
        <f t="shared" si="35"/>
        <v>1000</v>
      </c>
      <c r="D107" s="348">
        <f>($D$20*((INPUTS!D48/C107)^0.25))</f>
        <v>0</v>
      </c>
      <c r="E107" s="349">
        <f>($D$22*((INPUTS!$E$48/C107)^0.25))</f>
        <v>0</v>
      </c>
      <c r="F107" s="346"/>
      <c r="G107" s="147"/>
      <c r="H107" s="617"/>
      <c r="J107" s="6">
        <f>COUNTIF(K$21:K107,"=yes")</f>
        <v>1</v>
      </c>
      <c r="K107" s="533" t="str">
        <f>IF(LOOKUP(VALUE(M107),INPUTS!$G$6:$G$35)=M107,"yes","no")</f>
        <v>no</v>
      </c>
      <c r="L107" s="533">
        <f>IF(K107="yes",(LOOKUP(J107,INPUTS!$E$6:$E$35,INPUTS!$F$6:$F$35)),0)</f>
        <v>0</v>
      </c>
      <c r="M107" s="135">
        <f t="shared" si="18"/>
        <v>86</v>
      </c>
      <c r="N107" s="135">
        <f t="shared" si="19"/>
        <v>1</v>
      </c>
      <c r="O107" s="135">
        <f t="shared" si="20"/>
        <v>0</v>
      </c>
      <c r="P107" s="536" t="e">
        <f t="shared" si="31"/>
        <v>#DIV/0!</v>
      </c>
      <c r="Q107" s="537" t="e">
        <f t="shared" si="25"/>
        <v>#DIV/0!</v>
      </c>
      <c r="R107" s="538" t="e">
        <f>IF(INPUTS!$B$15="yes",Q107,P107)</f>
        <v>#DIV/0!</v>
      </c>
      <c r="S107" s="536" t="e">
        <f t="shared" si="21"/>
        <v>#DIV/0!</v>
      </c>
      <c r="T107" s="537" t="e">
        <f t="shared" si="26"/>
        <v>#DIV/0!</v>
      </c>
      <c r="U107" s="538" t="e">
        <f>IF(INPUTS!$B$15="yes",T107,S107)</f>
        <v>#DIV/0!</v>
      </c>
      <c r="V107" s="536" t="e">
        <f t="shared" si="22"/>
        <v>#DIV/0!</v>
      </c>
      <c r="W107" s="537" t="e">
        <f t="shared" si="27"/>
        <v>#DIV/0!</v>
      </c>
      <c r="X107" s="538" t="e">
        <f>IF(INPUTS!$B$15="yes",W107,V107)</f>
        <v>#DIV/0!</v>
      </c>
      <c r="Y107" s="536" t="e">
        <f t="shared" si="23"/>
        <v>#DIV/0!</v>
      </c>
      <c r="Z107" s="537" t="e">
        <f t="shared" si="28"/>
        <v>#DIV/0!</v>
      </c>
      <c r="AA107" s="538" t="e">
        <f>IF(INPUTS!$B$15="yes",Z107,Y107)</f>
        <v>#DIV/0!</v>
      </c>
      <c r="AB107" s="536" t="e">
        <f t="shared" si="24"/>
        <v>#DIV/0!</v>
      </c>
      <c r="AC107" s="537" t="e">
        <f t="shared" si="29"/>
        <v>#DIV/0!</v>
      </c>
      <c r="AD107" s="538" t="e">
        <f>IF(INPUTS!$B$15="yes",AC107,AB107)</f>
        <v>#DIV/0!</v>
      </c>
      <c r="AE107" s="36" t="str">
        <f t="shared" si="30"/>
        <v>no</v>
      </c>
      <c r="AF107" s="36"/>
      <c r="AG107" s="389" t="e">
        <f>P107*('upper bound Kenaga'!$F$36/100)</f>
        <v>#DIV/0!</v>
      </c>
      <c r="AH107" s="36"/>
      <c r="AI107" s="389" t="e">
        <f>P107*('upper bound Kenaga'!$F$96/100)</f>
        <v>#DIV/0!</v>
      </c>
      <c r="AJ107" s="36"/>
      <c r="AK107" s="36"/>
      <c r="AL107" s="36"/>
      <c r="AM107" s="36"/>
      <c r="AN107" s="36"/>
      <c r="AO107" s="36"/>
    </row>
    <row r="108" spans="1:41">
      <c r="A108" s="617"/>
      <c r="B108" s="328"/>
      <c r="C108" s="343">
        <f t="shared" si="35"/>
        <v>15</v>
      </c>
      <c r="D108" s="324">
        <f>($D$20*((INPUTS!D48/C108)^0.25))</f>
        <v>0</v>
      </c>
      <c r="E108" s="347">
        <f>($D$22*((INPUTS!$E$48/C108)^0.25))</f>
        <v>0</v>
      </c>
      <c r="F108" s="346"/>
      <c r="G108" s="147"/>
      <c r="H108" s="673"/>
      <c r="J108" s="6">
        <f>COUNTIF(K$21:K108,"=yes")</f>
        <v>1</v>
      </c>
      <c r="K108" s="533" t="str">
        <f>IF(LOOKUP(VALUE(M108),INPUTS!$G$6:$G$35)=M108,"yes","no")</f>
        <v>no</v>
      </c>
      <c r="L108" s="533">
        <f>IF(K108="yes",(LOOKUP(J108,INPUTS!$E$6:$E$35,INPUTS!$F$6:$F$35)),0)</f>
        <v>0</v>
      </c>
      <c r="M108" s="135">
        <f t="shared" si="18"/>
        <v>87</v>
      </c>
      <c r="N108" s="135">
        <f t="shared" si="19"/>
        <v>1</v>
      </c>
      <c r="O108" s="135">
        <f t="shared" si="20"/>
        <v>0</v>
      </c>
      <c r="P108" s="536" t="e">
        <f t="shared" si="31"/>
        <v>#DIV/0!</v>
      </c>
      <c r="Q108" s="537" t="e">
        <f t="shared" si="25"/>
        <v>#DIV/0!</v>
      </c>
      <c r="R108" s="538" t="e">
        <f>IF(INPUTS!$B$15="yes",Q108,P108)</f>
        <v>#DIV/0!</v>
      </c>
      <c r="S108" s="536" t="e">
        <f t="shared" si="21"/>
        <v>#DIV/0!</v>
      </c>
      <c r="T108" s="537" t="e">
        <f t="shared" si="26"/>
        <v>#DIV/0!</v>
      </c>
      <c r="U108" s="538" t="e">
        <f>IF(INPUTS!$B$15="yes",T108,S108)</f>
        <v>#DIV/0!</v>
      </c>
      <c r="V108" s="536" t="e">
        <f t="shared" si="22"/>
        <v>#DIV/0!</v>
      </c>
      <c r="W108" s="537" t="e">
        <f t="shared" si="27"/>
        <v>#DIV/0!</v>
      </c>
      <c r="X108" s="538" t="e">
        <f>IF(INPUTS!$B$15="yes",W108,V108)</f>
        <v>#DIV/0!</v>
      </c>
      <c r="Y108" s="536" t="e">
        <f t="shared" si="23"/>
        <v>#DIV/0!</v>
      </c>
      <c r="Z108" s="537" t="e">
        <f t="shared" si="28"/>
        <v>#DIV/0!</v>
      </c>
      <c r="AA108" s="538" t="e">
        <f>IF(INPUTS!$B$15="yes",Z108,Y108)</f>
        <v>#DIV/0!</v>
      </c>
      <c r="AB108" s="536" t="e">
        <f t="shared" si="24"/>
        <v>#DIV/0!</v>
      </c>
      <c r="AC108" s="537" t="e">
        <f t="shared" si="29"/>
        <v>#DIV/0!</v>
      </c>
      <c r="AD108" s="538" t="e">
        <f>IF(INPUTS!$B$15="yes",AC108,AB108)</f>
        <v>#DIV/0!</v>
      </c>
      <c r="AE108" s="36" t="str">
        <f t="shared" si="30"/>
        <v>no</v>
      </c>
      <c r="AF108" s="36"/>
      <c r="AG108" s="389" t="e">
        <f>P108*('upper bound Kenaga'!$F$36/100)</f>
        <v>#DIV/0!</v>
      </c>
      <c r="AH108" s="36"/>
      <c r="AI108" s="389" t="e">
        <f>P108*('upper bound Kenaga'!$F$96/100)</f>
        <v>#DIV/0!</v>
      </c>
      <c r="AJ108" s="36"/>
      <c r="AK108" s="36"/>
      <c r="AL108" s="36"/>
      <c r="AM108" s="36"/>
      <c r="AN108" s="36"/>
      <c r="AO108" s="36"/>
    </row>
    <row r="109" spans="1:41">
      <c r="A109" s="617"/>
      <c r="B109" s="328" t="s">
        <v>57</v>
      </c>
      <c r="C109" s="343">
        <f t="shared" si="35"/>
        <v>35</v>
      </c>
      <c r="D109" s="324">
        <f>($D$20*((INPUTS!D48/C109)^0.25))</f>
        <v>0</v>
      </c>
      <c r="E109" s="347">
        <f>($D$22*((INPUTS!$E$48/C109)^0.25))</f>
        <v>0</v>
      </c>
      <c r="F109" s="346"/>
      <c r="G109" s="147"/>
      <c r="H109" s="673"/>
      <c r="J109" s="6">
        <f>COUNTIF(K$21:K109,"=yes")</f>
        <v>1</v>
      </c>
      <c r="K109" s="533" t="str">
        <f>IF(LOOKUP(VALUE(M109),INPUTS!$G$6:$G$35)=M109,"yes","no")</f>
        <v>no</v>
      </c>
      <c r="L109" s="533">
        <f>IF(K109="yes",(LOOKUP(J109,INPUTS!$E$6:$E$35,INPUTS!$F$6:$F$35)),0)</f>
        <v>0</v>
      </c>
      <c r="M109" s="135">
        <f t="shared" si="18"/>
        <v>88</v>
      </c>
      <c r="N109" s="135">
        <f t="shared" si="19"/>
        <v>1</v>
      </c>
      <c r="O109" s="135">
        <f t="shared" si="20"/>
        <v>0</v>
      </c>
      <c r="P109" s="536" t="e">
        <f t="shared" si="31"/>
        <v>#DIV/0!</v>
      </c>
      <c r="Q109" s="537" t="e">
        <f t="shared" si="25"/>
        <v>#DIV/0!</v>
      </c>
      <c r="R109" s="538" t="e">
        <f>IF(INPUTS!$B$15="yes",Q109,P109)</f>
        <v>#DIV/0!</v>
      </c>
      <c r="S109" s="536" t="e">
        <f t="shared" si="21"/>
        <v>#DIV/0!</v>
      </c>
      <c r="T109" s="537" t="e">
        <f t="shared" si="26"/>
        <v>#DIV/0!</v>
      </c>
      <c r="U109" s="538" t="e">
        <f>IF(INPUTS!$B$15="yes",T109,S109)</f>
        <v>#DIV/0!</v>
      </c>
      <c r="V109" s="536" t="e">
        <f t="shared" si="22"/>
        <v>#DIV/0!</v>
      </c>
      <c r="W109" s="537" t="e">
        <f t="shared" si="27"/>
        <v>#DIV/0!</v>
      </c>
      <c r="X109" s="538" t="e">
        <f>IF(INPUTS!$B$15="yes",W109,V109)</f>
        <v>#DIV/0!</v>
      </c>
      <c r="Y109" s="536" t="e">
        <f t="shared" si="23"/>
        <v>#DIV/0!</v>
      </c>
      <c r="Z109" s="537" t="e">
        <f t="shared" si="28"/>
        <v>#DIV/0!</v>
      </c>
      <c r="AA109" s="538" t="e">
        <f>IF(INPUTS!$B$15="yes",Z109,Y109)</f>
        <v>#DIV/0!</v>
      </c>
      <c r="AB109" s="536" t="e">
        <f t="shared" si="24"/>
        <v>#DIV/0!</v>
      </c>
      <c r="AC109" s="537" t="e">
        <f t="shared" si="29"/>
        <v>#DIV/0!</v>
      </c>
      <c r="AD109" s="538" t="e">
        <f>IF(INPUTS!$B$15="yes",AC109,AB109)</f>
        <v>#DIV/0!</v>
      </c>
      <c r="AE109" s="36" t="str">
        <f t="shared" si="30"/>
        <v>no</v>
      </c>
      <c r="AF109" s="36"/>
      <c r="AG109" s="389" t="e">
        <f>P109*('upper bound Kenaga'!$F$36/100)</f>
        <v>#DIV/0!</v>
      </c>
      <c r="AH109" s="36"/>
      <c r="AI109" s="389" t="e">
        <f>P109*('upper bound Kenaga'!$F$96/100)</f>
        <v>#DIV/0!</v>
      </c>
      <c r="AJ109" s="36"/>
      <c r="AK109" s="36"/>
      <c r="AL109" s="36"/>
      <c r="AM109" s="36"/>
      <c r="AN109" s="36"/>
      <c r="AO109" s="36"/>
    </row>
    <row r="110" spans="1:41" ht="13.5" thickBot="1">
      <c r="A110" s="617"/>
      <c r="B110" s="336"/>
      <c r="C110" s="350">
        <f t="shared" si="35"/>
        <v>1000</v>
      </c>
      <c r="D110" s="325">
        <f>($D$20*((INPUTS!D48/C110)^0.25))</f>
        <v>0</v>
      </c>
      <c r="E110" s="351">
        <f>($D$22*((INPUTS!$E$48/C110)^0.25))</f>
        <v>0</v>
      </c>
      <c r="F110" s="346"/>
      <c r="G110" s="147"/>
      <c r="H110" s="673"/>
      <c r="J110" s="6">
        <f>COUNTIF(K$21:K110,"=yes")</f>
        <v>1</v>
      </c>
      <c r="K110" s="533" t="str">
        <f>IF(LOOKUP(VALUE(M110),INPUTS!$G$6:$G$35)=M110,"yes","no")</f>
        <v>no</v>
      </c>
      <c r="L110" s="533">
        <f>IF(K110="yes",(LOOKUP(J110,INPUTS!$E$6:$E$35,INPUTS!$F$6:$F$35)),0)</f>
        <v>0</v>
      </c>
      <c r="M110" s="135">
        <f t="shared" si="18"/>
        <v>89</v>
      </c>
      <c r="N110" s="135">
        <f t="shared" si="19"/>
        <v>1</v>
      </c>
      <c r="O110" s="135">
        <f t="shared" si="20"/>
        <v>0</v>
      </c>
      <c r="P110" s="536" t="e">
        <f t="shared" si="31"/>
        <v>#DIV/0!</v>
      </c>
      <c r="Q110" s="537" t="e">
        <f t="shared" si="25"/>
        <v>#DIV/0!</v>
      </c>
      <c r="R110" s="538" t="e">
        <f>IF(INPUTS!$B$15="yes",Q110,P110)</f>
        <v>#DIV/0!</v>
      </c>
      <c r="S110" s="536" t="e">
        <f t="shared" si="21"/>
        <v>#DIV/0!</v>
      </c>
      <c r="T110" s="537" t="e">
        <f t="shared" si="26"/>
        <v>#DIV/0!</v>
      </c>
      <c r="U110" s="538" t="e">
        <f>IF(INPUTS!$B$15="yes",T110,S110)</f>
        <v>#DIV/0!</v>
      </c>
      <c r="V110" s="536" t="e">
        <f t="shared" si="22"/>
        <v>#DIV/0!</v>
      </c>
      <c r="W110" s="537" t="e">
        <f t="shared" si="27"/>
        <v>#DIV/0!</v>
      </c>
      <c r="X110" s="538" t="e">
        <f>IF(INPUTS!$B$15="yes",W110,V110)</f>
        <v>#DIV/0!</v>
      </c>
      <c r="Y110" s="536" t="e">
        <f t="shared" si="23"/>
        <v>#DIV/0!</v>
      </c>
      <c r="Z110" s="537" t="e">
        <f t="shared" si="28"/>
        <v>#DIV/0!</v>
      </c>
      <c r="AA110" s="538" t="e">
        <f>IF(INPUTS!$B$15="yes",Z110,Y110)</f>
        <v>#DIV/0!</v>
      </c>
      <c r="AB110" s="536" t="e">
        <f t="shared" si="24"/>
        <v>#DIV/0!</v>
      </c>
      <c r="AC110" s="537" t="e">
        <f t="shared" si="29"/>
        <v>#DIV/0!</v>
      </c>
      <c r="AD110" s="538" t="e">
        <f>IF(INPUTS!$B$15="yes",AC110,AB110)</f>
        <v>#DIV/0!</v>
      </c>
      <c r="AE110" s="36" t="str">
        <f t="shared" si="30"/>
        <v>no</v>
      </c>
      <c r="AF110" s="36"/>
      <c r="AG110" s="389" t="e">
        <f>P110*('upper bound Kenaga'!$F$36/100)</f>
        <v>#DIV/0!</v>
      </c>
      <c r="AH110" s="36"/>
      <c r="AI110" s="389" t="e">
        <f>P110*('upper bound Kenaga'!$F$96/100)</f>
        <v>#DIV/0!</v>
      </c>
      <c r="AJ110" s="36"/>
      <c r="AK110" s="36"/>
      <c r="AL110" s="36"/>
      <c r="AM110" s="36"/>
      <c r="AN110" s="36"/>
      <c r="AO110" s="36"/>
    </row>
    <row r="111" spans="1:41" ht="12.75" customHeight="1" thickBot="1">
      <c r="A111" s="617"/>
      <c r="B111" s="616"/>
      <c r="C111" s="616"/>
      <c r="D111" s="622"/>
      <c r="E111" s="616"/>
      <c r="F111" s="616"/>
      <c r="G111" s="616"/>
      <c r="H111" s="674"/>
      <c r="J111" s="6">
        <f>COUNTIF(K$21:K111,"=yes")</f>
        <v>1</v>
      </c>
      <c r="K111" s="533" t="str">
        <f>IF(LOOKUP(VALUE(M111),INPUTS!$G$6:$G$35)=M111,"yes","no")</f>
        <v>no</v>
      </c>
      <c r="L111" s="533">
        <f>IF(K111="yes",(LOOKUP(J111,INPUTS!$E$6:$E$35,INPUTS!$F$6:$F$35)),0)</f>
        <v>0</v>
      </c>
      <c r="M111" s="135">
        <f t="shared" si="18"/>
        <v>90</v>
      </c>
      <c r="N111" s="135">
        <f t="shared" si="19"/>
        <v>1</v>
      </c>
      <c r="O111" s="135">
        <f t="shared" si="20"/>
        <v>0</v>
      </c>
      <c r="P111" s="536" t="e">
        <f t="shared" si="31"/>
        <v>#DIV/0!</v>
      </c>
      <c r="Q111" s="537" t="e">
        <f t="shared" si="25"/>
        <v>#DIV/0!</v>
      </c>
      <c r="R111" s="538" t="e">
        <f>IF(INPUTS!$B$15="yes",Q111,P111)</f>
        <v>#DIV/0!</v>
      </c>
      <c r="S111" s="536" t="e">
        <f t="shared" si="21"/>
        <v>#DIV/0!</v>
      </c>
      <c r="T111" s="537" t="e">
        <f t="shared" si="26"/>
        <v>#DIV/0!</v>
      </c>
      <c r="U111" s="538" t="e">
        <f>IF(INPUTS!$B$15="yes",T111,S111)</f>
        <v>#DIV/0!</v>
      </c>
      <c r="V111" s="536" t="e">
        <f t="shared" si="22"/>
        <v>#DIV/0!</v>
      </c>
      <c r="W111" s="537" t="e">
        <f t="shared" si="27"/>
        <v>#DIV/0!</v>
      </c>
      <c r="X111" s="538" t="e">
        <f>IF(INPUTS!$B$15="yes",W111,V111)</f>
        <v>#DIV/0!</v>
      </c>
      <c r="Y111" s="536" t="e">
        <f t="shared" si="23"/>
        <v>#DIV/0!</v>
      </c>
      <c r="Z111" s="537" t="e">
        <f t="shared" si="28"/>
        <v>#DIV/0!</v>
      </c>
      <c r="AA111" s="538" t="e">
        <f>IF(INPUTS!$B$15="yes",Z111,Y111)</f>
        <v>#DIV/0!</v>
      </c>
      <c r="AB111" s="536" t="e">
        <f t="shared" si="24"/>
        <v>#DIV/0!</v>
      </c>
      <c r="AC111" s="537" t="e">
        <f t="shared" si="29"/>
        <v>#DIV/0!</v>
      </c>
      <c r="AD111" s="538" t="e">
        <f>IF(INPUTS!$B$15="yes",AC111,AB111)</f>
        <v>#DIV/0!</v>
      </c>
      <c r="AE111" s="36" t="str">
        <f t="shared" si="30"/>
        <v>no</v>
      </c>
      <c r="AF111" s="36"/>
      <c r="AG111" s="389" t="e">
        <f>P111*('upper bound Kenaga'!$F$36/100)</f>
        <v>#DIV/0!</v>
      </c>
      <c r="AH111" s="36"/>
      <c r="AI111" s="389" t="e">
        <f>P111*('upper bound Kenaga'!$F$96/100)</f>
        <v>#DIV/0!</v>
      </c>
      <c r="AJ111" s="36"/>
      <c r="AK111" s="36"/>
      <c r="AL111" s="36"/>
      <c r="AM111" s="36"/>
      <c r="AN111" s="36"/>
      <c r="AO111" s="36"/>
    </row>
    <row r="112" spans="1:41">
      <c r="A112" s="887" t="s">
        <v>279</v>
      </c>
      <c r="B112" s="902" t="s">
        <v>39</v>
      </c>
      <c r="C112" s="817"/>
      <c r="D112" s="903"/>
      <c r="E112" s="676"/>
      <c r="F112" s="676"/>
      <c r="G112" s="676"/>
      <c r="H112" s="674"/>
      <c r="J112" s="6">
        <f>COUNTIF(K$21:K112,"=yes")</f>
        <v>1</v>
      </c>
      <c r="K112" s="533" t="str">
        <f>IF(LOOKUP(VALUE(M112),INPUTS!$G$6:$G$35)=M112,"yes","no")</f>
        <v>no</v>
      </c>
      <c r="L112" s="533">
        <f>IF(K112="yes",(LOOKUP(J112,INPUTS!$E$6:$E$35,INPUTS!$F$6:$F$35)),0)</f>
        <v>0</v>
      </c>
      <c r="M112" s="135">
        <f t="shared" si="18"/>
        <v>91</v>
      </c>
      <c r="N112" s="135">
        <f t="shared" si="19"/>
        <v>1</v>
      </c>
      <c r="O112" s="135">
        <f t="shared" si="20"/>
        <v>0</v>
      </c>
      <c r="P112" s="536" t="e">
        <f t="shared" si="31"/>
        <v>#DIV/0!</v>
      </c>
      <c r="Q112" s="537" t="e">
        <f t="shared" si="25"/>
        <v>#DIV/0!</v>
      </c>
      <c r="R112" s="538" t="e">
        <f>IF(INPUTS!$B$15="yes",Q112,P112)</f>
        <v>#DIV/0!</v>
      </c>
      <c r="S112" s="536" t="e">
        <f t="shared" si="21"/>
        <v>#DIV/0!</v>
      </c>
      <c r="T112" s="537" t="e">
        <f t="shared" si="26"/>
        <v>#DIV/0!</v>
      </c>
      <c r="U112" s="538" t="e">
        <f>IF(INPUTS!$B$15="yes",T112,S112)</f>
        <v>#DIV/0!</v>
      </c>
      <c r="V112" s="536" t="e">
        <f t="shared" si="22"/>
        <v>#DIV/0!</v>
      </c>
      <c r="W112" s="537" t="e">
        <f t="shared" si="27"/>
        <v>#DIV/0!</v>
      </c>
      <c r="X112" s="538" t="e">
        <f>IF(INPUTS!$B$15="yes",W112,V112)</f>
        <v>#DIV/0!</v>
      </c>
      <c r="Y112" s="536" t="e">
        <f t="shared" si="23"/>
        <v>#DIV/0!</v>
      </c>
      <c r="Z112" s="537" t="e">
        <f t="shared" si="28"/>
        <v>#DIV/0!</v>
      </c>
      <c r="AA112" s="538" t="e">
        <f>IF(INPUTS!$B$15="yes",Z112,Y112)</f>
        <v>#DIV/0!</v>
      </c>
      <c r="AB112" s="536" t="e">
        <f t="shared" si="24"/>
        <v>#DIV/0!</v>
      </c>
      <c r="AC112" s="537" t="e">
        <f t="shared" si="29"/>
        <v>#DIV/0!</v>
      </c>
      <c r="AD112" s="538" t="e">
        <f>IF(INPUTS!$B$15="yes",AC112,AB112)</f>
        <v>#DIV/0!</v>
      </c>
      <c r="AE112" s="36" t="str">
        <f t="shared" si="30"/>
        <v>no</v>
      </c>
      <c r="AF112" s="36"/>
      <c r="AG112" s="389" t="e">
        <f>P112*('upper bound Kenaga'!$F$36/100)</f>
        <v>#DIV/0!</v>
      </c>
      <c r="AH112" s="36"/>
      <c r="AI112" s="389" t="e">
        <f>P112*('upper bound Kenaga'!$F$96/100)</f>
        <v>#DIV/0!</v>
      </c>
      <c r="AJ112" s="36"/>
      <c r="AK112" s="36"/>
      <c r="AL112" s="36"/>
      <c r="AM112" s="36"/>
      <c r="AN112" s="36"/>
      <c r="AO112" s="36"/>
    </row>
    <row r="113" spans="1:41">
      <c r="A113" s="888"/>
      <c r="B113" s="890" t="s">
        <v>419</v>
      </c>
      <c r="C113" s="891"/>
      <c r="D113" s="892"/>
      <c r="E113" s="931"/>
      <c r="F113" s="932"/>
      <c r="G113" s="932"/>
      <c r="H113" s="674"/>
      <c r="J113" s="6">
        <f>COUNTIF(K$21:K113,"=yes")</f>
        <v>1</v>
      </c>
      <c r="K113" s="533" t="str">
        <f>IF(LOOKUP(VALUE(M113),INPUTS!$G$6:$G$35)=M113,"yes","no")</f>
        <v>no</v>
      </c>
      <c r="L113" s="533">
        <f>IF(K113="yes",(LOOKUP(J113,INPUTS!$E$6:$E$35,INPUTS!$F$6:$F$35)),0)</f>
        <v>0</v>
      </c>
      <c r="M113" s="135">
        <f t="shared" si="18"/>
        <v>92</v>
      </c>
      <c r="N113" s="135">
        <f t="shared" si="19"/>
        <v>1</v>
      </c>
      <c r="O113" s="135">
        <f t="shared" si="20"/>
        <v>0</v>
      </c>
      <c r="P113" s="536" t="e">
        <f t="shared" si="31"/>
        <v>#DIV/0!</v>
      </c>
      <c r="Q113" s="537" t="e">
        <f t="shared" si="25"/>
        <v>#DIV/0!</v>
      </c>
      <c r="R113" s="538" t="e">
        <f>IF(INPUTS!$B$15="yes",Q113,P113)</f>
        <v>#DIV/0!</v>
      </c>
      <c r="S113" s="536" t="e">
        <f t="shared" si="21"/>
        <v>#DIV/0!</v>
      </c>
      <c r="T113" s="537" t="e">
        <f t="shared" si="26"/>
        <v>#DIV/0!</v>
      </c>
      <c r="U113" s="538" t="e">
        <f>IF(INPUTS!$B$15="yes",T113,S113)</f>
        <v>#DIV/0!</v>
      </c>
      <c r="V113" s="536" t="e">
        <f t="shared" si="22"/>
        <v>#DIV/0!</v>
      </c>
      <c r="W113" s="537" t="e">
        <f t="shared" si="27"/>
        <v>#DIV/0!</v>
      </c>
      <c r="X113" s="538" t="e">
        <f>IF(INPUTS!$B$15="yes",W113,V113)</f>
        <v>#DIV/0!</v>
      </c>
      <c r="Y113" s="536" t="e">
        <f t="shared" si="23"/>
        <v>#DIV/0!</v>
      </c>
      <c r="Z113" s="537" t="e">
        <f t="shared" si="28"/>
        <v>#DIV/0!</v>
      </c>
      <c r="AA113" s="538" t="e">
        <f>IF(INPUTS!$B$15="yes",Z113,Y113)</f>
        <v>#DIV/0!</v>
      </c>
      <c r="AB113" s="536" t="e">
        <f t="shared" si="24"/>
        <v>#DIV/0!</v>
      </c>
      <c r="AC113" s="537" t="e">
        <f t="shared" si="29"/>
        <v>#DIV/0!</v>
      </c>
      <c r="AD113" s="538" t="e">
        <f>IF(INPUTS!$B$15="yes",AC113,AB113)</f>
        <v>#DIV/0!</v>
      </c>
      <c r="AE113" s="36" t="str">
        <f t="shared" si="30"/>
        <v>no</v>
      </c>
      <c r="AF113" s="36"/>
      <c r="AG113" s="389" t="e">
        <f>P113*('upper bound Kenaga'!$F$36/100)</f>
        <v>#DIV/0!</v>
      </c>
      <c r="AH113" s="36"/>
      <c r="AI113" s="389" t="e">
        <f>P113*('upper bound Kenaga'!$F$96/100)</f>
        <v>#DIV/0!</v>
      </c>
      <c r="AJ113" s="36"/>
      <c r="AK113" s="36"/>
      <c r="AL113" s="36"/>
      <c r="AM113" s="36"/>
      <c r="AN113" s="36"/>
      <c r="AO113" s="36"/>
    </row>
    <row r="114" spans="1:41" ht="22.5" customHeight="1" thickBot="1">
      <c r="A114" s="889"/>
      <c r="B114" s="457">
        <f>C96</f>
        <v>15</v>
      </c>
      <c r="C114" s="458">
        <f>C97</f>
        <v>35</v>
      </c>
      <c r="D114" s="459">
        <f>C98</f>
        <v>1000</v>
      </c>
      <c r="E114" s="677"/>
      <c r="F114" s="677"/>
      <c r="G114" s="677"/>
      <c r="H114" s="674"/>
      <c r="J114" s="6">
        <f>COUNTIF(K$21:K114,"=yes")</f>
        <v>1</v>
      </c>
      <c r="K114" s="533" t="str">
        <f>IF(LOOKUP(VALUE(M114),INPUTS!$G$6:$G$35)=M114,"yes","no")</f>
        <v>no</v>
      </c>
      <c r="L114" s="533">
        <f>IF(K114="yes",(LOOKUP(J114,INPUTS!$E$6:$E$35,INPUTS!$F$6:$F$35)),0)</f>
        <v>0</v>
      </c>
      <c r="M114" s="135">
        <f t="shared" si="18"/>
        <v>93</v>
      </c>
      <c r="N114" s="135">
        <f t="shared" si="19"/>
        <v>1</v>
      </c>
      <c r="O114" s="135">
        <f t="shared" si="20"/>
        <v>0</v>
      </c>
      <c r="P114" s="536" t="e">
        <f t="shared" si="31"/>
        <v>#DIV/0!</v>
      </c>
      <c r="Q114" s="537" t="e">
        <f t="shared" si="25"/>
        <v>#DIV/0!</v>
      </c>
      <c r="R114" s="538" t="e">
        <f>IF(INPUTS!$B$15="yes",Q114,P114)</f>
        <v>#DIV/0!</v>
      </c>
      <c r="S114" s="536" t="e">
        <f t="shared" si="21"/>
        <v>#DIV/0!</v>
      </c>
      <c r="T114" s="537" t="e">
        <f t="shared" si="26"/>
        <v>#DIV/0!</v>
      </c>
      <c r="U114" s="538" t="e">
        <f>IF(INPUTS!$B$15="yes",T114,S114)</f>
        <v>#DIV/0!</v>
      </c>
      <c r="V114" s="536" t="e">
        <f t="shared" si="22"/>
        <v>#DIV/0!</v>
      </c>
      <c r="W114" s="537" t="e">
        <f t="shared" si="27"/>
        <v>#DIV/0!</v>
      </c>
      <c r="X114" s="538" t="e">
        <f>IF(INPUTS!$B$15="yes",W114,V114)</f>
        <v>#DIV/0!</v>
      </c>
      <c r="Y114" s="536" t="e">
        <f t="shared" si="23"/>
        <v>#DIV/0!</v>
      </c>
      <c r="Z114" s="537" t="e">
        <f t="shared" si="28"/>
        <v>#DIV/0!</v>
      </c>
      <c r="AA114" s="538" t="e">
        <f>IF(INPUTS!$B$15="yes",Z114,Y114)</f>
        <v>#DIV/0!</v>
      </c>
      <c r="AB114" s="536" t="e">
        <f t="shared" si="24"/>
        <v>#DIV/0!</v>
      </c>
      <c r="AC114" s="537" t="e">
        <f t="shared" si="29"/>
        <v>#DIV/0!</v>
      </c>
      <c r="AD114" s="538" t="e">
        <f>IF(INPUTS!$B$15="yes",AC114,AB114)</f>
        <v>#DIV/0!</v>
      </c>
      <c r="AE114" s="36" t="str">
        <f t="shared" si="30"/>
        <v>no</v>
      </c>
      <c r="AF114" s="36"/>
      <c r="AG114" s="389" t="e">
        <f>P114*('upper bound Kenaga'!$F$36/100)</f>
        <v>#DIV/0!</v>
      </c>
      <c r="AH114" s="36"/>
      <c r="AI114" s="389" t="e">
        <f>P114*('upper bound Kenaga'!$F$96/100)</f>
        <v>#DIV/0!</v>
      </c>
      <c r="AJ114" s="36"/>
      <c r="AK114" s="36"/>
      <c r="AL114" s="36"/>
      <c r="AM114" s="36"/>
      <c r="AN114" s="36"/>
      <c r="AO114" s="36"/>
    </row>
    <row r="115" spans="1:41" ht="13.5" thickTop="1">
      <c r="A115" s="605" t="s">
        <v>13</v>
      </c>
      <c r="B115" s="468" t="e">
        <f>B27*(G$96/(C$96/1000))</f>
        <v>#DIV/0!</v>
      </c>
      <c r="C115" s="468" t="e">
        <f>B27*($G$97/(C$97/1000))</f>
        <v>#DIV/0!</v>
      </c>
      <c r="D115" s="469" t="e">
        <f>B27*(G$98/(C$98/1000))</f>
        <v>#DIV/0!</v>
      </c>
      <c r="E115" s="678"/>
      <c r="F115" s="678"/>
      <c r="G115" s="678"/>
      <c r="H115" s="568"/>
      <c r="J115" s="6">
        <f>COUNTIF(K$21:K115,"=yes")</f>
        <v>1</v>
      </c>
      <c r="K115" s="533" t="str">
        <f>IF(LOOKUP(VALUE(M115),INPUTS!$G$6:$G$35)=M115,"yes","no")</f>
        <v>no</v>
      </c>
      <c r="L115" s="533">
        <f>IF(K115="yes",(LOOKUP(J115,INPUTS!$E$6:$E$35,INPUTS!$F$6:$F$35)),0)</f>
        <v>0</v>
      </c>
      <c r="M115" s="135">
        <f t="shared" si="18"/>
        <v>94</v>
      </c>
      <c r="N115" s="135">
        <f t="shared" si="19"/>
        <v>1</v>
      </c>
      <c r="O115" s="135">
        <f t="shared" si="20"/>
        <v>0</v>
      </c>
      <c r="P115" s="536" t="e">
        <f t="shared" si="31"/>
        <v>#DIV/0!</v>
      </c>
      <c r="Q115" s="537" t="e">
        <f t="shared" si="25"/>
        <v>#DIV/0!</v>
      </c>
      <c r="R115" s="538" t="e">
        <f>IF(INPUTS!$B$15="yes",Q115,P115)</f>
        <v>#DIV/0!</v>
      </c>
      <c r="S115" s="536" t="e">
        <f t="shared" si="21"/>
        <v>#DIV/0!</v>
      </c>
      <c r="T115" s="537" t="e">
        <f t="shared" si="26"/>
        <v>#DIV/0!</v>
      </c>
      <c r="U115" s="538" t="e">
        <f>IF(INPUTS!$B$15="yes",T115,S115)</f>
        <v>#DIV/0!</v>
      </c>
      <c r="V115" s="536" t="e">
        <f t="shared" si="22"/>
        <v>#DIV/0!</v>
      </c>
      <c r="W115" s="537" t="e">
        <f t="shared" si="27"/>
        <v>#DIV/0!</v>
      </c>
      <c r="X115" s="538" t="e">
        <f>IF(INPUTS!$B$15="yes",W115,V115)</f>
        <v>#DIV/0!</v>
      </c>
      <c r="Y115" s="536" t="e">
        <f t="shared" si="23"/>
        <v>#DIV/0!</v>
      </c>
      <c r="Z115" s="537" t="e">
        <f t="shared" si="28"/>
        <v>#DIV/0!</v>
      </c>
      <c r="AA115" s="538" t="e">
        <f>IF(INPUTS!$B$15="yes",Z115,Y115)</f>
        <v>#DIV/0!</v>
      </c>
      <c r="AB115" s="536" t="e">
        <f t="shared" si="24"/>
        <v>#DIV/0!</v>
      </c>
      <c r="AC115" s="537" t="e">
        <f t="shared" si="29"/>
        <v>#DIV/0!</v>
      </c>
      <c r="AD115" s="538" t="e">
        <f>IF(INPUTS!$B$15="yes",AC115,AB115)</f>
        <v>#DIV/0!</v>
      </c>
      <c r="AE115" s="36" t="str">
        <f t="shared" si="30"/>
        <v>no</v>
      </c>
      <c r="AF115" s="36"/>
      <c r="AG115" s="389" t="e">
        <f>P115*('upper bound Kenaga'!$F$36/100)</f>
        <v>#DIV/0!</v>
      </c>
      <c r="AH115" s="36"/>
      <c r="AI115" s="389" t="e">
        <f>P115*('upper bound Kenaga'!$F$96/100)</f>
        <v>#DIV/0!</v>
      </c>
      <c r="AJ115" s="36"/>
      <c r="AK115" s="36"/>
      <c r="AL115" s="36"/>
      <c r="AM115" s="36"/>
      <c r="AN115" s="36"/>
      <c r="AO115" s="36"/>
    </row>
    <row r="116" spans="1:41">
      <c r="A116" s="297" t="s">
        <v>16</v>
      </c>
      <c r="B116" s="324" t="e">
        <f>B28*(G$96/(C$96/1000))</f>
        <v>#DIV/0!</v>
      </c>
      <c r="C116" s="324" t="e">
        <f>B28*($G$97/(C$97/1000))</f>
        <v>#DIV/0!</v>
      </c>
      <c r="D116" s="295" t="e">
        <f>B28*(G$98/(C$98/1000))</f>
        <v>#DIV/0!</v>
      </c>
      <c r="E116" s="678"/>
      <c r="F116" s="678"/>
      <c r="G116" s="678"/>
      <c r="H116" s="617"/>
      <c r="J116" s="6">
        <f>COUNTIF(K$21:K116,"=yes")</f>
        <v>1</v>
      </c>
      <c r="K116" s="533" t="str">
        <f>IF(LOOKUP(VALUE(M116),INPUTS!$G$6:$G$35)=M116,"yes","no")</f>
        <v>no</v>
      </c>
      <c r="L116" s="533">
        <f>IF(K116="yes",(LOOKUP(J116,INPUTS!$E$6:$E$35,INPUTS!$F$6:$F$35)),0)</f>
        <v>0</v>
      </c>
      <c r="M116" s="135">
        <f t="shared" si="18"/>
        <v>95</v>
      </c>
      <c r="N116" s="135">
        <f t="shared" si="19"/>
        <v>1</v>
      </c>
      <c r="O116" s="135">
        <f t="shared" si="20"/>
        <v>0</v>
      </c>
      <c r="P116" s="536" t="e">
        <f t="shared" si="31"/>
        <v>#DIV/0!</v>
      </c>
      <c r="Q116" s="537" t="e">
        <f t="shared" si="25"/>
        <v>#DIV/0!</v>
      </c>
      <c r="R116" s="538" t="e">
        <f>IF(INPUTS!$B$15="yes",Q116,P116)</f>
        <v>#DIV/0!</v>
      </c>
      <c r="S116" s="536" t="e">
        <f t="shared" si="21"/>
        <v>#DIV/0!</v>
      </c>
      <c r="T116" s="537" t="e">
        <f t="shared" si="26"/>
        <v>#DIV/0!</v>
      </c>
      <c r="U116" s="538" t="e">
        <f>IF(INPUTS!$B$15="yes",T116,S116)</f>
        <v>#DIV/0!</v>
      </c>
      <c r="V116" s="536" t="e">
        <f t="shared" si="22"/>
        <v>#DIV/0!</v>
      </c>
      <c r="W116" s="537" t="e">
        <f t="shared" si="27"/>
        <v>#DIV/0!</v>
      </c>
      <c r="X116" s="538" t="e">
        <f>IF(INPUTS!$B$15="yes",W116,V116)</f>
        <v>#DIV/0!</v>
      </c>
      <c r="Y116" s="536" t="e">
        <f t="shared" si="23"/>
        <v>#DIV/0!</v>
      </c>
      <c r="Z116" s="537" t="e">
        <f t="shared" si="28"/>
        <v>#DIV/0!</v>
      </c>
      <c r="AA116" s="538" t="e">
        <f>IF(INPUTS!$B$15="yes",Z116,Y116)</f>
        <v>#DIV/0!</v>
      </c>
      <c r="AB116" s="536" t="e">
        <f t="shared" si="24"/>
        <v>#DIV/0!</v>
      </c>
      <c r="AC116" s="537" t="e">
        <f t="shared" si="29"/>
        <v>#DIV/0!</v>
      </c>
      <c r="AD116" s="538" t="e">
        <f>IF(INPUTS!$B$15="yes",AC116,AB116)</f>
        <v>#DIV/0!</v>
      </c>
      <c r="AE116" s="36" t="str">
        <f t="shared" si="30"/>
        <v>no</v>
      </c>
      <c r="AF116" s="36"/>
      <c r="AG116" s="389" t="e">
        <f>P116*('upper bound Kenaga'!$F$36/100)</f>
        <v>#DIV/0!</v>
      </c>
      <c r="AH116" s="36"/>
      <c r="AI116" s="389" t="e">
        <f>P116*('upper bound Kenaga'!$F$96/100)</f>
        <v>#DIV/0!</v>
      </c>
      <c r="AJ116" s="36"/>
      <c r="AK116" s="36"/>
      <c r="AL116" s="36"/>
      <c r="AM116" s="36"/>
      <c r="AN116" s="36"/>
      <c r="AO116" s="36"/>
    </row>
    <row r="117" spans="1:41">
      <c r="A117" s="561" t="s">
        <v>415</v>
      </c>
      <c r="B117" s="324" t="e">
        <f>B29*(G$96/(C$96/1000))</f>
        <v>#DIV/0!</v>
      </c>
      <c r="C117" s="324" t="e">
        <f>B29*($G$97/(C$97/1000))</f>
        <v>#DIV/0!</v>
      </c>
      <c r="D117" s="295" t="e">
        <f>B29*(G$98/(C$98/1000))</f>
        <v>#DIV/0!</v>
      </c>
      <c r="E117" s="678"/>
      <c r="F117" s="678"/>
      <c r="G117" s="678"/>
      <c r="H117" s="617"/>
      <c r="J117" s="6">
        <f>COUNTIF(K$21:K117,"=yes")</f>
        <v>1</v>
      </c>
      <c r="K117" s="533" t="str">
        <f>IF(LOOKUP(VALUE(M117),INPUTS!$G$6:$G$35)=M117,"yes","no")</f>
        <v>no</v>
      </c>
      <c r="L117" s="533">
        <f>IF(K117="yes",(LOOKUP(J117,INPUTS!$E$6:$E$35,INPUTS!$F$6:$F$35)),0)</f>
        <v>0</v>
      </c>
      <c r="M117" s="135">
        <f t="shared" si="18"/>
        <v>96</v>
      </c>
      <c r="N117" s="135">
        <f t="shared" si="19"/>
        <v>1</v>
      </c>
      <c r="O117" s="135">
        <f t="shared" si="20"/>
        <v>0</v>
      </c>
      <c r="P117" s="536" t="e">
        <f t="shared" si="31"/>
        <v>#DIV/0!</v>
      </c>
      <c r="Q117" s="537" t="e">
        <f t="shared" si="25"/>
        <v>#DIV/0!</v>
      </c>
      <c r="R117" s="538" t="e">
        <f>IF(INPUTS!$B$15="yes",Q117,P117)</f>
        <v>#DIV/0!</v>
      </c>
      <c r="S117" s="536" t="e">
        <f t="shared" si="21"/>
        <v>#DIV/0!</v>
      </c>
      <c r="T117" s="537" t="e">
        <f t="shared" si="26"/>
        <v>#DIV/0!</v>
      </c>
      <c r="U117" s="538" t="e">
        <f>IF(INPUTS!$B$15="yes",T117,S117)</f>
        <v>#DIV/0!</v>
      </c>
      <c r="V117" s="536" t="e">
        <f t="shared" si="22"/>
        <v>#DIV/0!</v>
      </c>
      <c r="W117" s="537" t="e">
        <f t="shared" si="27"/>
        <v>#DIV/0!</v>
      </c>
      <c r="X117" s="538" t="e">
        <f>IF(INPUTS!$B$15="yes",W117,V117)</f>
        <v>#DIV/0!</v>
      </c>
      <c r="Y117" s="536" t="e">
        <f t="shared" si="23"/>
        <v>#DIV/0!</v>
      </c>
      <c r="Z117" s="537" t="e">
        <f t="shared" si="28"/>
        <v>#DIV/0!</v>
      </c>
      <c r="AA117" s="538" t="e">
        <f>IF(INPUTS!$B$15="yes",Z117,Y117)</f>
        <v>#DIV/0!</v>
      </c>
      <c r="AB117" s="536" t="e">
        <f t="shared" si="24"/>
        <v>#DIV/0!</v>
      </c>
      <c r="AC117" s="537" t="e">
        <f t="shared" si="29"/>
        <v>#DIV/0!</v>
      </c>
      <c r="AD117" s="538" t="e">
        <f>IF(INPUTS!$B$15="yes",AC117,AB117)</f>
        <v>#DIV/0!</v>
      </c>
      <c r="AE117" s="36" t="str">
        <f t="shared" si="30"/>
        <v>no</v>
      </c>
      <c r="AF117" s="36"/>
      <c r="AG117" s="389" t="e">
        <f>P117*('upper bound Kenaga'!$F$36/100)</f>
        <v>#DIV/0!</v>
      </c>
      <c r="AH117" s="36"/>
      <c r="AI117" s="389" t="e">
        <f>P117*('upper bound Kenaga'!$F$96/100)</f>
        <v>#DIV/0!</v>
      </c>
      <c r="AJ117" s="36"/>
      <c r="AK117" s="36"/>
      <c r="AL117" s="36"/>
      <c r="AM117" s="36"/>
      <c r="AN117" s="36"/>
      <c r="AO117" s="36"/>
    </row>
    <row r="118" spans="1:41">
      <c r="A118" s="561" t="s">
        <v>417</v>
      </c>
      <c r="B118" s="324" t="e">
        <f>B30*(G$96/(C$96/1000))</f>
        <v>#DIV/0!</v>
      </c>
      <c r="C118" s="324" t="e">
        <f>B30*($G$97/(C$97/1000))</f>
        <v>#DIV/0!</v>
      </c>
      <c r="D118" s="295" t="e">
        <f>B30*(G$98/(C$98/1000))</f>
        <v>#DIV/0!</v>
      </c>
      <c r="E118" s="569"/>
      <c r="F118" s="569"/>
      <c r="G118" s="569"/>
      <c r="H118" s="617"/>
      <c r="J118" s="6">
        <f>COUNTIF(K$21:K118,"=yes")</f>
        <v>1</v>
      </c>
      <c r="K118" s="533" t="str">
        <f>IF(LOOKUP(VALUE(M118),INPUTS!$G$6:$G$35)=M118,"yes","no")</f>
        <v>no</v>
      </c>
      <c r="L118" s="533">
        <f>IF(K118="yes",(LOOKUP(J118,INPUTS!$E$6:$E$35,INPUTS!$F$6:$F$35)),0)</f>
        <v>0</v>
      </c>
      <c r="M118" s="135">
        <f t="shared" si="18"/>
        <v>97</v>
      </c>
      <c r="N118" s="135">
        <f t="shared" si="19"/>
        <v>1</v>
      </c>
      <c r="O118" s="135">
        <f t="shared" si="20"/>
        <v>0</v>
      </c>
      <c r="P118" s="536" t="e">
        <f t="shared" si="31"/>
        <v>#DIV/0!</v>
      </c>
      <c r="Q118" s="537" t="e">
        <f t="shared" si="25"/>
        <v>#DIV/0!</v>
      </c>
      <c r="R118" s="538" t="e">
        <f>IF(INPUTS!$B$15="yes",Q118,P118)</f>
        <v>#DIV/0!</v>
      </c>
      <c r="S118" s="536" t="e">
        <f t="shared" si="21"/>
        <v>#DIV/0!</v>
      </c>
      <c r="T118" s="537" t="e">
        <f t="shared" si="26"/>
        <v>#DIV/0!</v>
      </c>
      <c r="U118" s="538" t="e">
        <f>IF(INPUTS!$B$15="yes",T118,S118)</f>
        <v>#DIV/0!</v>
      </c>
      <c r="V118" s="536" t="e">
        <f t="shared" si="22"/>
        <v>#DIV/0!</v>
      </c>
      <c r="W118" s="537" t="e">
        <f t="shared" si="27"/>
        <v>#DIV/0!</v>
      </c>
      <c r="X118" s="538" t="e">
        <f>IF(INPUTS!$B$15="yes",W118,V118)</f>
        <v>#DIV/0!</v>
      </c>
      <c r="Y118" s="536" t="e">
        <f t="shared" si="23"/>
        <v>#DIV/0!</v>
      </c>
      <c r="Z118" s="537" t="e">
        <f t="shared" si="28"/>
        <v>#DIV/0!</v>
      </c>
      <c r="AA118" s="538" t="e">
        <f>IF(INPUTS!$B$15="yes",Z118,Y118)</f>
        <v>#DIV/0!</v>
      </c>
      <c r="AB118" s="536" t="e">
        <f t="shared" si="24"/>
        <v>#DIV/0!</v>
      </c>
      <c r="AC118" s="537" t="e">
        <f t="shared" si="29"/>
        <v>#DIV/0!</v>
      </c>
      <c r="AD118" s="538" t="e">
        <f>IF(INPUTS!$B$15="yes",AC118,AB118)</f>
        <v>#DIV/0!</v>
      </c>
      <c r="AE118" s="36" t="str">
        <f t="shared" si="30"/>
        <v>no</v>
      </c>
      <c r="AF118" s="36"/>
      <c r="AG118" s="389" t="e">
        <f>P118*('upper bound Kenaga'!$F$36/100)</f>
        <v>#DIV/0!</v>
      </c>
      <c r="AH118" s="36"/>
      <c r="AI118" s="389" t="e">
        <f>P118*('upper bound Kenaga'!$F$96/100)</f>
        <v>#DIV/0!</v>
      </c>
      <c r="AJ118" s="36"/>
      <c r="AK118" s="36"/>
      <c r="AL118" s="36"/>
      <c r="AM118" s="36"/>
      <c r="AN118" s="36"/>
      <c r="AO118" s="36"/>
    </row>
    <row r="119" spans="1:41">
      <c r="A119" s="561" t="s">
        <v>414</v>
      </c>
      <c r="B119" s="324" t="e">
        <f>B31*(G$96/(C$96/1000))</f>
        <v>#DIV/0!</v>
      </c>
      <c r="C119" s="324" t="e">
        <f>B31*($G$97/(C$97/1000))</f>
        <v>#DIV/0!</v>
      </c>
      <c r="D119" s="295" t="e">
        <f>B31*(G$98/(C$98/1000))</f>
        <v>#DIV/0!</v>
      </c>
      <c r="E119" s="679"/>
      <c r="F119" s="679"/>
      <c r="G119" s="679"/>
      <c r="H119" s="675"/>
      <c r="J119" s="6">
        <f>COUNTIF(K$21:K119,"=yes")</f>
        <v>1</v>
      </c>
      <c r="K119" s="533" t="str">
        <f>IF(LOOKUP(VALUE(M119),INPUTS!$G$6:$G$35)=M119,"yes","no")</f>
        <v>no</v>
      </c>
      <c r="L119" s="533">
        <f>IF(K119="yes",(LOOKUP(J119,INPUTS!$E$6:$E$35,INPUTS!$F$6:$F$35)),0)</f>
        <v>0</v>
      </c>
      <c r="M119" s="135">
        <f t="shared" si="18"/>
        <v>98</v>
      </c>
      <c r="N119" s="135">
        <f t="shared" si="19"/>
        <v>1</v>
      </c>
      <c r="O119" s="135">
        <f t="shared" si="20"/>
        <v>0</v>
      </c>
      <c r="P119" s="536" t="e">
        <f t="shared" si="31"/>
        <v>#DIV/0!</v>
      </c>
      <c r="Q119" s="537" t="e">
        <f t="shared" si="25"/>
        <v>#DIV/0!</v>
      </c>
      <c r="R119" s="538" t="e">
        <f>IF(INPUTS!$B$15="yes",Q119,P119)</f>
        <v>#DIV/0!</v>
      </c>
      <c r="S119" s="536" t="e">
        <f t="shared" si="21"/>
        <v>#DIV/0!</v>
      </c>
      <c r="T119" s="537" t="e">
        <f t="shared" si="26"/>
        <v>#DIV/0!</v>
      </c>
      <c r="U119" s="538" t="e">
        <f>IF(INPUTS!$B$15="yes",T119,S119)</f>
        <v>#DIV/0!</v>
      </c>
      <c r="V119" s="536" t="e">
        <f t="shared" si="22"/>
        <v>#DIV/0!</v>
      </c>
      <c r="W119" s="537" t="e">
        <f t="shared" si="27"/>
        <v>#DIV/0!</v>
      </c>
      <c r="X119" s="538" t="e">
        <f>IF(INPUTS!$B$15="yes",W119,V119)</f>
        <v>#DIV/0!</v>
      </c>
      <c r="Y119" s="536" t="e">
        <f t="shared" si="23"/>
        <v>#DIV/0!</v>
      </c>
      <c r="Z119" s="537" t="e">
        <f t="shared" si="28"/>
        <v>#DIV/0!</v>
      </c>
      <c r="AA119" s="538" t="e">
        <f>IF(INPUTS!$B$15="yes",Z119,Y119)</f>
        <v>#DIV/0!</v>
      </c>
      <c r="AB119" s="536" t="e">
        <f t="shared" si="24"/>
        <v>#DIV/0!</v>
      </c>
      <c r="AC119" s="537" t="e">
        <f t="shared" si="29"/>
        <v>#DIV/0!</v>
      </c>
      <c r="AD119" s="538" t="e">
        <f>IF(INPUTS!$B$15="yes",AC119,AB119)</f>
        <v>#DIV/0!</v>
      </c>
      <c r="AE119" s="36" t="str">
        <f t="shared" si="30"/>
        <v>no</v>
      </c>
      <c r="AF119" s="36"/>
      <c r="AG119" s="389" t="e">
        <f>P119*('upper bound Kenaga'!$F$36/100)</f>
        <v>#DIV/0!</v>
      </c>
      <c r="AH119" s="36"/>
      <c r="AI119" s="389" t="e">
        <f>P119*('upper bound Kenaga'!$F$96/100)</f>
        <v>#DIV/0!</v>
      </c>
      <c r="AJ119" s="36"/>
      <c r="AK119" s="36"/>
      <c r="AL119" s="36"/>
      <c r="AM119" s="36"/>
      <c r="AN119" s="36"/>
      <c r="AO119" s="36"/>
    </row>
    <row r="120" spans="1:41" ht="12.75" customHeight="1" thickBot="1">
      <c r="A120" s="562" t="s">
        <v>418</v>
      </c>
      <c r="B120" s="325" t="e">
        <f>B30*(G99/(C99/1000))</f>
        <v>#DIV/0!</v>
      </c>
      <c r="C120" s="325" t="e">
        <f>B30*(G100/(C100/1000))</f>
        <v>#DIV/0!</v>
      </c>
      <c r="D120" s="397" t="e">
        <f>B30*(G101/(C101/1000))</f>
        <v>#DIV/0!</v>
      </c>
      <c r="E120" s="676"/>
      <c r="F120" s="676"/>
      <c r="G120" s="676"/>
      <c r="H120" s="675"/>
      <c r="J120" s="6">
        <f>COUNTIF(K$21:K120,"=yes")</f>
        <v>1</v>
      </c>
      <c r="K120" s="533" t="str">
        <f>IF(LOOKUP(VALUE(M120),INPUTS!$G$6:$G$35)=M120,"yes","no")</f>
        <v>no</v>
      </c>
      <c r="L120" s="533">
        <f>IF(K120="yes",(LOOKUP(J120,INPUTS!$E$6:$E$35,INPUTS!$F$6:$F$35)),0)</f>
        <v>0</v>
      </c>
      <c r="M120" s="135">
        <f t="shared" si="18"/>
        <v>99</v>
      </c>
      <c r="N120" s="135">
        <f t="shared" si="19"/>
        <v>1</v>
      </c>
      <c r="O120" s="135">
        <f t="shared" si="20"/>
        <v>0</v>
      </c>
      <c r="P120" s="536" t="e">
        <f t="shared" si="31"/>
        <v>#DIV/0!</v>
      </c>
      <c r="Q120" s="537" t="e">
        <f t="shared" si="25"/>
        <v>#DIV/0!</v>
      </c>
      <c r="R120" s="538" t="e">
        <f>IF(INPUTS!$B$15="yes",Q120,P120)</f>
        <v>#DIV/0!</v>
      </c>
      <c r="S120" s="536" t="e">
        <f t="shared" si="21"/>
        <v>#DIV/0!</v>
      </c>
      <c r="T120" s="537" t="e">
        <f t="shared" si="26"/>
        <v>#DIV/0!</v>
      </c>
      <c r="U120" s="538" t="e">
        <f>IF(INPUTS!$B$15="yes",T120,S120)</f>
        <v>#DIV/0!</v>
      </c>
      <c r="V120" s="536" t="e">
        <f t="shared" si="22"/>
        <v>#DIV/0!</v>
      </c>
      <c r="W120" s="537" t="e">
        <f t="shared" si="27"/>
        <v>#DIV/0!</v>
      </c>
      <c r="X120" s="538" t="e">
        <f>IF(INPUTS!$B$15="yes",W120,V120)</f>
        <v>#DIV/0!</v>
      </c>
      <c r="Y120" s="536" t="e">
        <f t="shared" si="23"/>
        <v>#DIV/0!</v>
      </c>
      <c r="Z120" s="537" t="e">
        <f t="shared" si="28"/>
        <v>#DIV/0!</v>
      </c>
      <c r="AA120" s="538" t="e">
        <f>IF(INPUTS!$B$15="yes",Z120,Y120)</f>
        <v>#DIV/0!</v>
      </c>
      <c r="AB120" s="536" t="e">
        <f t="shared" si="24"/>
        <v>#DIV/0!</v>
      </c>
      <c r="AC120" s="537" t="e">
        <f t="shared" si="29"/>
        <v>#DIV/0!</v>
      </c>
      <c r="AD120" s="538" t="e">
        <f>IF(INPUTS!$B$15="yes",AC120,AB120)</f>
        <v>#DIV/0!</v>
      </c>
      <c r="AE120" s="36" t="str">
        <f t="shared" si="30"/>
        <v>no</v>
      </c>
      <c r="AF120" s="36"/>
      <c r="AG120" s="389" t="e">
        <f>P120*('upper bound Kenaga'!$F$36/100)</f>
        <v>#DIV/0!</v>
      </c>
      <c r="AH120" s="36"/>
      <c r="AI120" s="389" t="e">
        <f>P120*('upper bound Kenaga'!$F$96/100)</f>
        <v>#DIV/0!</v>
      </c>
      <c r="AJ120" s="36"/>
      <c r="AK120" s="36"/>
      <c r="AL120" s="36"/>
      <c r="AM120" s="36"/>
      <c r="AN120" s="36"/>
      <c r="AO120" s="36"/>
    </row>
    <row r="121" spans="1:41">
      <c r="A121" s="545"/>
      <c r="B121" s="921"/>
      <c r="C121" s="922"/>
      <c r="D121" s="922"/>
      <c r="E121" s="921"/>
      <c r="F121" s="922"/>
      <c r="G121" s="922"/>
      <c r="H121" s="617"/>
      <c r="J121" s="6">
        <f>COUNTIF(K$21:K121,"=yes")</f>
        <v>1</v>
      </c>
      <c r="K121" s="533" t="str">
        <f>IF(LOOKUP(VALUE(M121),INPUTS!$G$6:$G$35)=M121,"yes","no")</f>
        <v>no</v>
      </c>
      <c r="L121" s="533">
        <f>IF(K121="yes",(LOOKUP(J121,INPUTS!$E$6:$E$35,INPUTS!$F$6:$F$35)),0)</f>
        <v>0</v>
      </c>
      <c r="M121" s="135">
        <f t="shared" si="18"/>
        <v>100</v>
      </c>
      <c r="N121" s="135">
        <f t="shared" si="19"/>
        <v>1</v>
      </c>
      <c r="O121" s="135">
        <f t="shared" si="20"/>
        <v>0</v>
      </c>
      <c r="P121" s="536" t="e">
        <f t="shared" si="31"/>
        <v>#DIV/0!</v>
      </c>
      <c r="Q121" s="537" t="e">
        <f t="shared" si="25"/>
        <v>#DIV/0!</v>
      </c>
      <c r="R121" s="538" t="e">
        <f>IF(INPUTS!$B$15="yes",Q121,P121)</f>
        <v>#DIV/0!</v>
      </c>
      <c r="S121" s="536" t="e">
        <f t="shared" si="21"/>
        <v>#DIV/0!</v>
      </c>
      <c r="T121" s="537" t="e">
        <f t="shared" si="26"/>
        <v>#DIV/0!</v>
      </c>
      <c r="U121" s="538" t="e">
        <f>IF(INPUTS!$B$15="yes",T121,S121)</f>
        <v>#DIV/0!</v>
      </c>
      <c r="V121" s="536" t="e">
        <f t="shared" si="22"/>
        <v>#DIV/0!</v>
      </c>
      <c r="W121" s="537" t="e">
        <f t="shared" si="27"/>
        <v>#DIV/0!</v>
      </c>
      <c r="X121" s="538" t="e">
        <f>IF(INPUTS!$B$15="yes",W121,V121)</f>
        <v>#DIV/0!</v>
      </c>
      <c r="Y121" s="536" t="e">
        <f t="shared" si="23"/>
        <v>#DIV/0!</v>
      </c>
      <c r="Z121" s="537" t="e">
        <f t="shared" si="28"/>
        <v>#DIV/0!</v>
      </c>
      <c r="AA121" s="538" t="e">
        <f>IF(INPUTS!$B$15="yes",Z121,Y121)</f>
        <v>#DIV/0!</v>
      </c>
      <c r="AB121" s="536" t="e">
        <f t="shared" si="24"/>
        <v>#DIV/0!</v>
      </c>
      <c r="AC121" s="537" t="e">
        <f t="shared" si="29"/>
        <v>#DIV/0!</v>
      </c>
      <c r="AD121" s="538" t="e">
        <f>IF(INPUTS!$B$15="yes",AC121,AB121)</f>
        <v>#DIV/0!</v>
      </c>
      <c r="AE121" s="36" t="str">
        <f t="shared" si="30"/>
        <v>no</v>
      </c>
      <c r="AF121" s="36"/>
      <c r="AG121" s="389" t="e">
        <f>P121*('upper bound Kenaga'!$F$36/100)</f>
        <v>#DIV/0!</v>
      </c>
      <c r="AH121" s="36"/>
      <c r="AI121" s="389" t="e">
        <f>P121*('upper bound Kenaga'!$F$96/100)</f>
        <v>#DIV/0!</v>
      </c>
      <c r="AJ121" s="36"/>
      <c r="AK121" s="36"/>
      <c r="AL121" s="36"/>
      <c r="AM121" s="36"/>
      <c r="AN121" s="36"/>
      <c r="AO121" s="36"/>
    </row>
    <row r="122" spans="1:41">
      <c r="A122" s="545"/>
      <c r="B122" s="343"/>
      <c r="C122" s="343"/>
      <c r="D122" s="343"/>
      <c r="E122" s="343"/>
      <c r="F122" s="343"/>
      <c r="G122" s="343"/>
      <c r="H122" s="617"/>
      <c r="J122" s="6">
        <f>COUNTIF(K$21:K122,"=yes")</f>
        <v>1</v>
      </c>
      <c r="K122" s="533" t="str">
        <f>IF(LOOKUP(VALUE(M122),INPUTS!$G$6:$G$35)=M122,"yes","no")</f>
        <v>no</v>
      </c>
      <c r="L122" s="533">
        <f>IF(K122="yes",(LOOKUP(J122,INPUTS!$E$6:$E$35,INPUTS!$F$6:$F$35)),0)</f>
        <v>0</v>
      </c>
      <c r="M122" s="135">
        <f t="shared" si="18"/>
        <v>101</v>
      </c>
      <c r="N122" s="135">
        <f t="shared" si="19"/>
        <v>1</v>
      </c>
      <c r="O122" s="135">
        <f t="shared" si="20"/>
        <v>0</v>
      </c>
      <c r="P122" s="536" t="e">
        <f t="shared" si="31"/>
        <v>#DIV/0!</v>
      </c>
      <c r="Q122" s="537" t="e">
        <f t="shared" si="25"/>
        <v>#DIV/0!</v>
      </c>
      <c r="R122" s="538" t="e">
        <f>IF(INPUTS!$B$15="yes",Q122,P122)</f>
        <v>#DIV/0!</v>
      </c>
      <c r="S122" s="536" t="e">
        <f t="shared" si="21"/>
        <v>#DIV/0!</v>
      </c>
      <c r="T122" s="537" t="e">
        <f t="shared" si="26"/>
        <v>#DIV/0!</v>
      </c>
      <c r="U122" s="538" t="e">
        <f>IF(INPUTS!$B$15="yes",T122,S122)</f>
        <v>#DIV/0!</v>
      </c>
      <c r="V122" s="536" t="e">
        <f t="shared" si="22"/>
        <v>#DIV/0!</v>
      </c>
      <c r="W122" s="537" t="e">
        <f t="shared" si="27"/>
        <v>#DIV/0!</v>
      </c>
      <c r="X122" s="538" t="e">
        <f>IF(INPUTS!$B$15="yes",W122,V122)</f>
        <v>#DIV/0!</v>
      </c>
      <c r="Y122" s="536" t="e">
        <f t="shared" si="23"/>
        <v>#DIV/0!</v>
      </c>
      <c r="Z122" s="537" t="e">
        <f t="shared" si="28"/>
        <v>#DIV/0!</v>
      </c>
      <c r="AA122" s="538" t="e">
        <f>IF(INPUTS!$B$15="yes",Z122,Y122)</f>
        <v>#DIV/0!</v>
      </c>
      <c r="AB122" s="536" t="e">
        <f t="shared" si="24"/>
        <v>#DIV/0!</v>
      </c>
      <c r="AC122" s="537" t="e">
        <f t="shared" si="29"/>
        <v>#DIV/0!</v>
      </c>
      <c r="AD122" s="538" t="e">
        <f>IF(INPUTS!$B$15="yes",AC122,AB122)</f>
        <v>#DIV/0!</v>
      </c>
      <c r="AE122" s="36" t="str">
        <f t="shared" si="30"/>
        <v>no</v>
      </c>
      <c r="AF122" s="36"/>
      <c r="AG122" s="389" t="e">
        <f>P122*('upper bound Kenaga'!$F$36/100)</f>
        <v>#DIV/0!</v>
      </c>
      <c r="AH122" s="36"/>
      <c r="AI122" s="389" t="e">
        <f>P122*('upper bound Kenaga'!$F$96/100)</f>
        <v>#DIV/0!</v>
      </c>
      <c r="AJ122" s="36"/>
      <c r="AK122" s="36"/>
      <c r="AL122" s="36"/>
      <c r="AM122" s="36"/>
      <c r="AN122" s="36"/>
      <c r="AO122" s="36"/>
    </row>
    <row r="123" spans="1:41">
      <c r="A123" s="352"/>
      <c r="B123" s="353"/>
      <c r="C123" s="353"/>
      <c r="D123" s="353"/>
      <c r="E123" s="354"/>
      <c r="F123" s="354"/>
      <c r="G123" s="354"/>
      <c r="H123" s="617"/>
      <c r="J123" s="6">
        <f>COUNTIF(K$21:K123,"=yes")</f>
        <v>1</v>
      </c>
      <c r="K123" s="533" t="str">
        <f>IF(LOOKUP(VALUE(M123),INPUTS!$G$6:$G$35)=M123,"yes","no")</f>
        <v>no</v>
      </c>
      <c r="L123" s="533">
        <f>IF(K123="yes",(LOOKUP(J123,INPUTS!$E$6:$E$35,INPUTS!$F$6:$F$35)),0)</f>
        <v>0</v>
      </c>
      <c r="M123" s="135">
        <f t="shared" si="18"/>
        <v>102</v>
      </c>
      <c r="N123" s="135">
        <f t="shared" si="19"/>
        <v>1</v>
      </c>
      <c r="O123" s="135">
        <f t="shared" si="20"/>
        <v>0</v>
      </c>
      <c r="P123" s="536" t="e">
        <f t="shared" si="31"/>
        <v>#DIV/0!</v>
      </c>
      <c r="Q123" s="537" t="e">
        <f t="shared" si="25"/>
        <v>#DIV/0!</v>
      </c>
      <c r="R123" s="538" t="e">
        <f>IF(INPUTS!$B$15="yes",Q123,P123)</f>
        <v>#DIV/0!</v>
      </c>
      <c r="S123" s="536" t="e">
        <f t="shared" si="21"/>
        <v>#DIV/0!</v>
      </c>
      <c r="T123" s="537" t="e">
        <f t="shared" si="26"/>
        <v>#DIV/0!</v>
      </c>
      <c r="U123" s="538" t="e">
        <f>IF(INPUTS!$B$15="yes",T123,S123)</f>
        <v>#DIV/0!</v>
      </c>
      <c r="V123" s="536" t="e">
        <f t="shared" si="22"/>
        <v>#DIV/0!</v>
      </c>
      <c r="W123" s="537" t="e">
        <f t="shared" si="27"/>
        <v>#DIV/0!</v>
      </c>
      <c r="X123" s="538" t="e">
        <f>IF(INPUTS!$B$15="yes",W123,V123)</f>
        <v>#DIV/0!</v>
      </c>
      <c r="Y123" s="536" t="e">
        <f t="shared" si="23"/>
        <v>#DIV/0!</v>
      </c>
      <c r="Z123" s="537" t="e">
        <f t="shared" si="28"/>
        <v>#DIV/0!</v>
      </c>
      <c r="AA123" s="538" t="e">
        <f>IF(INPUTS!$B$15="yes",Z123,Y123)</f>
        <v>#DIV/0!</v>
      </c>
      <c r="AB123" s="536" t="e">
        <f t="shared" si="24"/>
        <v>#DIV/0!</v>
      </c>
      <c r="AC123" s="537" t="e">
        <f t="shared" si="29"/>
        <v>#DIV/0!</v>
      </c>
      <c r="AD123" s="538" t="e">
        <f>IF(INPUTS!$B$15="yes",AC123,AB123)</f>
        <v>#DIV/0!</v>
      </c>
      <c r="AE123" s="36" t="str">
        <f t="shared" si="30"/>
        <v>no</v>
      </c>
      <c r="AF123" s="36"/>
      <c r="AG123" s="389" t="e">
        <f>P123*('upper bound Kenaga'!$F$36/100)</f>
        <v>#DIV/0!</v>
      </c>
      <c r="AH123" s="36"/>
      <c r="AI123" s="389" t="e">
        <f>P123*('upper bound Kenaga'!$F$96/100)</f>
        <v>#DIV/0!</v>
      </c>
      <c r="AJ123" s="36"/>
      <c r="AK123" s="36"/>
      <c r="AL123" s="36"/>
      <c r="AM123" s="36"/>
      <c r="AN123" s="36"/>
      <c r="AO123" s="36"/>
    </row>
    <row r="124" spans="1:41" ht="13.5" thickBot="1">
      <c r="A124" s="352"/>
      <c r="B124" s="353"/>
      <c r="C124" s="353"/>
      <c r="D124" s="353"/>
      <c r="E124" s="354"/>
      <c r="F124" s="354"/>
      <c r="G124" s="354"/>
      <c r="H124" s="617"/>
      <c r="J124" s="6">
        <f>COUNTIF(K$21:K124,"=yes")</f>
        <v>1</v>
      </c>
      <c r="K124" s="533" t="str">
        <f>IF(LOOKUP(VALUE(M124),INPUTS!$G$6:$G$35)=M124,"yes","no")</f>
        <v>no</v>
      </c>
      <c r="L124" s="533">
        <f>IF(K124="yes",(LOOKUP(J124,INPUTS!$E$6:$E$35,INPUTS!$F$6:$F$35)),0)</f>
        <v>0</v>
      </c>
      <c r="M124" s="135">
        <f t="shared" si="18"/>
        <v>103</v>
      </c>
      <c r="N124" s="135">
        <f t="shared" si="19"/>
        <v>1</v>
      </c>
      <c r="O124" s="135">
        <f t="shared" si="20"/>
        <v>0</v>
      </c>
      <c r="P124" s="536" t="e">
        <f t="shared" si="31"/>
        <v>#DIV/0!</v>
      </c>
      <c r="Q124" s="537" t="e">
        <f t="shared" si="25"/>
        <v>#DIV/0!</v>
      </c>
      <c r="R124" s="538" t="e">
        <f>IF(INPUTS!$B$15="yes",Q124,P124)</f>
        <v>#DIV/0!</v>
      </c>
      <c r="S124" s="536" t="e">
        <f t="shared" si="21"/>
        <v>#DIV/0!</v>
      </c>
      <c r="T124" s="537" t="e">
        <f t="shared" si="26"/>
        <v>#DIV/0!</v>
      </c>
      <c r="U124" s="538" t="e">
        <f>IF(INPUTS!$B$15="yes",T124,S124)</f>
        <v>#DIV/0!</v>
      </c>
      <c r="V124" s="536" t="e">
        <f t="shared" si="22"/>
        <v>#DIV/0!</v>
      </c>
      <c r="W124" s="537" t="e">
        <f t="shared" si="27"/>
        <v>#DIV/0!</v>
      </c>
      <c r="X124" s="538" t="e">
        <f>IF(INPUTS!$B$15="yes",W124,V124)</f>
        <v>#DIV/0!</v>
      </c>
      <c r="Y124" s="536" t="e">
        <f t="shared" si="23"/>
        <v>#DIV/0!</v>
      </c>
      <c r="Z124" s="537" t="e">
        <f t="shared" si="28"/>
        <v>#DIV/0!</v>
      </c>
      <c r="AA124" s="538" t="e">
        <f>IF(INPUTS!$B$15="yes",Z124,Y124)</f>
        <v>#DIV/0!</v>
      </c>
      <c r="AB124" s="536" t="e">
        <f t="shared" si="24"/>
        <v>#DIV/0!</v>
      </c>
      <c r="AC124" s="537" t="e">
        <f t="shared" si="29"/>
        <v>#DIV/0!</v>
      </c>
      <c r="AD124" s="538" t="e">
        <f>IF(INPUTS!$B$15="yes",AC124,AB124)</f>
        <v>#DIV/0!</v>
      </c>
      <c r="AE124" s="36" t="str">
        <f t="shared" si="30"/>
        <v>no</v>
      </c>
      <c r="AF124" s="36"/>
      <c r="AG124" s="389" t="e">
        <f>P124*('upper bound Kenaga'!$F$36/100)</f>
        <v>#DIV/0!</v>
      </c>
      <c r="AH124" s="36"/>
      <c r="AI124" s="389" t="e">
        <f>P124*('upper bound Kenaga'!$F$96/100)</f>
        <v>#DIV/0!</v>
      </c>
      <c r="AJ124" s="36"/>
      <c r="AK124" s="36"/>
      <c r="AL124" s="36"/>
      <c r="AM124" s="36"/>
      <c r="AN124" s="36"/>
      <c r="AO124" s="36"/>
    </row>
    <row r="125" spans="1:41">
      <c r="A125" s="916" t="s">
        <v>278</v>
      </c>
      <c r="B125" s="919" t="s">
        <v>371</v>
      </c>
      <c r="C125" s="923"/>
      <c r="D125" s="919" t="s">
        <v>373</v>
      </c>
      <c r="E125" s="923"/>
      <c r="F125" s="919" t="s">
        <v>374</v>
      </c>
      <c r="G125" s="903"/>
      <c r="H125" s="617"/>
      <c r="J125" s="6">
        <f>COUNTIF(K$21:K125,"=yes")</f>
        <v>1</v>
      </c>
      <c r="K125" s="533" t="str">
        <f>IF(LOOKUP(VALUE(M125),INPUTS!$G$6:$G$35)=M125,"yes","no")</f>
        <v>no</v>
      </c>
      <c r="L125" s="533">
        <f>IF(K125="yes",(LOOKUP(J125,INPUTS!$E$6:$E$35,INPUTS!$F$6:$F$35)),0)</f>
        <v>0</v>
      </c>
      <c r="M125" s="135">
        <f t="shared" si="18"/>
        <v>104</v>
      </c>
      <c r="N125" s="135">
        <f t="shared" si="19"/>
        <v>1</v>
      </c>
      <c r="O125" s="135">
        <f t="shared" si="20"/>
        <v>0</v>
      </c>
      <c r="P125" s="536" t="e">
        <f t="shared" si="31"/>
        <v>#DIV/0!</v>
      </c>
      <c r="Q125" s="537" t="e">
        <f t="shared" si="25"/>
        <v>#DIV/0!</v>
      </c>
      <c r="R125" s="538" t="e">
        <f>IF(INPUTS!$B$15="yes",Q125,P125)</f>
        <v>#DIV/0!</v>
      </c>
      <c r="S125" s="536" t="e">
        <f t="shared" si="21"/>
        <v>#DIV/0!</v>
      </c>
      <c r="T125" s="537" t="e">
        <f t="shared" si="26"/>
        <v>#DIV/0!</v>
      </c>
      <c r="U125" s="538" t="e">
        <f>IF(INPUTS!$B$15="yes",T125,S125)</f>
        <v>#DIV/0!</v>
      </c>
      <c r="V125" s="536" t="e">
        <f t="shared" si="22"/>
        <v>#DIV/0!</v>
      </c>
      <c r="W125" s="537" t="e">
        <f t="shared" si="27"/>
        <v>#DIV/0!</v>
      </c>
      <c r="X125" s="538" t="e">
        <f>IF(INPUTS!$B$15="yes",W125,V125)</f>
        <v>#DIV/0!</v>
      </c>
      <c r="Y125" s="536" t="e">
        <f t="shared" si="23"/>
        <v>#DIV/0!</v>
      </c>
      <c r="Z125" s="537" t="e">
        <f t="shared" si="28"/>
        <v>#DIV/0!</v>
      </c>
      <c r="AA125" s="538" t="e">
        <f>IF(INPUTS!$B$15="yes",Z125,Y125)</f>
        <v>#DIV/0!</v>
      </c>
      <c r="AB125" s="536" t="e">
        <f t="shared" si="24"/>
        <v>#DIV/0!</v>
      </c>
      <c r="AC125" s="537" t="e">
        <f t="shared" si="29"/>
        <v>#DIV/0!</v>
      </c>
      <c r="AD125" s="538" t="e">
        <f>IF(INPUTS!$B$15="yes",AC125,AB125)</f>
        <v>#DIV/0!</v>
      </c>
      <c r="AE125" s="36" t="str">
        <f t="shared" si="30"/>
        <v>no</v>
      </c>
      <c r="AF125" s="36"/>
      <c r="AG125" s="389" t="e">
        <f>P125*('upper bound Kenaga'!$F$36/100)</f>
        <v>#DIV/0!</v>
      </c>
      <c r="AH125" s="36"/>
      <c r="AI125" s="389" t="e">
        <f>P125*('upper bound Kenaga'!$F$96/100)</f>
        <v>#DIV/0!</v>
      </c>
      <c r="AJ125" s="36"/>
      <c r="AK125" s="36"/>
      <c r="AL125" s="36"/>
      <c r="AM125" s="36"/>
      <c r="AN125" s="36"/>
      <c r="AO125" s="36"/>
    </row>
    <row r="126" spans="1:41">
      <c r="A126" s="924"/>
      <c r="B126" s="460">
        <f>C96</f>
        <v>15</v>
      </c>
      <c r="C126" s="461" t="s">
        <v>372</v>
      </c>
      <c r="D126" s="460">
        <f>C97</f>
        <v>35</v>
      </c>
      <c r="E126" s="461" t="s">
        <v>372</v>
      </c>
      <c r="F126" s="462">
        <f>C98</f>
        <v>1000</v>
      </c>
      <c r="G126" s="463" t="s">
        <v>372</v>
      </c>
      <c r="H126" s="617"/>
      <c r="J126" s="6">
        <f>COUNTIF(K$21:K126,"=yes")</f>
        <v>1</v>
      </c>
      <c r="K126" s="533" t="str">
        <f>IF(LOOKUP(VALUE(M126),INPUTS!$G$6:$G$35)=M126,"yes","no")</f>
        <v>no</v>
      </c>
      <c r="L126" s="533">
        <f>IF(K126="yes",(LOOKUP(J126,INPUTS!$E$6:$E$35,INPUTS!$F$6:$F$35)),0)</f>
        <v>0</v>
      </c>
      <c r="M126" s="135">
        <f t="shared" si="18"/>
        <v>105</v>
      </c>
      <c r="N126" s="135">
        <f t="shared" si="19"/>
        <v>1</v>
      </c>
      <c r="O126" s="135">
        <f t="shared" si="20"/>
        <v>0</v>
      </c>
      <c r="P126" s="536" t="e">
        <f t="shared" si="31"/>
        <v>#DIV/0!</v>
      </c>
      <c r="Q126" s="537" t="e">
        <f t="shared" si="25"/>
        <v>#DIV/0!</v>
      </c>
      <c r="R126" s="538" t="e">
        <f>IF(INPUTS!$B$15="yes",Q126,P126)</f>
        <v>#DIV/0!</v>
      </c>
      <c r="S126" s="536" t="e">
        <f t="shared" si="21"/>
        <v>#DIV/0!</v>
      </c>
      <c r="T126" s="537" t="e">
        <f t="shared" si="26"/>
        <v>#DIV/0!</v>
      </c>
      <c r="U126" s="538" t="e">
        <f>IF(INPUTS!$B$15="yes",T126,S126)</f>
        <v>#DIV/0!</v>
      </c>
      <c r="V126" s="536" t="e">
        <f t="shared" si="22"/>
        <v>#DIV/0!</v>
      </c>
      <c r="W126" s="537" t="e">
        <f t="shared" si="27"/>
        <v>#DIV/0!</v>
      </c>
      <c r="X126" s="538" t="e">
        <f>IF(INPUTS!$B$15="yes",W126,V126)</f>
        <v>#DIV/0!</v>
      </c>
      <c r="Y126" s="536" t="e">
        <f t="shared" si="23"/>
        <v>#DIV/0!</v>
      </c>
      <c r="Z126" s="537" t="e">
        <f t="shared" si="28"/>
        <v>#DIV/0!</v>
      </c>
      <c r="AA126" s="538" t="e">
        <f>IF(INPUTS!$B$15="yes",Z126,Y126)</f>
        <v>#DIV/0!</v>
      </c>
      <c r="AB126" s="536" t="e">
        <f t="shared" si="24"/>
        <v>#DIV/0!</v>
      </c>
      <c r="AC126" s="537" t="e">
        <f t="shared" si="29"/>
        <v>#DIV/0!</v>
      </c>
      <c r="AD126" s="538" t="e">
        <f>IF(INPUTS!$B$15="yes",AC126,AB126)</f>
        <v>#DIV/0!</v>
      </c>
      <c r="AE126" s="36" t="str">
        <f t="shared" si="30"/>
        <v>no</v>
      </c>
      <c r="AF126" s="36"/>
      <c r="AG126" s="389" t="e">
        <f>P126*('upper bound Kenaga'!$F$36/100)</f>
        <v>#DIV/0!</v>
      </c>
      <c r="AH126" s="36"/>
      <c r="AI126" s="389" t="e">
        <f>P126*('upper bound Kenaga'!$F$96/100)</f>
        <v>#DIV/0!</v>
      </c>
      <c r="AJ126" s="36"/>
      <c r="AK126" s="36"/>
      <c r="AL126" s="36"/>
      <c r="AM126" s="36"/>
      <c r="AN126" s="36"/>
      <c r="AO126" s="36"/>
    </row>
    <row r="127" spans="1:41" ht="13.5" thickBot="1">
      <c r="A127" s="925"/>
      <c r="B127" s="464" t="s">
        <v>31</v>
      </c>
      <c r="C127" s="465" t="s">
        <v>32</v>
      </c>
      <c r="D127" s="464" t="s">
        <v>33</v>
      </c>
      <c r="E127" s="465" t="s">
        <v>32</v>
      </c>
      <c r="F127" s="464" t="s">
        <v>33</v>
      </c>
      <c r="G127" s="466" t="s">
        <v>32</v>
      </c>
      <c r="H127" s="617"/>
      <c r="J127" s="6">
        <f>COUNTIF(K$21:K127,"=yes")</f>
        <v>1</v>
      </c>
      <c r="K127" s="533" t="str">
        <f>IF(LOOKUP(VALUE(M127),INPUTS!$G$6:$G$35)=M127,"yes","no")</f>
        <v>no</v>
      </c>
      <c r="L127" s="533">
        <f>IF(K127="yes",(LOOKUP(J127,INPUTS!$E$6:$E$35,INPUTS!$F$6:$F$35)),0)</f>
        <v>0</v>
      </c>
      <c r="M127" s="135">
        <f t="shared" si="18"/>
        <v>106</v>
      </c>
      <c r="N127" s="135">
        <f t="shared" si="19"/>
        <v>1</v>
      </c>
      <c r="O127" s="135">
        <f t="shared" si="20"/>
        <v>0</v>
      </c>
      <c r="P127" s="536" t="e">
        <f t="shared" si="31"/>
        <v>#DIV/0!</v>
      </c>
      <c r="Q127" s="537" t="e">
        <f t="shared" si="25"/>
        <v>#DIV/0!</v>
      </c>
      <c r="R127" s="538" t="e">
        <f>IF(INPUTS!$B$15="yes",Q127,P127)</f>
        <v>#DIV/0!</v>
      </c>
      <c r="S127" s="536" t="e">
        <f t="shared" si="21"/>
        <v>#DIV/0!</v>
      </c>
      <c r="T127" s="537" t="e">
        <f t="shared" si="26"/>
        <v>#DIV/0!</v>
      </c>
      <c r="U127" s="538" t="e">
        <f>IF(INPUTS!$B$15="yes",T127,S127)</f>
        <v>#DIV/0!</v>
      </c>
      <c r="V127" s="536" t="e">
        <f t="shared" si="22"/>
        <v>#DIV/0!</v>
      </c>
      <c r="W127" s="537" t="e">
        <f t="shared" si="27"/>
        <v>#DIV/0!</v>
      </c>
      <c r="X127" s="538" t="e">
        <f>IF(INPUTS!$B$15="yes",W127,V127)</f>
        <v>#DIV/0!</v>
      </c>
      <c r="Y127" s="536" t="e">
        <f t="shared" si="23"/>
        <v>#DIV/0!</v>
      </c>
      <c r="Z127" s="537" t="e">
        <f t="shared" si="28"/>
        <v>#DIV/0!</v>
      </c>
      <c r="AA127" s="538" t="e">
        <f>IF(INPUTS!$B$15="yes",Z127,Y127)</f>
        <v>#DIV/0!</v>
      </c>
      <c r="AB127" s="536" t="e">
        <f t="shared" si="24"/>
        <v>#DIV/0!</v>
      </c>
      <c r="AC127" s="537" t="e">
        <f t="shared" si="29"/>
        <v>#DIV/0!</v>
      </c>
      <c r="AD127" s="538" t="e">
        <f>IF(INPUTS!$B$15="yes",AC127,AB127)</f>
        <v>#DIV/0!</v>
      </c>
      <c r="AE127" s="36" t="str">
        <f t="shared" si="30"/>
        <v>no</v>
      </c>
      <c r="AF127" s="36"/>
      <c r="AG127" s="389" t="e">
        <f>P127*('upper bound Kenaga'!$F$36/100)</f>
        <v>#DIV/0!</v>
      </c>
      <c r="AH127" s="36"/>
      <c r="AI127" s="389" t="e">
        <f>P127*('upper bound Kenaga'!$F$96/100)</f>
        <v>#DIV/0!</v>
      </c>
      <c r="AJ127" s="36"/>
      <c r="AK127" s="36"/>
      <c r="AL127" s="36"/>
      <c r="AM127" s="36"/>
      <c r="AN127" s="36"/>
      <c r="AO127" s="36"/>
    </row>
    <row r="128" spans="1:41" ht="12.75" customHeight="1" thickTop="1">
      <c r="A128" s="355" t="s">
        <v>13</v>
      </c>
      <c r="B128" s="467" t="e">
        <f>$B$115/$D$105</f>
        <v>#DIV/0!</v>
      </c>
      <c r="C128" s="468" t="e">
        <f>B115/$E$105</f>
        <v>#DIV/0!</v>
      </c>
      <c r="D128" s="467" t="e">
        <f>C115/$D$106</f>
        <v>#DIV/0!</v>
      </c>
      <c r="E128" s="468" t="e">
        <f>C115/E106</f>
        <v>#DIV/0!</v>
      </c>
      <c r="F128" s="467" t="e">
        <f>D115/$D$107</f>
        <v>#DIV/0!</v>
      </c>
      <c r="G128" s="469" t="e">
        <f>D115/E107</f>
        <v>#DIV/0!</v>
      </c>
      <c r="H128" s="617"/>
      <c r="J128" s="6">
        <f>COUNTIF(K$21:K128,"=yes")</f>
        <v>1</v>
      </c>
      <c r="K128" s="533" t="str">
        <f>IF(LOOKUP(VALUE(M128),INPUTS!$G$6:$G$35)=M128,"yes","no")</f>
        <v>no</v>
      </c>
      <c r="L128" s="533">
        <f>IF(K128="yes",(LOOKUP(J128,INPUTS!$E$6:$E$35,INPUTS!$F$6:$F$35)),0)</f>
        <v>0</v>
      </c>
      <c r="M128" s="135">
        <f t="shared" si="18"/>
        <v>107</v>
      </c>
      <c r="N128" s="135">
        <f t="shared" si="19"/>
        <v>1</v>
      </c>
      <c r="O128" s="135">
        <f t="shared" si="20"/>
        <v>0</v>
      </c>
      <c r="P128" s="536" t="e">
        <f t="shared" si="31"/>
        <v>#DIV/0!</v>
      </c>
      <c r="Q128" s="537" t="e">
        <f t="shared" si="25"/>
        <v>#DIV/0!</v>
      </c>
      <c r="R128" s="538" t="e">
        <f>IF(INPUTS!$B$15="yes",Q128,P128)</f>
        <v>#DIV/0!</v>
      </c>
      <c r="S128" s="536" t="e">
        <f t="shared" si="21"/>
        <v>#DIV/0!</v>
      </c>
      <c r="T128" s="537" t="e">
        <f t="shared" si="26"/>
        <v>#DIV/0!</v>
      </c>
      <c r="U128" s="538" t="e">
        <f>IF(INPUTS!$B$15="yes",T128,S128)</f>
        <v>#DIV/0!</v>
      </c>
      <c r="V128" s="536" t="e">
        <f t="shared" si="22"/>
        <v>#DIV/0!</v>
      </c>
      <c r="W128" s="537" t="e">
        <f t="shared" si="27"/>
        <v>#DIV/0!</v>
      </c>
      <c r="X128" s="538" t="e">
        <f>IF(INPUTS!$B$15="yes",W128,V128)</f>
        <v>#DIV/0!</v>
      </c>
      <c r="Y128" s="536" t="e">
        <f t="shared" si="23"/>
        <v>#DIV/0!</v>
      </c>
      <c r="Z128" s="537" t="e">
        <f t="shared" si="28"/>
        <v>#DIV/0!</v>
      </c>
      <c r="AA128" s="538" t="e">
        <f>IF(INPUTS!$B$15="yes",Z128,Y128)</f>
        <v>#DIV/0!</v>
      </c>
      <c r="AB128" s="536" t="e">
        <f t="shared" si="24"/>
        <v>#DIV/0!</v>
      </c>
      <c r="AC128" s="537" t="e">
        <f t="shared" si="29"/>
        <v>#DIV/0!</v>
      </c>
      <c r="AD128" s="538" t="e">
        <f>IF(INPUTS!$B$15="yes",AC128,AB128)</f>
        <v>#DIV/0!</v>
      </c>
      <c r="AE128" s="36" t="str">
        <f t="shared" si="30"/>
        <v>no</v>
      </c>
      <c r="AF128" s="36"/>
      <c r="AG128" s="389" t="e">
        <f>P128*('upper bound Kenaga'!$F$36/100)</f>
        <v>#DIV/0!</v>
      </c>
      <c r="AH128" s="36"/>
      <c r="AI128" s="389" t="e">
        <f>P128*('upper bound Kenaga'!$F$96/100)</f>
        <v>#DIV/0!</v>
      </c>
      <c r="AJ128" s="36"/>
      <c r="AK128" s="36"/>
      <c r="AL128" s="36"/>
      <c r="AM128" s="36"/>
      <c r="AN128" s="36"/>
      <c r="AO128" s="36"/>
    </row>
    <row r="129" spans="1:41">
      <c r="A129" s="356" t="s">
        <v>23</v>
      </c>
      <c r="B129" s="467" t="e">
        <f>$B$116/$D$105</f>
        <v>#DIV/0!</v>
      </c>
      <c r="C129" s="324" t="e">
        <f>B116/E105</f>
        <v>#DIV/0!</v>
      </c>
      <c r="D129" s="467" t="e">
        <f>C116/$D$106</f>
        <v>#DIV/0!</v>
      </c>
      <c r="E129" s="324" t="e">
        <f>C116/E106</f>
        <v>#DIV/0!</v>
      </c>
      <c r="F129" s="467" t="e">
        <f>D116/$D$107</f>
        <v>#DIV/0!</v>
      </c>
      <c r="G129" s="295" t="e">
        <f>D116/E107</f>
        <v>#DIV/0!</v>
      </c>
      <c r="H129" s="617"/>
      <c r="J129" s="6">
        <f>COUNTIF(K$21:K129,"=yes")</f>
        <v>1</v>
      </c>
      <c r="K129" s="533" t="str">
        <f>IF(LOOKUP(VALUE(M129),INPUTS!$G$6:$G$35)=M129,"yes","no")</f>
        <v>no</v>
      </c>
      <c r="L129" s="533">
        <f>IF(K129="yes",(LOOKUP(J129,INPUTS!$E$6:$E$35,INPUTS!$F$6:$F$35)),0)</f>
        <v>0</v>
      </c>
      <c r="M129" s="135">
        <f t="shared" si="18"/>
        <v>108</v>
      </c>
      <c r="N129" s="135">
        <f t="shared" si="19"/>
        <v>1</v>
      </c>
      <c r="O129" s="135">
        <f t="shared" si="20"/>
        <v>0</v>
      </c>
      <c r="P129" s="536" t="e">
        <f t="shared" si="31"/>
        <v>#DIV/0!</v>
      </c>
      <c r="Q129" s="537" t="e">
        <f t="shared" si="25"/>
        <v>#DIV/0!</v>
      </c>
      <c r="R129" s="538" t="e">
        <f>IF(INPUTS!$B$15="yes",Q129,P129)</f>
        <v>#DIV/0!</v>
      </c>
      <c r="S129" s="536" t="e">
        <f t="shared" si="21"/>
        <v>#DIV/0!</v>
      </c>
      <c r="T129" s="537" t="e">
        <f t="shared" si="26"/>
        <v>#DIV/0!</v>
      </c>
      <c r="U129" s="538" t="e">
        <f>IF(INPUTS!$B$15="yes",T129,S129)</f>
        <v>#DIV/0!</v>
      </c>
      <c r="V129" s="536" t="e">
        <f t="shared" si="22"/>
        <v>#DIV/0!</v>
      </c>
      <c r="W129" s="537" t="e">
        <f t="shared" si="27"/>
        <v>#DIV/0!</v>
      </c>
      <c r="X129" s="538" t="e">
        <f>IF(INPUTS!$B$15="yes",W129,V129)</f>
        <v>#DIV/0!</v>
      </c>
      <c r="Y129" s="536" t="e">
        <f t="shared" si="23"/>
        <v>#DIV/0!</v>
      </c>
      <c r="Z129" s="537" t="e">
        <f t="shared" si="28"/>
        <v>#DIV/0!</v>
      </c>
      <c r="AA129" s="538" t="e">
        <f>IF(INPUTS!$B$15="yes",Z129,Y129)</f>
        <v>#DIV/0!</v>
      </c>
      <c r="AB129" s="536" t="e">
        <f t="shared" si="24"/>
        <v>#DIV/0!</v>
      </c>
      <c r="AC129" s="537" t="e">
        <f t="shared" si="29"/>
        <v>#DIV/0!</v>
      </c>
      <c r="AD129" s="538" t="e">
        <f>IF(INPUTS!$B$15="yes",AC129,AB129)</f>
        <v>#DIV/0!</v>
      </c>
      <c r="AE129" s="36" t="str">
        <f t="shared" si="30"/>
        <v>no</v>
      </c>
      <c r="AF129" s="36"/>
      <c r="AG129" s="389" t="e">
        <f>P129*('upper bound Kenaga'!$F$36/100)</f>
        <v>#DIV/0!</v>
      </c>
      <c r="AH129" s="36"/>
      <c r="AI129" s="389" t="e">
        <f>P129*('upper bound Kenaga'!$F$96/100)</f>
        <v>#DIV/0!</v>
      </c>
      <c r="AJ129" s="36"/>
      <c r="AK129" s="36"/>
      <c r="AL129" s="36"/>
      <c r="AM129" s="36"/>
      <c r="AN129" s="36"/>
      <c r="AO129" s="36"/>
    </row>
    <row r="130" spans="1:41">
      <c r="A130" s="563" t="s">
        <v>415</v>
      </c>
      <c r="B130" s="467" t="e">
        <f>$B$117/$D$105</f>
        <v>#DIV/0!</v>
      </c>
      <c r="C130" s="324" t="e">
        <f>B117/E105</f>
        <v>#DIV/0!</v>
      </c>
      <c r="D130" s="467" t="e">
        <f>C117/$D$106</f>
        <v>#DIV/0!</v>
      </c>
      <c r="E130" s="324" t="e">
        <f>C117/E106</f>
        <v>#DIV/0!</v>
      </c>
      <c r="F130" s="467" t="e">
        <f>D117/$D$107</f>
        <v>#DIV/0!</v>
      </c>
      <c r="G130" s="295" t="e">
        <f>D117/E107</f>
        <v>#DIV/0!</v>
      </c>
      <c r="H130" s="617"/>
      <c r="J130" s="6">
        <f>COUNTIF(K$21:K130,"=yes")</f>
        <v>1</v>
      </c>
      <c r="K130" s="533" t="str">
        <f>IF(LOOKUP(VALUE(M130),INPUTS!$G$6:$G$35)=M130,"yes","no")</f>
        <v>no</v>
      </c>
      <c r="L130" s="533">
        <f>IF(K130="yes",(LOOKUP(J130,INPUTS!$E$6:$E$35,INPUTS!$F$6:$F$35)),0)</f>
        <v>0</v>
      </c>
      <c r="M130" s="135">
        <f t="shared" si="18"/>
        <v>109</v>
      </c>
      <c r="N130" s="135">
        <f t="shared" si="19"/>
        <v>1</v>
      </c>
      <c r="O130" s="135">
        <f t="shared" si="20"/>
        <v>0</v>
      </c>
      <c r="P130" s="536" t="e">
        <f t="shared" si="31"/>
        <v>#DIV/0!</v>
      </c>
      <c r="Q130" s="537" t="e">
        <f t="shared" si="25"/>
        <v>#DIV/0!</v>
      </c>
      <c r="R130" s="538" t="e">
        <f>IF(INPUTS!$B$15="yes",Q130,P130)</f>
        <v>#DIV/0!</v>
      </c>
      <c r="S130" s="536" t="e">
        <f t="shared" si="21"/>
        <v>#DIV/0!</v>
      </c>
      <c r="T130" s="537" t="e">
        <f t="shared" si="26"/>
        <v>#DIV/0!</v>
      </c>
      <c r="U130" s="538" t="e">
        <f>IF(INPUTS!$B$15="yes",T130,S130)</f>
        <v>#DIV/0!</v>
      </c>
      <c r="V130" s="536" t="e">
        <f t="shared" si="22"/>
        <v>#DIV/0!</v>
      </c>
      <c r="W130" s="537" t="e">
        <f t="shared" si="27"/>
        <v>#DIV/0!</v>
      </c>
      <c r="X130" s="538" t="e">
        <f>IF(INPUTS!$B$15="yes",W130,V130)</f>
        <v>#DIV/0!</v>
      </c>
      <c r="Y130" s="536" t="e">
        <f t="shared" si="23"/>
        <v>#DIV/0!</v>
      </c>
      <c r="Z130" s="537" t="e">
        <f t="shared" si="28"/>
        <v>#DIV/0!</v>
      </c>
      <c r="AA130" s="538" t="e">
        <f>IF(INPUTS!$B$15="yes",Z130,Y130)</f>
        <v>#DIV/0!</v>
      </c>
      <c r="AB130" s="536" t="e">
        <f t="shared" si="24"/>
        <v>#DIV/0!</v>
      </c>
      <c r="AC130" s="537" t="e">
        <f t="shared" si="29"/>
        <v>#DIV/0!</v>
      </c>
      <c r="AD130" s="538" t="e">
        <f>IF(INPUTS!$B$15="yes",AC130,AB130)</f>
        <v>#DIV/0!</v>
      </c>
      <c r="AE130" s="36" t="str">
        <f t="shared" si="30"/>
        <v>no</v>
      </c>
      <c r="AF130" s="36"/>
      <c r="AG130" s="389" t="e">
        <f>P130*('upper bound Kenaga'!$F$36/100)</f>
        <v>#DIV/0!</v>
      </c>
      <c r="AH130" s="36"/>
      <c r="AI130" s="389" t="e">
        <f>P130*('upper bound Kenaga'!$F$96/100)</f>
        <v>#DIV/0!</v>
      </c>
      <c r="AJ130" s="36"/>
      <c r="AK130" s="36"/>
      <c r="AL130" s="36"/>
      <c r="AM130" s="36"/>
      <c r="AN130" s="36"/>
      <c r="AO130" s="36"/>
    </row>
    <row r="131" spans="1:41">
      <c r="A131" s="357" t="s">
        <v>417</v>
      </c>
      <c r="B131" s="467" t="e">
        <f>$B$118/$D$105</f>
        <v>#DIV/0!</v>
      </c>
      <c r="C131" s="324" t="e">
        <f>B118/E105</f>
        <v>#DIV/0!</v>
      </c>
      <c r="D131" s="467" t="e">
        <f>C118/$D$106</f>
        <v>#DIV/0!</v>
      </c>
      <c r="E131" s="324" t="e">
        <f>C118/E106</f>
        <v>#DIV/0!</v>
      </c>
      <c r="F131" s="467" t="e">
        <f>D118/$D$107</f>
        <v>#DIV/0!</v>
      </c>
      <c r="G131" s="295" t="e">
        <f>D118/E107</f>
        <v>#DIV/0!</v>
      </c>
      <c r="H131" s="617"/>
      <c r="J131" s="6">
        <f>COUNTIF(K$21:K131,"=yes")</f>
        <v>1</v>
      </c>
      <c r="K131" s="533" t="str">
        <f>IF(LOOKUP(VALUE(M131),INPUTS!$G$6:$G$35)=M131,"yes","no")</f>
        <v>no</v>
      </c>
      <c r="L131" s="533">
        <f>IF(K131="yes",(LOOKUP(J131,INPUTS!$E$6:$E$35,INPUTS!$F$6:$F$35)),0)</f>
        <v>0</v>
      </c>
      <c r="M131" s="135">
        <f t="shared" si="18"/>
        <v>110</v>
      </c>
      <c r="N131" s="135">
        <f t="shared" si="19"/>
        <v>1</v>
      </c>
      <c r="O131" s="135">
        <f t="shared" si="20"/>
        <v>0</v>
      </c>
      <c r="P131" s="536" t="e">
        <f t="shared" si="31"/>
        <v>#DIV/0!</v>
      </c>
      <c r="Q131" s="537" t="e">
        <f t="shared" si="25"/>
        <v>#DIV/0!</v>
      </c>
      <c r="R131" s="538" t="e">
        <f>IF(INPUTS!$B$15="yes",Q131,P131)</f>
        <v>#DIV/0!</v>
      </c>
      <c r="S131" s="536" t="e">
        <f t="shared" si="21"/>
        <v>#DIV/0!</v>
      </c>
      <c r="T131" s="537" t="e">
        <f t="shared" si="26"/>
        <v>#DIV/0!</v>
      </c>
      <c r="U131" s="538" t="e">
        <f>IF(INPUTS!$B$15="yes",T131,S131)</f>
        <v>#DIV/0!</v>
      </c>
      <c r="V131" s="536" t="e">
        <f t="shared" si="22"/>
        <v>#DIV/0!</v>
      </c>
      <c r="W131" s="537" t="e">
        <f t="shared" si="27"/>
        <v>#DIV/0!</v>
      </c>
      <c r="X131" s="538" t="e">
        <f>IF(INPUTS!$B$15="yes",W131,V131)</f>
        <v>#DIV/0!</v>
      </c>
      <c r="Y131" s="536" t="e">
        <f t="shared" si="23"/>
        <v>#DIV/0!</v>
      </c>
      <c r="Z131" s="537" t="e">
        <f t="shared" si="28"/>
        <v>#DIV/0!</v>
      </c>
      <c r="AA131" s="538" t="e">
        <f>IF(INPUTS!$B$15="yes",Z131,Y131)</f>
        <v>#DIV/0!</v>
      </c>
      <c r="AB131" s="536" t="e">
        <f t="shared" si="24"/>
        <v>#DIV/0!</v>
      </c>
      <c r="AC131" s="537" t="e">
        <f t="shared" si="29"/>
        <v>#DIV/0!</v>
      </c>
      <c r="AD131" s="538" t="e">
        <f>IF(INPUTS!$B$15="yes",AC131,AB131)</f>
        <v>#DIV/0!</v>
      </c>
      <c r="AE131" s="36" t="str">
        <f t="shared" si="30"/>
        <v>no</v>
      </c>
      <c r="AF131" s="36"/>
      <c r="AG131" s="389" t="e">
        <f>P131*('upper bound Kenaga'!$F$36/100)</f>
        <v>#DIV/0!</v>
      </c>
      <c r="AH131" s="36"/>
      <c r="AI131" s="389" t="e">
        <f>P131*('upper bound Kenaga'!$F$96/100)</f>
        <v>#DIV/0!</v>
      </c>
      <c r="AJ131" s="36"/>
      <c r="AK131" s="36"/>
      <c r="AL131" s="36"/>
      <c r="AM131" s="36"/>
      <c r="AN131" s="36"/>
      <c r="AO131" s="36"/>
    </row>
    <row r="132" spans="1:41">
      <c r="A132" s="26" t="s">
        <v>414</v>
      </c>
      <c r="B132" s="591" t="e">
        <f>$B$119/$D$105</f>
        <v>#DIV/0!</v>
      </c>
      <c r="C132" s="591" t="e">
        <f>B119/E105</f>
        <v>#DIV/0!</v>
      </c>
      <c r="D132" s="591" t="e">
        <f>C119/$D$106</f>
        <v>#DIV/0!</v>
      </c>
      <c r="E132" s="591" t="e">
        <f>C119/E106</f>
        <v>#DIV/0!</v>
      </c>
      <c r="F132" s="591" t="e">
        <f>D119/$D$107</f>
        <v>#DIV/0!</v>
      </c>
      <c r="G132" s="595" t="e">
        <f>D119/E107</f>
        <v>#DIV/0!</v>
      </c>
      <c r="H132" s="617"/>
      <c r="J132" s="6">
        <f>COUNTIF(K$21:K132,"=yes")</f>
        <v>1</v>
      </c>
      <c r="K132" s="533" t="str">
        <f>IF(LOOKUP(VALUE(M132),INPUTS!$G$6:$G$35)=M132,"yes","no")</f>
        <v>no</v>
      </c>
      <c r="L132" s="533">
        <f>IF(K132="yes",(LOOKUP(J132,INPUTS!$E$6:$E$35,INPUTS!$F$6:$F$35)),0)</f>
        <v>0</v>
      </c>
      <c r="M132" s="135">
        <f t="shared" si="18"/>
        <v>111</v>
      </c>
      <c r="N132" s="135">
        <f t="shared" si="19"/>
        <v>1</v>
      </c>
      <c r="O132" s="135">
        <f t="shared" si="20"/>
        <v>0</v>
      </c>
      <c r="P132" s="536" t="e">
        <f t="shared" si="31"/>
        <v>#DIV/0!</v>
      </c>
      <c r="Q132" s="537" t="e">
        <f t="shared" si="25"/>
        <v>#DIV/0!</v>
      </c>
      <c r="R132" s="538" t="e">
        <f>IF(INPUTS!$B$15="yes",Q132,P132)</f>
        <v>#DIV/0!</v>
      </c>
      <c r="S132" s="536" t="e">
        <f t="shared" si="21"/>
        <v>#DIV/0!</v>
      </c>
      <c r="T132" s="537" t="e">
        <f t="shared" si="26"/>
        <v>#DIV/0!</v>
      </c>
      <c r="U132" s="538" t="e">
        <f>IF(INPUTS!$B$15="yes",T132,S132)</f>
        <v>#DIV/0!</v>
      </c>
      <c r="V132" s="536" t="e">
        <f t="shared" si="22"/>
        <v>#DIV/0!</v>
      </c>
      <c r="W132" s="537" t="e">
        <f t="shared" si="27"/>
        <v>#DIV/0!</v>
      </c>
      <c r="X132" s="538" t="e">
        <f>IF(INPUTS!$B$15="yes",W132,V132)</f>
        <v>#DIV/0!</v>
      </c>
      <c r="Y132" s="536" t="e">
        <f t="shared" si="23"/>
        <v>#DIV/0!</v>
      </c>
      <c r="Z132" s="537" t="e">
        <f t="shared" si="28"/>
        <v>#DIV/0!</v>
      </c>
      <c r="AA132" s="538" t="e">
        <f>IF(INPUTS!$B$15="yes",Z132,Y132)</f>
        <v>#DIV/0!</v>
      </c>
      <c r="AB132" s="536" t="e">
        <f t="shared" si="24"/>
        <v>#DIV/0!</v>
      </c>
      <c r="AC132" s="537" t="e">
        <f t="shared" si="29"/>
        <v>#DIV/0!</v>
      </c>
      <c r="AD132" s="538" t="e">
        <f>IF(INPUTS!$B$15="yes",AC132,AB132)</f>
        <v>#DIV/0!</v>
      </c>
      <c r="AE132" s="36" t="str">
        <f t="shared" si="30"/>
        <v>no</v>
      </c>
      <c r="AF132" s="36"/>
      <c r="AG132" s="389" t="e">
        <f>P132*('upper bound Kenaga'!$F$36/100)</f>
        <v>#DIV/0!</v>
      </c>
      <c r="AH132" s="36"/>
      <c r="AI132" s="389" t="e">
        <f>P132*('upper bound Kenaga'!$F$96/100)</f>
        <v>#DIV/0!</v>
      </c>
      <c r="AJ132" s="36"/>
      <c r="AK132" s="36"/>
      <c r="AL132" s="36"/>
      <c r="AM132" s="36"/>
      <c r="AN132" s="36"/>
      <c r="AO132" s="36"/>
    </row>
    <row r="133" spans="1:41" ht="13.5" thickBot="1">
      <c r="A133" s="358" t="s">
        <v>418</v>
      </c>
      <c r="B133" s="456" t="e">
        <f>$B$120/$D$108</f>
        <v>#DIV/0!</v>
      </c>
      <c r="C133" s="325" t="e">
        <f>B120/E108</f>
        <v>#DIV/0!</v>
      </c>
      <c r="D133" s="456" t="e">
        <f>C120/$D$109</f>
        <v>#DIV/0!</v>
      </c>
      <c r="E133" s="325" t="e">
        <f>C120/E109</f>
        <v>#DIV/0!</v>
      </c>
      <c r="F133" s="470" t="e">
        <f>D120/$D$110</f>
        <v>#DIV/0!</v>
      </c>
      <c r="G133" s="397" t="e">
        <f>D120/E110</f>
        <v>#DIV/0!</v>
      </c>
      <c r="H133" s="617"/>
      <c r="J133" s="6">
        <f>COUNTIF(K$21:K133,"=yes")</f>
        <v>1</v>
      </c>
      <c r="K133" s="533" t="str">
        <f>IF(LOOKUP(VALUE(M133),INPUTS!$G$6:$G$35)=M133,"yes","no")</f>
        <v>no</v>
      </c>
      <c r="L133" s="533">
        <f>IF(K133="yes",(LOOKUP(J133,INPUTS!$E$6:$E$35,INPUTS!$F$6:$F$35)),0)</f>
        <v>0</v>
      </c>
      <c r="M133" s="135">
        <f t="shared" si="18"/>
        <v>112</v>
      </c>
      <c r="N133" s="135">
        <f t="shared" si="19"/>
        <v>1</v>
      </c>
      <c r="O133" s="135">
        <f t="shared" si="20"/>
        <v>0</v>
      </c>
      <c r="P133" s="536" t="e">
        <f t="shared" si="31"/>
        <v>#DIV/0!</v>
      </c>
      <c r="Q133" s="537" t="e">
        <f t="shared" si="25"/>
        <v>#DIV/0!</v>
      </c>
      <c r="R133" s="538" t="e">
        <f>IF(INPUTS!$B$15="yes",Q133,P133)</f>
        <v>#DIV/0!</v>
      </c>
      <c r="S133" s="536" t="e">
        <f t="shared" si="21"/>
        <v>#DIV/0!</v>
      </c>
      <c r="T133" s="537" t="e">
        <f t="shared" si="26"/>
        <v>#DIV/0!</v>
      </c>
      <c r="U133" s="538" t="e">
        <f>IF(INPUTS!$B$15="yes",T133,S133)</f>
        <v>#DIV/0!</v>
      </c>
      <c r="V133" s="536" t="e">
        <f t="shared" si="22"/>
        <v>#DIV/0!</v>
      </c>
      <c r="W133" s="537" t="e">
        <f t="shared" si="27"/>
        <v>#DIV/0!</v>
      </c>
      <c r="X133" s="538" t="e">
        <f>IF(INPUTS!$B$15="yes",W133,V133)</f>
        <v>#DIV/0!</v>
      </c>
      <c r="Y133" s="536" t="e">
        <f t="shared" si="23"/>
        <v>#DIV/0!</v>
      </c>
      <c r="Z133" s="537" t="e">
        <f t="shared" si="28"/>
        <v>#DIV/0!</v>
      </c>
      <c r="AA133" s="538" t="e">
        <f>IF(INPUTS!$B$15="yes",Z133,Y133)</f>
        <v>#DIV/0!</v>
      </c>
      <c r="AB133" s="536" t="e">
        <f t="shared" si="24"/>
        <v>#DIV/0!</v>
      </c>
      <c r="AC133" s="537" t="e">
        <f t="shared" si="29"/>
        <v>#DIV/0!</v>
      </c>
      <c r="AD133" s="538" t="e">
        <f>IF(INPUTS!$B$15="yes",AC133,AB133)</f>
        <v>#DIV/0!</v>
      </c>
      <c r="AE133" s="36" t="str">
        <f t="shared" si="30"/>
        <v>no</v>
      </c>
      <c r="AF133" s="36"/>
      <c r="AG133" s="389" t="e">
        <f>P133*('upper bound Kenaga'!$F$36/100)</f>
        <v>#DIV/0!</v>
      </c>
      <c r="AH133" s="36"/>
      <c r="AI133" s="389" t="e">
        <f>P133*('upper bound Kenaga'!$F$96/100)</f>
        <v>#DIV/0!</v>
      </c>
      <c r="AJ133" s="36"/>
      <c r="AK133" s="36"/>
      <c r="AL133" s="36"/>
      <c r="AM133" s="36"/>
      <c r="AN133" s="36"/>
      <c r="AO133" s="36"/>
    </row>
    <row r="134" spans="1:41">
      <c r="A134" s="617"/>
      <c r="B134" s="617"/>
      <c r="C134" s="617"/>
      <c r="D134" s="623"/>
      <c r="E134" s="617"/>
      <c r="F134" s="617"/>
      <c r="G134" s="617"/>
      <c r="H134" s="617"/>
      <c r="J134" s="6">
        <f>COUNTIF(K$21:K134,"=yes")</f>
        <v>1</v>
      </c>
      <c r="K134" s="533" t="str">
        <f>IF(LOOKUP(VALUE(M134),INPUTS!$G$6:$G$35)=M134,"yes","no")</f>
        <v>no</v>
      </c>
      <c r="L134" s="533">
        <f>IF(K134="yes",(LOOKUP(J134,INPUTS!$E$6:$E$35,INPUTS!$F$6:$F$35)),0)</f>
        <v>0</v>
      </c>
      <c r="M134" s="135">
        <f t="shared" si="18"/>
        <v>113</v>
      </c>
      <c r="N134" s="135">
        <f t="shared" si="19"/>
        <v>1</v>
      </c>
      <c r="O134" s="135">
        <f t="shared" si="20"/>
        <v>0</v>
      </c>
      <c r="P134" s="536" t="e">
        <f t="shared" si="31"/>
        <v>#DIV/0!</v>
      </c>
      <c r="Q134" s="537" t="e">
        <f t="shared" si="25"/>
        <v>#DIV/0!</v>
      </c>
      <c r="R134" s="538" t="e">
        <f>IF(INPUTS!$B$15="yes",Q134,P134)</f>
        <v>#DIV/0!</v>
      </c>
      <c r="S134" s="536" t="e">
        <f t="shared" si="21"/>
        <v>#DIV/0!</v>
      </c>
      <c r="T134" s="537" t="e">
        <f t="shared" si="26"/>
        <v>#DIV/0!</v>
      </c>
      <c r="U134" s="538" t="e">
        <f>IF(INPUTS!$B$15="yes",T134,S134)</f>
        <v>#DIV/0!</v>
      </c>
      <c r="V134" s="536" t="e">
        <f t="shared" si="22"/>
        <v>#DIV/0!</v>
      </c>
      <c r="W134" s="537" t="e">
        <f t="shared" si="27"/>
        <v>#DIV/0!</v>
      </c>
      <c r="X134" s="538" t="e">
        <f>IF(INPUTS!$B$15="yes",W134,V134)</f>
        <v>#DIV/0!</v>
      </c>
      <c r="Y134" s="536" t="e">
        <f t="shared" si="23"/>
        <v>#DIV/0!</v>
      </c>
      <c r="Z134" s="537" t="e">
        <f t="shared" si="28"/>
        <v>#DIV/0!</v>
      </c>
      <c r="AA134" s="538" t="e">
        <f>IF(INPUTS!$B$15="yes",Z134,Y134)</f>
        <v>#DIV/0!</v>
      </c>
      <c r="AB134" s="536" t="e">
        <f t="shared" si="24"/>
        <v>#DIV/0!</v>
      </c>
      <c r="AC134" s="537" t="e">
        <f t="shared" si="29"/>
        <v>#DIV/0!</v>
      </c>
      <c r="AD134" s="538" t="e">
        <f>IF(INPUTS!$B$15="yes",AC134,AB134)</f>
        <v>#DIV/0!</v>
      </c>
      <c r="AE134" s="36" t="str">
        <f t="shared" si="30"/>
        <v>no</v>
      </c>
      <c r="AF134" s="36"/>
      <c r="AG134" s="389" t="e">
        <f>P134*('upper bound Kenaga'!$F$36/100)</f>
        <v>#DIV/0!</v>
      </c>
      <c r="AH134" s="36"/>
      <c r="AI134" s="389" t="e">
        <f>P134*('upper bound Kenaga'!$F$96/100)</f>
        <v>#DIV/0!</v>
      </c>
      <c r="AJ134" s="36"/>
      <c r="AK134" s="36"/>
      <c r="AL134" s="36"/>
      <c r="AM134" s="36"/>
      <c r="AN134" s="36"/>
      <c r="AO134" s="36"/>
    </row>
    <row r="135" spans="1:41">
      <c r="A135" s="617"/>
      <c r="B135" s="617"/>
      <c r="C135" s="617"/>
      <c r="D135" s="623"/>
      <c r="E135" s="617"/>
      <c r="F135" s="617"/>
      <c r="G135" s="617"/>
      <c r="H135" s="617"/>
      <c r="J135" s="6">
        <f>COUNTIF(K$21:K135,"=yes")</f>
        <v>1</v>
      </c>
      <c r="K135" s="533" t="str">
        <f>IF(LOOKUP(VALUE(M135),INPUTS!$G$6:$G$35)=M135,"yes","no")</f>
        <v>no</v>
      </c>
      <c r="L135" s="533">
        <f>IF(K135="yes",(LOOKUP(J135,INPUTS!$E$6:$E$35,INPUTS!$F$6:$F$35)),0)</f>
        <v>0</v>
      </c>
      <c r="M135" s="135">
        <f t="shared" si="18"/>
        <v>114</v>
      </c>
      <c r="N135" s="135">
        <f t="shared" si="19"/>
        <v>1</v>
      </c>
      <c r="O135" s="135">
        <f t="shared" si="20"/>
        <v>0</v>
      </c>
      <c r="P135" s="536" t="e">
        <f t="shared" si="31"/>
        <v>#DIV/0!</v>
      </c>
      <c r="Q135" s="537" t="e">
        <f t="shared" si="25"/>
        <v>#DIV/0!</v>
      </c>
      <c r="R135" s="538" t="e">
        <f>IF(INPUTS!$B$15="yes",Q135,P135)</f>
        <v>#DIV/0!</v>
      </c>
      <c r="S135" s="536" t="e">
        <f t="shared" si="21"/>
        <v>#DIV/0!</v>
      </c>
      <c r="T135" s="537" t="e">
        <f t="shared" si="26"/>
        <v>#DIV/0!</v>
      </c>
      <c r="U135" s="538" t="e">
        <f>IF(INPUTS!$B$15="yes",T135,S135)</f>
        <v>#DIV/0!</v>
      </c>
      <c r="V135" s="536" t="e">
        <f t="shared" si="22"/>
        <v>#DIV/0!</v>
      </c>
      <c r="W135" s="537" t="e">
        <f t="shared" si="27"/>
        <v>#DIV/0!</v>
      </c>
      <c r="X135" s="538" t="e">
        <f>IF(INPUTS!$B$15="yes",W135,V135)</f>
        <v>#DIV/0!</v>
      </c>
      <c r="Y135" s="536" t="e">
        <f t="shared" si="23"/>
        <v>#DIV/0!</v>
      </c>
      <c r="Z135" s="537" t="e">
        <f t="shared" si="28"/>
        <v>#DIV/0!</v>
      </c>
      <c r="AA135" s="538" t="e">
        <f>IF(INPUTS!$B$15="yes",Z135,Y135)</f>
        <v>#DIV/0!</v>
      </c>
      <c r="AB135" s="536" t="e">
        <f t="shared" si="24"/>
        <v>#DIV/0!</v>
      </c>
      <c r="AC135" s="537" t="e">
        <f t="shared" si="29"/>
        <v>#DIV/0!</v>
      </c>
      <c r="AD135" s="538" t="e">
        <f>IF(INPUTS!$B$15="yes",AC135,AB135)</f>
        <v>#DIV/0!</v>
      </c>
      <c r="AE135" s="36" t="str">
        <f t="shared" si="30"/>
        <v>no</v>
      </c>
      <c r="AF135" s="36"/>
      <c r="AG135" s="389" t="e">
        <f>P135*('upper bound Kenaga'!$F$36/100)</f>
        <v>#DIV/0!</v>
      </c>
      <c r="AH135" s="36"/>
      <c r="AI135" s="389" t="e">
        <f>P135*('upper bound Kenaga'!$F$96/100)</f>
        <v>#DIV/0!</v>
      </c>
      <c r="AJ135" s="36"/>
      <c r="AK135" s="36"/>
      <c r="AL135" s="36"/>
      <c r="AM135" s="36"/>
      <c r="AN135" s="36"/>
      <c r="AO135" s="36"/>
    </row>
    <row r="136" spans="1:41" ht="13.5" thickBot="1">
      <c r="A136" s="147"/>
      <c r="B136" s="147"/>
      <c r="C136" s="147"/>
      <c r="D136" s="340"/>
      <c r="E136" s="147"/>
      <c r="F136" s="147"/>
      <c r="G136" s="147"/>
      <c r="H136" s="617"/>
      <c r="J136" s="6">
        <f>COUNTIF(K$21:K136,"=yes")</f>
        <v>1</v>
      </c>
      <c r="K136" s="533" t="str">
        <f>IF(LOOKUP(VALUE(M136),INPUTS!$G$6:$G$35)=M136,"yes","no")</f>
        <v>no</v>
      </c>
      <c r="L136" s="533">
        <f>IF(K136="yes",(LOOKUP(J136,INPUTS!$E$6:$E$35,INPUTS!$F$6:$F$35)),0)</f>
        <v>0</v>
      </c>
      <c r="M136" s="135">
        <f t="shared" si="18"/>
        <v>115</v>
      </c>
      <c r="N136" s="135">
        <f t="shared" si="19"/>
        <v>1</v>
      </c>
      <c r="O136" s="135">
        <f t="shared" si="20"/>
        <v>0</v>
      </c>
      <c r="P136" s="536" t="e">
        <f t="shared" si="31"/>
        <v>#DIV/0!</v>
      </c>
      <c r="Q136" s="537" t="e">
        <f t="shared" si="25"/>
        <v>#DIV/0!</v>
      </c>
      <c r="R136" s="538" t="e">
        <f>IF(INPUTS!$B$15="yes",Q136,P136)</f>
        <v>#DIV/0!</v>
      </c>
      <c r="S136" s="536" t="e">
        <f t="shared" si="21"/>
        <v>#DIV/0!</v>
      </c>
      <c r="T136" s="537" t="e">
        <f t="shared" si="26"/>
        <v>#DIV/0!</v>
      </c>
      <c r="U136" s="538" t="e">
        <f>IF(INPUTS!$B$15="yes",T136,S136)</f>
        <v>#DIV/0!</v>
      </c>
      <c r="V136" s="536" t="e">
        <f t="shared" si="22"/>
        <v>#DIV/0!</v>
      </c>
      <c r="W136" s="537" t="e">
        <f t="shared" si="27"/>
        <v>#DIV/0!</v>
      </c>
      <c r="X136" s="538" t="e">
        <f>IF(INPUTS!$B$15="yes",W136,V136)</f>
        <v>#DIV/0!</v>
      </c>
      <c r="Y136" s="536" t="e">
        <f t="shared" si="23"/>
        <v>#DIV/0!</v>
      </c>
      <c r="Z136" s="537" t="e">
        <f t="shared" si="28"/>
        <v>#DIV/0!</v>
      </c>
      <c r="AA136" s="538" t="e">
        <f>IF(INPUTS!$B$15="yes",Z136,Y136)</f>
        <v>#DIV/0!</v>
      </c>
      <c r="AB136" s="536" t="e">
        <f t="shared" si="24"/>
        <v>#DIV/0!</v>
      </c>
      <c r="AC136" s="537" t="e">
        <f t="shared" si="29"/>
        <v>#DIV/0!</v>
      </c>
      <c r="AD136" s="538" t="e">
        <f>IF(INPUTS!$B$15="yes",AC136,AB136)</f>
        <v>#DIV/0!</v>
      </c>
      <c r="AE136" s="36" t="str">
        <f t="shared" si="30"/>
        <v>no</v>
      </c>
      <c r="AF136" s="36"/>
      <c r="AG136" s="389" t="e">
        <f>P136*('upper bound Kenaga'!$F$36/100)</f>
        <v>#DIV/0!</v>
      </c>
      <c r="AH136" s="36"/>
      <c r="AI136" s="389" t="e">
        <f>P136*('upper bound Kenaga'!$F$96/100)</f>
        <v>#DIV/0!</v>
      </c>
      <c r="AJ136" s="36"/>
      <c r="AK136" s="36"/>
      <c r="AL136" s="36"/>
      <c r="AM136" s="36"/>
      <c r="AN136" s="36"/>
      <c r="AO136" s="36"/>
    </row>
    <row r="137" spans="1:41">
      <c r="A137" s="916" t="s">
        <v>277</v>
      </c>
      <c r="B137" s="919" t="s">
        <v>145</v>
      </c>
      <c r="C137" s="920"/>
      <c r="D137" s="921"/>
      <c r="E137" s="922"/>
      <c r="F137" s="921"/>
      <c r="G137" s="922"/>
      <c r="H137" s="617"/>
      <c r="J137" s="6">
        <f>COUNTIF(K$21:K137,"=yes")</f>
        <v>1</v>
      </c>
      <c r="K137" s="533" t="str">
        <f>IF(LOOKUP(VALUE(M137),INPUTS!$G$6:$G$35)=M137,"yes","no")</f>
        <v>no</v>
      </c>
      <c r="L137" s="533">
        <f>IF(K137="yes",(LOOKUP(J137,INPUTS!$E$6:$E$35,INPUTS!$F$6:$F$35)),0)</f>
        <v>0</v>
      </c>
      <c r="M137" s="135">
        <f t="shared" si="18"/>
        <v>116</v>
      </c>
      <c r="N137" s="135">
        <f t="shared" si="19"/>
        <v>1</v>
      </c>
      <c r="O137" s="135">
        <f t="shared" si="20"/>
        <v>0</v>
      </c>
      <c r="P137" s="536" t="e">
        <f t="shared" si="31"/>
        <v>#DIV/0!</v>
      </c>
      <c r="Q137" s="537" t="e">
        <f t="shared" si="25"/>
        <v>#DIV/0!</v>
      </c>
      <c r="R137" s="538" t="e">
        <f>IF(INPUTS!$B$15="yes",Q137,P137)</f>
        <v>#DIV/0!</v>
      </c>
      <c r="S137" s="536" t="e">
        <f t="shared" si="21"/>
        <v>#DIV/0!</v>
      </c>
      <c r="T137" s="537" t="e">
        <f t="shared" si="26"/>
        <v>#DIV/0!</v>
      </c>
      <c r="U137" s="538" t="e">
        <f>IF(INPUTS!$B$15="yes",T137,S137)</f>
        <v>#DIV/0!</v>
      </c>
      <c r="V137" s="536" t="e">
        <f t="shared" si="22"/>
        <v>#DIV/0!</v>
      </c>
      <c r="W137" s="537" t="e">
        <f t="shared" si="27"/>
        <v>#DIV/0!</v>
      </c>
      <c r="X137" s="538" t="e">
        <f>IF(INPUTS!$B$15="yes",W137,V137)</f>
        <v>#DIV/0!</v>
      </c>
      <c r="Y137" s="536" t="e">
        <f t="shared" si="23"/>
        <v>#DIV/0!</v>
      </c>
      <c r="Z137" s="537" t="e">
        <f t="shared" si="28"/>
        <v>#DIV/0!</v>
      </c>
      <c r="AA137" s="538" t="e">
        <f>IF(INPUTS!$B$15="yes",Z137,Y137)</f>
        <v>#DIV/0!</v>
      </c>
      <c r="AB137" s="536" t="e">
        <f t="shared" si="24"/>
        <v>#DIV/0!</v>
      </c>
      <c r="AC137" s="537" t="e">
        <f t="shared" si="29"/>
        <v>#DIV/0!</v>
      </c>
      <c r="AD137" s="538" t="e">
        <f>IF(INPUTS!$B$15="yes",AC137,AB137)</f>
        <v>#DIV/0!</v>
      </c>
      <c r="AE137" s="36" t="str">
        <f t="shared" si="30"/>
        <v>no</v>
      </c>
      <c r="AF137" s="36"/>
      <c r="AG137" s="389" t="e">
        <f>P137*('upper bound Kenaga'!$F$36/100)</f>
        <v>#DIV/0!</v>
      </c>
      <c r="AH137" s="36"/>
      <c r="AI137" s="389" t="e">
        <f>P137*('upper bound Kenaga'!$F$96/100)</f>
        <v>#DIV/0!</v>
      </c>
      <c r="AJ137" s="36"/>
      <c r="AK137" s="36"/>
      <c r="AL137" s="36"/>
      <c r="AM137" s="36"/>
      <c r="AN137" s="36"/>
      <c r="AO137" s="36"/>
    </row>
    <row r="138" spans="1:41">
      <c r="A138" s="917"/>
      <c r="B138" s="471"/>
      <c r="C138" s="377"/>
      <c r="D138" s="343"/>
      <c r="E138" s="343"/>
      <c r="F138" s="451"/>
      <c r="G138" s="451"/>
      <c r="H138" s="617"/>
      <c r="J138" s="6">
        <f>COUNTIF(K$21:K138,"=yes")</f>
        <v>1</v>
      </c>
      <c r="K138" s="533" t="str">
        <f>IF(LOOKUP(VALUE(M138),INPUTS!$G$6:$G$35)=M138,"yes","no")</f>
        <v>no</v>
      </c>
      <c r="L138" s="533">
        <f>IF(K138="yes",(LOOKUP(J138,INPUTS!$E$6:$E$35,INPUTS!$F$6:$F$35)),0)</f>
        <v>0</v>
      </c>
      <c r="M138" s="135">
        <f t="shared" si="18"/>
        <v>117</v>
      </c>
      <c r="N138" s="135">
        <f t="shared" si="19"/>
        <v>1</v>
      </c>
      <c r="O138" s="135">
        <f t="shared" si="20"/>
        <v>0</v>
      </c>
      <c r="P138" s="536" t="e">
        <f t="shared" si="31"/>
        <v>#DIV/0!</v>
      </c>
      <c r="Q138" s="537" t="e">
        <f t="shared" si="25"/>
        <v>#DIV/0!</v>
      </c>
      <c r="R138" s="538" t="e">
        <f>IF(INPUTS!$B$15="yes",Q138,P138)</f>
        <v>#DIV/0!</v>
      </c>
      <c r="S138" s="536" t="e">
        <f t="shared" si="21"/>
        <v>#DIV/0!</v>
      </c>
      <c r="T138" s="537" t="e">
        <f t="shared" si="26"/>
        <v>#DIV/0!</v>
      </c>
      <c r="U138" s="538" t="e">
        <f>IF(INPUTS!$B$15="yes",T138,S138)</f>
        <v>#DIV/0!</v>
      </c>
      <c r="V138" s="536" t="e">
        <f t="shared" si="22"/>
        <v>#DIV/0!</v>
      </c>
      <c r="W138" s="537" t="e">
        <f t="shared" si="27"/>
        <v>#DIV/0!</v>
      </c>
      <c r="X138" s="538" t="e">
        <f>IF(INPUTS!$B$15="yes",W138,V138)</f>
        <v>#DIV/0!</v>
      </c>
      <c r="Y138" s="536" t="e">
        <f t="shared" si="23"/>
        <v>#DIV/0!</v>
      </c>
      <c r="Z138" s="537" t="e">
        <f t="shared" si="28"/>
        <v>#DIV/0!</v>
      </c>
      <c r="AA138" s="538" t="e">
        <f>IF(INPUTS!$B$15="yes",Z138,Y138)</f>
        <v>#DIV/0!</v>
      </c>
      <c r="AB138" s="536" t="e">
        <f t="shared" si="24"/>
        <v>#DIV/0!</v>
      </c>
      <c r="AC138" s="537" t="e">
        <f t="shared" si="29"/>
        <v>#DIV/0!</v>
      </c>
      <c r="AD138" s="538" t="e">
        <f>IF(INPUTS!$B$15="yes",AC138,AB138)</f>
        <v>#DIV/0!</v>
      </c>
      <c r="AE138" s="36" t="str">
        <f t="shared" si="30"/>
        <v>no</v>
      </c>
      <c r="AF138" s="36"/>
      <c r="AG138" s="389" t="e">
        <f>P138*('upper bound Kenaga'!$F$36/100)</f>
        <v>#DIV/0!</v>
      </c>
      <c r="AH138" s="36"/>
      <c r="AI138" s="389" t="e">
        <f>P138*('upper bound Kenaga'!$F$96/100)</f>
        <v>#DIV/0!</v>
      </c>
      <c r="AJ138" s="36"/>
      <c r="AK138" s="36"/>
      <c r="AL138" s="36"/>
      <c r="AM138" s="36"/>
      <c r="AN138" s="36"/>
      <c r="AO138" s="36"/>
    </row>
    <row r="139" spans="1:41" ht="27.75" customHeight="1" thickBot="1">
      <c r="A139" s="918"/>
      <c r="B139" s="464" t="s">
        <v>31</v>
      </c>
      <c r="C139" s="466" t="s">
        <v>32</v>
      </c>
      <c r="D139" s="343"/>
      <c r="E139" s="343"/>
      <c r="F139" s="343"/>
      <c r="G139" s="343"/>
      <c r="H139" s="617"/>
      <c r="J139" s="6">
        <f>COUNTIF(K$21:K139,"=yes")</f>
        <v>1</v>
      </c>
      <c r="K139" s="533" t="str">
        <f>IF(LOOKUP(VALUE(M139),INPUTS!$G$6:$G$35)=M139,"yes","no")</f>
        <v>no</v>
      </c>
      <c r="L139" s="533">
        <f>IF(K139="yes",(LOOKUP(J139,INPUTS!$E$6:$E$35,INPUTS!$F$6:$F$35)),0)</f>
        <v>0</v>
      </c>
      <c r="M139" s="135">
        <f t="shared" si="18"/>
        <v>118</v>
      </c>
      <c r="N139" s="135">
        <f t="shared" si="19"/>
        <v>1</v>
      </c>
      <c r="O139" s="135">
        <f t="shared" si="20"/>
        <v>0</v>
      </c>
      <c r="P139" s="536" t="e">
        <f t="shared" si="31"/>
        <v>#DIV/0!</v>
      </c>
      <c r="Q139" s="537" t="e">
        <f t="shared" si="25"/>
        <v>#DIV/0!</v>
      </c>
      <c r="R139" s="538" t="e">
        <f>IF(INPUTS!$B$15="yes",Q139,P139)</f>
        <v>#DIV/0!</v>
      </c>
      <c r="S139" s="536" t="e">
        <f t="shared" si="21"/>
        <v>#DIV/0!</v>
      </c>
      <c r="T139" s="537" t="e">
        <f t="shared" si="26"/>
        <v>#DIV/0!</v>
      </c>
      <c r="U139" s="538" t="e">
        <f>IF(INPUTS!$B$15="yes",T139,S139)</f>
        <v>#DIV/0!</v>
      </c>
      <c r="V139" s="536" t="e">
        <f t="shared" si="22"/>
        <v>#DIV/0!</v>
      </c>
      <c r="W139" s="537" t="e">
        <f t="shared" si="27"/>
        <v>#DIV/0!</v>
      </c>
      <c r="X139" s="538" t="e">
        <f>IF(INPUTS!$B$15="yes",W139,V139)</f>
        <v>#DIV/0!</v>
      </c>
      <c r="Y139" s="536" t="e">
        <f t="shared" si="23"/>
        <v>#DIV/0!</v>
      </c>
      <c r="Z139" s="537" t="e">
        <f t="shared" si="28"/>
        <v>#DIV/0!</v>
      </c>
      <c r="AA139" s="538" t="e">
        <f>IF(INPUTS!$B$15="yes",Z139,Y139)</f>
        <v>#DIV/0!</v>
      </c>
      <c r="AB139" s="536" t="e">
        <f t="shared" si="24"/>
        <v>#DIV/0!</v>
      </c>
      <c r="AC139" s="537" t="e">
        <f t="shared" si="29"/>
        <v>#DIV/0!</v>
      </c>
      <c r="AD139" s="538" t="e">
        <f>IF(INPUTS!$B$15="yes",AC139,AB139)</f>
        <v>#DIV/0!</v>
      </c>
      <c r="AE139" s="36" t="str">
        <f t="shared" si="30"/>
        <v>no</v>
      </c>
      <c r="AF139" s="36"/>
      <c r="AG139" s="389" t="e">
        <f>P139*('upper bound Kenaga'!$F$36/100)</f>
        <v>#DIV/0!</v>
      </c>
      <c r="AH139" s="36"/>
      <c r="AI139" s="389" t="e">
        <f>P139*('upper bound Kenaga'!$F$96/100)</f>
        <v>#DIV/0!</v>
      </c>
      <c r="AJ139" s="36"/>
      <c r="AK139" s="36"/>
      <c r="AL139" s="36"/>
      <c r="AM139" s="36"/>
      <c r="AN139" s="36"/>
      <c r="AO139" s="36"/>
    </row>
    <row r="140" spans="1:41" ht="13.5" thickTop="1">
      <c r="A140" s="355" t="s">
        <v>13</v>
      </c>
      <c r="B140" s="606" t="e">
        <f>B27/$D$21</f>
        <v>#DIV/0!</v>
      </c>
      <c r="C140" s="607" t="e">
        <f>B27/$D$23</f>
        <v>#DIV/0!</v>
      </c>
      <c r="D140" s="472"/>
      <c r="E140" s="472"/>
      <c r="F140" s="472"/>
      <c r="G140" s="472"/>
      <c r="H140" s="617"/>
      <c r="J140" s="6">
        <f>COUNTIF(K$21:K140,"=yes")</f>
        <v>1</v>
      </c>
      <c r="K140" s="533" t="str">
        <f>IF(LOOKUP(VALUE(M140),INPUTS!$G$6:$G$35)=M140,"yes","no")</f>
        <v>no</v>
      </c>
      <c r="L140" s="533">
        <f>IF(K140="yes",(LOOKUP(J140,INPUTS!$E$6:$E$35,INPUTS!$F$6:$F$35)),0)</f>
        <v>0</v>
      </c>
      <c r="M140" s="135">
        <f t="shared" si="18"/>
        <v>119</v>
      </c>
      <c r="N140" s="135">
        <f t="shared" si="19"/>
        <v>1</v>
      </c>
      <c r="O140" s="135">
        <f t="shared" si="20"/>
        <v>0</v>
      </c>
      <c r="P140" s="536" t="e">
        <f t="shared" si="31"/>
        <v>#DIV/0!</v>
      </c>
      <c r="Q140" s="537" t="e">
        <f t="shared" si="25"/>
        <v>#DIV/0!</v>
      </c>
      <c r="R140" s="538" t="e">
        <f>IF(INPUTS!$B$15="yes",Q140,P140)</f>
        <v>#DIV/0!</v>
      </c>
      <c r="S140" s="536" t="e">
        <f t="shared" si="21"/>
        <v>#DIV/0!</v>
      </c>
      <c r="T140" s="537" t="e">
        <f t="shared" si="26"/>
        <v>#DIV/0!</v>
      </c>
      <c r="U140" s="538" t="e">
        <f>IF(INPUTS!$B$15="yes",T140,S140)</f>
        <v>#DIV/0!</v>
      </c>
      <c r="V140" s="536" t="e">
        <f t="shared" si="22"/>
        <v>#DIV/0!</v>
      </c>
      <c r="W140" s="537" t="e">
        <f t="shared" si="27"/>
        <v>#DIV/0!</v>
      </c>
      <c r="X140" s="538" t="e">
        <f>IF(INPUTS!$B$15="yes",W140,V140)</f>
        <v>#DIV/0!</v>
      </c>
      <c r="Y140" s="536" t="e">
        <f t="shared" si="23"/>
        <v>#DIV/0!</v>
      </c>
      <c r="Z140" s="537" t="e">
        <f t="shared" si="28"/>
        <v>#DIV/0!</v>
      </c>
      <c r="AA140" s="538" t="e">
        <f>IF(INPUTS!$B$15="yes",Z140,Y140)</f>
        <v>#DIV/0!</v>
      </c>
      <c r="AB140" s="536" t="e">
        <f t="shared" si="24"/>
        <v>#DIV/0!</v>
      </c>
      <c r="AC140" s="537" t="e">
        <f t="shared" si="29"/>
        <v>#DIV/0!</v>
      </c>
      <c r="AD140" s="538" t="e">
        <f>IF(INPUTS!$B$15="yes",AC140,AB140)</f>
        <v>#DIV/0!</v>
      </c>
      <c r="AE140" s="36" t="str">
        <f t="shared" si="30"/>
        <v>no</v>
      </c>
      <c r="AF140" s="36"/>
      <c r="AG140" s="389" t="e">
        <f>P140*('upper bound Kenaga'!$F$36/100)</f>
        <v>#DIV/0!</v>
      </c>
      <c r="AH140" s="36"/>
      <c r="AI140" s="389" t="e">
        <f>P140*('upper bound Kenaga'!$F$96/100)</f>
        <v>#DIV/0!</v>
      </c>
      <c r="AJ140" s="36"/>
      <c r="AK140" s="36"/>
      <c r="AL140" s="36"/>
      <c r="AM140" s="36"/>
      <c r="AN140" s="36"/>
      <c r="AO140" s="36"/>
    </row>
    <row r="141" spans="1:41">
      <c r="A141" s="356" t="s">
        <v>23</v>
      </c>
      <c r="B141" s="596" t="e">
        <f>B28/$D$21</f>
        <v>#DIV/0!</v>
      </c>
      <c r="C141" s="455" t="e">
        <f>B28/$D$23</f>
        <v>#DIV/0!</v>
      </c>
      <c r="D141" s="472"/>
      <c r="E141" s="472"/>
      <c r="F141" s="472"/>
      <c r="G141" s="472"/>
      <c r="H141" s="617"/>
      <c r="J141" s="6">
        <f>COUNTIF(K$21:K141,"=yes")</f>
        <v>1</v>
      </c>
      <c r="K141" s="533" t="str">
        <f>IF(LOOKUP(VALUE(M141),INPUTS!$G$6:$G$35)=M141,"yes","no")</f>
        <v>no</v>
      </c>
      <c r="L141" s="533">
        <f>IF(K141="yes",(LOOKUP(J141,INPUTS!$E$6:$E$35,INPUTS!$F$6:$F$35)),0)</f>
        <v>0</v>
      </c>
      <c r="M141" s="135">
        <f t="shared" si="18"/>
        <v>120</v>
      </c>
      <c r="N141" s="135">
        <f t="shared" si="19"/>
        <v>1</v>
      </c>
      <c r="O141" s="135">
        <f t="shared" si="20"/>
        <v>0</v>
      </c>
      <c r="P141" s="536" t="e">
        <f t="shared" si="31"/>
        <v>#DIV/0!</v>
      </c>
      <c r="Q141" s="537" t="e">
        <f t="shared" si="25"/>
        <v>#DIV/0!</v>
      </c>
      <c r="R141" s="538" t="e">
        <f>IF(INPUTS!$B$15="yes",Q141,P141)</f>
        <v>#DIV/0!</v>
      </c>
      <c r="S141" s="536" t="e">
        <f t="shared" si="21"/>
        <v>#DIV/0!</v>
      </c>
      <c r="T141" s="537" t="e">
        <f t="shared" si="26"/>
        <v>#DIV/0!</v>
      </c>
      <c r="U141" s="538" t="e">
        <f>IF(INPUTS!$B$15="yes",T141,S141)</f>
        <v>#DIV/0!</v>
      </c>
      <c r="V141" s="536" t="e">
        <f t="shared" si="22"/>
        <v>#DIV/0!</v>
      </c>
      <c r="W141" s="537" t="e">
        <f t="shared" si="27"/>
        <v>#DIV/0!</v>
      </c>
      <c r="X141" s="538" t="e">
        <f>IF(INPUTS!$B$15="yes",W141,V141)</f>
        <v>#DIV/0!</v>
      </c>
      <c r="Y141" s="536" t="e">
        <f t="shared" si="23"/>
        <v>#DIV/0!</v>
      </c>
      <c r="Z141" s="537" t="e">
        <f t="shared" si="28"/>
        <v>#DIV/0!</v>
      </c>
      <c r="AA141" s="538" t="e">
        <f>IF(INPUTS!$B$15="yes",Z141,Y141)</f>
        <v>#DIV/0!</v>
      </c>
      <c r="AB141" s="536" t="e">
        <f t="shared" si="24"/>
        <v>#DIV/0!</v>
      </c>
      <c r="AC141" s="537" t="e">
        <f t="shared" si="29"/>
        <v>#DIV/0!</v>
      </c>
      <c r="AD141" s="538" t="e">
        <f>IF(INPUTS!$B$15="yes",AC141,AB141)</f>
        <v>#DIV/0!</v>
      </c>
      <c r="AE141" s="36" t="str">
        <f t="shared" si="30"/>
        <v>no</v>
      </c>
      <c r="AF141" s="36"/>
      <c r="AG141" s="389" t="e">
        <f>P141*('upper bound Kenaga'!$F$36/100)</f>
        <v>#DIV/0!</v>
      </c>
      <c r="AH141" s="36"/>
      <c r="AI141" s="389" t="e">
        <f>P141*('upper bound Kenaga'!$F$96/100)</f>
        <v>#DIV/0!</v>
      </c>
      <c r="AJ141" s="36"/>
      <c r="AK141" s="36"/>
      <c r="AL141" s="36"/>
      <c r="AM141" s="36"/>
      <c r="AN141" s="36"/>
      <c r="AO141" s="36"/>
    </row>
    <row r="142" spans="1:41">
      <c r="A142" s="563" t="s">
        <v>415</v>
      </c>
      <c r="B142" s="596" t="e">
        <f>B29/$D$21</f>
        <v>#DIV/0!</v>
      </c>
      <c r="C142" s="455" t="e">
        <f>B29/$D$23</f>
        <v>#DIV/0!</v>
      </c>
      <c r="D142" s="472"/>
      <c r="E142" s="472"/>
      <c r="F142" s="472"/>
      <c r="G142" s="472"/>
      <c r="H142" s="617"/>
      <c r="J142" s="6">
        <f>COUNTIF(K$21:K142,"=yes")</f>
        <v>1</v>
      </c>
      <c r="K142" s="533" t="str">
        <f>IF(LOOKUP(VALUE(M142),INPUTS!$G$6:$G$35)=M142,"yes","no")</f>
        <v>no</v>
      </c>
      <c r="L142" s="533">
        <f>IF(K142="yes",(LOOKUP(J142,INPUTS!$E$6:$E$35,INPUTS!$F$6:$F$35)),0)</f>
        <v>0</v>
      </c>
      <c r="M142" s="135">
        <f t="shared" si="18"/>
        <v>121</v>
      </c>
      <c r="N142" s="135">
        <f t="shared" si="19"/>
        <v>1</v>
      </c>
      <c r="O142" s="135">
        <f t="shared" si="20"/>
        <v>0</v>
      </c>
      <c r="P142" s="536" t="e">
        <f t="shared" si="31"/>
        <v>#DIV/0!</v>
      </c>
      <c r="Q142" s="537" t="e">
        <f t="shared" si="25"/>
        <v>#DIV/0!</v>
      </c>
      <c r="R142" s="538" t="e">
        <f>IF(INPUTS!$B$15="yes",Q142,P142)</f>
        <v>#DIV/0!</v>
      </c>
      <c r="S142" s="536" t="e">
        <f t="shared" si="21"/>
        <v>#DIV/0!</v>
      </c>
      <c r="T142" s="537" t="e">
        <f t="shared" si="26"/>
        <v>#DIV/0!</v>
      </c>
      <c r="U142" s="538" t="e">
        <f>IF(INPUTS!$B$15="yes",T142,S142)</f>
        <v>#DIV/0!</v>
      </c>
      <c r="V142" s="536" t="e">
        <f t="shared" si="22"/>
        <v>#DIV/0!</v>
      </c>
      <c r="W142" s="537" t="e">
        <f t="shared" si="27"/>
        <v>#DIV/0!</v>
      </c>
      <c r="X142" s="538" t="e">
        <f>IF(INPUTS!$B$15="yes",W142,V142)</f>
        <v>#DIV/0!</v>
      </c>
      <c r="Y142" s="536" t="e">
        <f t="shared" si="23"/>
        <v>#DIV/0!</v>
      </c>
      <c r="Z142" s="537" t="e">
        <f t="shared" si="28"/>
        <v>#DIV/0!</v>
      </c>
      <c r="AA142" s="538" t="e">
        <f>IF(INPUTS!$B$15="yes",Z142,Y142)</f>
        <v>#DIV/0!</v>
      </c>
      <c r="AB142" s="536" t="e">
        <f t="shared" si="24"/>
        <v>#DIV/0!</v>
      </c>
      <c r="AC142" s="537" t="e">
        <f t="shared" si="29"/>
        <v>#DIV/0!</v>
      </c>
      <c r="AD142" s="538" t="e">
        <f>IF(INPUTS!$B$15="yes",AC142,AB142)</f>
        <v>#DIV/0!</v>
      </c>
      <c r="AE142" s="36" t="str">
        <f t="shared" si="30"/>
        <v>no</v>
      </c>
      <c r="AF142" s="36"/>
      <c r="AG142" s="389" t="e">
        <f>P142*('upper bound Kenaga'!$F$36/100)</f>
        <v>#DIV/0!</v>
      </c>
      <c r="AH142" s="36"/>
      <c r="AI142" s="389" t="e">
        <f>P142*('upper bound Kenaga'!$F$96/100)</f>
        <v>#DIV/0!</v>
      </c>
      <c r="AJ142" s="36"/>
      <c r="AK142" s="36"/>
      <c r="AL142" s="36"/>
      <c r="AM142" s="36"/>
      <c r="AN142" s="36"/>
      <c r="AO142" s="36"/>
    </row>
    <row r="143" spans="1:41">
      <c r="A143" s="357" t="s">
        <v>416</v>
      </c>
      <c r="B143" s="596" t="e">
        <f>B30/$D$21</f>
        <v>#DIV/0!</v>
      </c>
      <c r="C143" s="455" t="e">
        <f>B30/$D$23</f>
        <v>#DIV/0!</v>
      </c>
      <c r="D143" s="472"/>
      <c r="E143" s="472"/>
      <c r="F143" s="472"/>
      <c r="G143" s="472"/>
      <c r="H143" s="617"/>
      <c r="J143" s="6">
        <f>COUNTIF(K$21:K143,"=yes")</f>
        <v>1</v>
      </c>
      <c r="K143" s="533" t="str">
        <f>IF(LOOKUP(VALUE(M143),INPUTS!$G$6:$G$35)=M143,"yes","no")</f>
        <v>no</v>
      </c>
      <c r="L143" s="533">
        <f>IF(K143="yes",(LOOKUP(J143,INPUTS!$E$6:$E$35,INPUTS!$F$6:$F$35)),0)</f>
        <v>0</v>
      </c>
      <c r="M143" s="135">
        <f t="shared" si="18"/>
        <v>122</v>
      </c>
      <c r="N143" s="135">
        <f t="shared" si="19"/>
        <v>1</v>
      </c>
      <c r="O143" s="135">
        <f t="shared" si="20"/>
        <v>0</v>
      </c>
      <c r="P143" s="536" t="e">
        <f t="shared" si="31"/>
        <v>#DIV/0!</v>
      </c>
      <c r="Q143" s="537" t="e">
        <f t="shared" si="25"/>
        <v>#DIV/0!</v>
      </c>
      <c r="R143" s="538" t="e">
        <f>IF(INPUTS!$B$15="yes",Q143,P143)</f>
        <v>#DIV/0!</v>
      </c>
      <c r="S143" s="536" t="e">
        <f t="shared" si="21"/>
        <v>#DIV/0!</v>
      </c>
      <c r="T143" s="537" t="e">
        <f t="shared" si="26"/>
        <v>#DIV/0!</v>
      </c>
      <c r="U143" s="538" t="e">
        <f>IF(INPUTS!$B$15="yes",T143,S143)</f>
        <v>#DIV/0!</v>
      </c>
      <c r="V143" s="536" t="e">
        <f t="shared" si="22"/>
        <v>#DIV/0!</v>
      </c>
      <c r="W143" s="537" t="e">
        <f t="shared" si="27"/>
        <v>#DIV/0!</v>
      </c>
      <c r="X143" s="538" t="e">
        <f>IF(INPUTS!$B$15="yes",W143,V143)</f>
        <v>#DIV/0!</v>
      </c>
      <c r="Y143" s="536" t="e">
        <f t="shared" si="23"/>
        <v>#DIV/0!</v>
      </c>
      <c r="Z143" s="537" t="e">
        <f t="shared" si="28"/>
        <v>#DIV/0!</v>
      </c>
      <c r="AA143" s="538" t="e">
        <f>IF(INPUTS!$B$15="yes",Z143,Y143)</f>
        <v>#DIV/0!</v>
      </c>
      <c r="AB143" s="536" t="e">
        <f t="shared" si="24"/>
        <v>#DIV/0!</v>
      </c>
      <c r="AC143" s="537" t="e">
        <f t="shared" si="29"/>
        <v>#DIV/0!</v>
      </c>
      <c r="AD143" s="538" t="e">
        <f>IF(INPUTS!$B$15="yes",AC143,AB143)</f>
        <v>#DIV/0!</v>
      </c>
      <c r="AE143" s="36" t="str">
        <f t="shared" si="30"/>
        <v>no</v>
      </c>
      <c r="AF143" s="36"/>
      <c r="AG143" s="389" t="e">
        <f>P143*('upper bound Kenaga'!$F$36/100)</f>
        <v>#DIV/0!</v>
      </c>
      <c r="AH143" s="36"/>
      <c r="AI143" s="389" t="e">
        <f>P143*('upper bound Kenaga'!$F$96/100)</f>
        <v>#DIV/0!</v>
      </c>
      <c r="AJ143" s="36"/>
      <c r="AK143" s="36"/>
      <c r="AL143" s="36"/>
      <c r="AM143" s="36"/>
      <c r="AN143" s="36"/>
      <c r="AO143" s="36"/>
    </row>
    <row r="144" spans="1:41" ht="13.5" thickBot="1">
      <c r="A144" s="608" t="s">
        <v>414</v>
      </c>
      <c r="B144" s="609" t="e">
        <f>B31/$D$21</f>
        <v>#DIV/0!</v>
      </c>
      <c r="C144" s="326" t="e">
        <f>B31/$D$23</f>
        <v>#DIV/0!</v>
      </c>
      <c r="D144" s="75"/>
      <c r="E144" s="75"/>
      <c r="F144" s="75"/>
      <c r="G144" s="75"/>
      <c r="H144" s="617"/>
      <c r="J144" s="6">
        <f>COUNTIF(K$21:K144,"=yes")</f>
        <v>1</v>
      </c>
      <c r="K144" s="533" t="str">
        <f>IF(LOOKUP(VALUE(M144),INPUTS!$G$6:$G$35)=M144,"yes","no")</f>
        <v>no</v>
      </c>
      <c r="L144" s="533">
        <f>IF(K144="yes",(LOOKUP(J144,INPUTS!$E$6:$E$35,INPUTS!$F$6:$F$35)),0)</f>
        <v>0</v>
      </c>
      <c r="M144" s="135">
        <f t="shared" si="18"/>
        <v>123</v>
      </c>
      <c r="N144" s="135">
        <f t="shared" si="19"/>
        <v>1</v>
      </c>
      <c r="O144" s="135">
        <f t="shared" si="20"/>
        <v>0</v>
      </c>
      <c r="P144" s="536" t="e">
        <f t="shared" si="31"/>
        <v>#DIV/0!</v>
      </c>
      <c r="Q144" s="537" t="e">
        <f t="shared" si="25"/>
        <v>#DIV/0!</v>
      </c>
      <c r="R144" s="538" t="e">
        <f>IF(INPUTS!$B$15="yes",Q144,P144)</f>
        <v>#DIV/0!</v>
      </c>
      <c r="S144" s="536" t="e">
        <f t="shared" si="21"/>
        <v>#DIV/0!</v>
      </c>
      <c r="T144" s="537" t="e">
        <f t="shared" si="26"/>
        <v>#DIV/0!</v>
      </c>
      <c r="U144" s="538" t="e">
        <f>IF(INPUTS!$B$15="yes",T144,S144)</f>
        <v>#DIV/0!</v>
      </c>
      <c r="V144" s="536" t="e">
        <f t="shared" si="22"/>
        <v>#DIV/0!</v>
      </c>
      <c r="W144" s="537" t="e">
        <f t="shared" si="27"/>
        <v>#DIV/0!</v>
      </c>
      <c r="X144" s="538" t="e">
        <f>IF(INPUTS!$B$15="yes",W144,V144)</f>
        <v>#DIV/0!</v>
      </c>
      <c r="Y144" s="536" t="e">
        <f t="shared" si="23"/>
        <v>#DIV/0!</v>
      </c>
      <c r="Z144" s="537" t="e">
        <f t="shared" si="28"/>
        <v>#DIV/0!</v>
      </c>
      <c r="AA144" s="538" t="e">
        <f>IF(INPUTS!$B$15="yes",Z144,Y144)</f>
        <v>#DIV/0!</v>
      </c>
      <c r="AB144" s="536" t="e">
        <f t="shared" si="24"/>
        <v>#DIV/0!</v>
      </c>
      <c r="AC144" s="537" t="e">
        <f t="shared" si="29"/>
        <v>#DIV/0!</v>
      </c>
      <c r="AD144" s="538" t="e">
        <f>IF(INPUTS!$B$15="yes",AC144,AB144)</f>
        <v>#DIV/0!</v>
      </c>
      <c r="AE144" s="36" t="str">
        <f t="shared" si="30"/>
        <v>no</v>
      </c>
      <c r="AF144" s="36"/>
      <c r="AG144" s="389" t="e">
        <f>P144*('upper bound Kenaga'!$F$36/100)</f>
        <v>#DIV/0!</v>
      </c>
      <c r="AH144" s="36"/>
      <c r="AI144" s="389" t="e">
        <f>P144*('upper bound Kenaga'!$F$96/100)</f>
        <v>#DIV/0!</v>
      </c>
      <c r="AJ144" s="36"/>
      <c r="AK144" s="36"/>
      <c r="AL144" s="36"/>
      <c r="AM144" s="36"/>
      <c r="AN144" s="36"/>
      <c r="AO144" s="36"/>
    </row>
    <row r="145" spans="1:41">
      <c r="A145" s="617"/>
      <c r="B145" s="617"/>
      <c r="C145" s="617"/>
      <c r="D145" s="623"/>
      <c r="E145" s="617"/>
      <c r="F145" s="617"/>
      <c r="G145" s="617"/>
      <c r="H145" s="617"/>
      <c r="J145" s="6">
        <f>COUNTIF(K$21:K145,"=yes")</f>
        <v>1</v>
      </c>
      <c r="K145" s="533" t="str">
        <f>IF(LOOKUP(VALUE(M145),INPUTS!$G$6:$G$35)=M145,"yes","no")</f>
        <v>no</v>
      </c>
      <c r="L145" s="533">
        <f>IF(K145="yes",(LOOKUP(J145,INPUTS!$E$6:$E$35,INPUTS!$F$6:$F$35)),0)</f>
        <v>0</v>
      </c>
      <c r="M145" s="135">
        <f t="shared" si="18"/>
        <v>124</v>
      </c>
      <c r="N145" s="135">
        <f t="shared" si="19"/>
        <v>1</v>
      </c>
      <c r="O145" s="135">
        <f t="shared" si="20"/>
        <v>0</v>
      </c>
      <c r="P145" s="536" t="e">
        <f t="shared" si="31"/>
        <v>#DIV/0!</v>
      </c>
      <c r="Q145" s="537" t="e">
        <f t="shared" si="25"/>
        <v>#DIV/0!</v>
      </c>
      <c r="R145" s="538" t="e">
        <f>IF(INPUTS!$B$15="yes",Q145,P145)</f>
        <v>#DIV/0!</v>
      </c>
      <c r="S145" s="536" t="e">
        <f t="shared" si="21"/>
        <v>#DIV/0!</v>
      </c>
      <c r="T145" s="537" t="e">
        <f t="shared" si="26"/>
        <v>#DIV/0!</v>
      </c>
      <c r="U145" s="538" t="e">
        <f>IF(INPUTS!$B$15="yes",T145,S145)</f>
        <v>#DIV/0!</v>
      </c>
      <c r="V145" s="536" t="e">
        <f t="shared" si="22"/>
        <v>#DIV/0!</v>
      </c>
      <c r="W145" s="537" t="e">
        <f t="shared" si="27"/>
        <v>#DIV/0!</v>
      </c>
      <c r="X145" s="538" t="e">
        <f>IF(INPUTS!$B$15="yes",W145,V145)</f>
        <v>#DIV/0!</v>
      </c>
      <c r="Y145" s="536" t="e">
        <f t="shared" si="23"/>
        <v>#DIV/0!</v>
      </c>
      <c r="Z145" s="537" t="e">
        <f t="shared" si="28"/>
        <v>#DIV/0!</v>
      </c>
      <c r="AA145" s="538" t="e">
        <f>IF(INPUTS!$B$15="yes",Z145,Y145)</f>
        <v>#DIV/0!</v>
      </c>
      <c r="AB145" s="536" t="e">
        <f t="shared" si="24"/>
        <v>#DIV/0!</v>
      </c>
      <c r="AC145" s="537" t="e">
        <f t="shared" si="29"/>
        <v>#DIV/0!</v>
      </c>
      <c r="AD145" s="538" t="e">
        <f>IF(INPUTS!$B$15="yes",AC145,AB145)</f>
        <v>#DIV/0!</v>
      </c>
      <c r="AE145" s="36" t="str">
        <f t="shared" si="30"/>
        <v>no</v>
      </c>
      <c r="AF145" s="36"/>
      <c r="AG145" s="389" t="e">
        <f>P145*('upper bound Kenaga'!$F$36/100)</f>
        <v>#DIV/0!</v>
      </c>
      <c r="AH145" s="36"/>
      <c r="AI145" s="389" t="e">
        <f>P145*('upper bound Kenaga'!$F$96/100)</f>
        <v>#DIV/0!</v>
      </c>
      <c r="AJ145" s="36"/>
      <c r="AK145" s="36"/>
      <c r="AL145" s="36"/>
      <c r="AM145" s="36"/>
      <c r="AN145" s="36"/>
      <c r="AO145" s="36"/>
    </row>
    <row r="146" spans="1:41">
      <c r="A146" s="616" t="s">
        <v>134</v>
      </c>
      <c r="B146" s="617"/>
      <c r="C146" s="617"/>
      <c r="D146" s="623"/>
      <c r="E146" s="617"/>
      <c r="F146" s="617"/>
      <c r="G146" s="617"/>
      <c r="H146" s="617"/>
      <c r="J146" s="6">
        <f>COUNTIF(K$21:K146,"=yes")</f>
        <v>1</v>
      </c>
      <c r="K146" s="533" t="str">
        <f>IF(LOOKUP(VALUE(M146),INPUTS!$G$6:$G$35)=M146,"yes","no")</f>
        <v>no</v>
      </c>
      <c r="L146" s="533">
        <f>IF(K146="yes",(LOOKUP(J146,INPUTS!$E$6:$E$35,INPUTS!$F$6:$F$35)),0)</f>
        <v>0</v>
      </c>
      <c r="M146" s="135">
        <f t="shared" si="18"/>
        <v>125</v>
      </c>
      <c r="N146" s="135">
        <f t="shared" si="19"/>
        <v>1</v>
      </c>
      <c r="O146" s="135">
        <f t="shared" si="20"/>
        <v>0</v>
      </c>
      <c r="P146" s="536" t="e">
        <f t="shared" si="31"/>
        <v>#DIV/0!</v>
      </c>
      <c r="Q146" s="537" t="e">
        <f t="shared" si="25"/>
        <v>#DIV/0!</v>
      </c>
      <c r="R146" s="538" t="e">
        <f>IF(INPUTS!$B$15="yes",Q146,P146)</f>
        <v>#DIV/0!</v>
      </c>
      <c r="S146" s="536" t="e">
        <f t="shared" si="21"/>
        <v>#DIV/0!</v>
      </c>
      <c r="T146" s="537" t="e">
        <f t="shared" si="26"/>
        <v>#DIV/0!</v>
      </c>
      <c r="U146" s="538" t="e">
        <f>IF(INPUTS!$B$15="yes",T146,S146)</f>
        <v>#DIV/0!</v>
      </c>
      <c r="V146" s="536" t="e">
        <f t="shared" si="22"/>
        <v>#DIV/0!</v>
      </c>
      <c r="W146" s="537" t="e">
        <f t="shared" si="27"/>
        <v>#DIV/0!</v>
      </c>
      <c r="X146" s="538" t="e">
        <f>IF(INPUTS!$B$15="yes",W146,V146)</f>
        <v>#DIV/0!</v>
      </c>
      <c r="Y146" s="536" t="e">
        <f t="shared" si="23"/>
        <v>#DIV/0!</v>
      </c>
      <c r="Z146" s="537" t="e">
        <f t="shared" si="28"/>
        <v>#DIV/0!</v>
      </c>
      <c r="AA146" s="538" t="e">
        <f>IF(INPUTS!$B$15="yes",Z146,Y146)</f>
        <v>#DIV/0!</v>
      </c>
      <c r="AB146" s="536" t="e">
        <f t="shared" si="24"/>
        <v>#DIV/0!</v>
      </c>
      <c r="AC146" s="537" t="e">
        <f t="shared" si="29"/>
        <v>#DIV/0!</v>
      </c>
      <c r="AD146" s="538" t="e">
        <f>IF(INPUTS!$B$15="yes",AC146,AB146)</f>
        <v>#DIV/0!</v>
      </c>
      <c r="AE146" s="36" t="str">
        <f t="shared" si="30"/>
        <v>no</v>
      </c>
      <c r="AF146" s="36"/>
      <c r="AG146" s="389" t="e">
        <f>P146*('upper bound Kenaga'!$F$36/100)</f>
        <v>#DIV/0!</v>
      </c>
      <c r="AH146" s="36"/>
      <c r="AI146" s="389" t="e">
        <f>P146*('upper bound Kenaga'!$F$96/100)</f>
        <v>#DIV/0!</v>
      </c>
      <c r="AJ146" s="36"/>
      <c r="AK146" s="36"/>
      <c r="AL146" s="36"/>
      <c r="AM146" s="36"/>
      <c r="AN146" s="36"/>
      <c r="AO146" s="36"/>
    </row>
    <row r="147" spans="1:41">
      <c r="A147" s="616" t="s">
        <v>133</v>
      </c>
      <c r="B147" s="617"/>
      <c r="C147" s="617"/>
      <c r="D147" s="623"/>
      <c r="E147" s="617"/>
      <c r="F147" s="617"/>
      <c r="G147" s="617"/>
      <c r="H147" s="617"/>
      <c r="J147" s="6">
        <f>COUNTIF(K$21:K147,"=yes")</f>
        <v>1</v>
      </c>
      <c r="K147" s="533" t="str">
        <f>IF(LOOKUP(VALUE(M147),INPUTS!$G$6:$G$35)=M147,"yes","no")</f>
        <v>no</v>
      </c>
      <c r="L147" s="533">
        <f>IF(K147="yes",(LOOKUP(J147,INPUTS!$E$6:$E$35,INPUTS!$F$6:$F$35)),0)</f>
        <v>0</v>
      </c>
      <c r="M147" s="135">
        <f t="shared" si="18"/>
        <v>126</v>
      </c>
      <c r="N147" s="135">
        <f t="shared" si="19"/>
        <v>1</v>
      </c>
      <c r="O147" s="135">
        <f t="shared" si="20"/>
        <v>0</v>
      </c>
      <c r="P147" s="536" t="e">
        <f t="shared" si="31"/>
        <v>#DIV/0!</v>
      </c>
      <c r="Q147" s="537" t="e">
        <f t="shared" si="25"/>
        <v>#DIV/0!</v>
      </c>
      <c r="R147" s="538" t="e">
        <f>IF(INPUTS!$B$15="yes",Q147,P147)</f>
        <v>#DIV/0!</v>
      </c>
      <c r="S147" s="536" t="e">
        <f t="shared" si="21"/>
        <v>#DIV/0!</v>
      </c>
      <c r="T147" s="537" t="e">
        <f t="shared" si="26"/>
        <v>#DIV/0!</v>
      </c>
      <c r="U147" s="538" t="e">
        <f>IF(INPUTS!$B$15="yes",T147,S147)</f>
        <v>#DIV/0!</v>
      </c>
      <c r="V147" s="536" t="e">
        <f t="shared" si="22"/>
        <v>#DIV/0!</v>
      </c>
      <c r="W147" s="537" t="e">
        <f t="shared" si="27"/>
        <v>#DIV/0!</v>
      </c>
      <c r="X147" s="538" t="e">
        <f>IF(INPUTS!$B$15="yes",W147,V147)</f>
        <v>#DIV/0!</v>
      </c>
      <c r="Y147" s="536" t="e">
        <f t="shared" si="23"/>
        <v>#DIV/0!</v>
      </c>
      <c r="Z147" s="537" t="e">
        <f t="shared" si="28"/>
        <v>#DIV/0!</v>
      </c>
      <c r="AA147" s="538" t="e">
        <f>IF(INPUTS!$B$15="yes",Z147,Y147)</f>
        <v>#DIV/0!</v>
      </c>
      <c r="AB147" s="536" t="e">
        <f t="shared" si="24"/>
        <v>#DIV/0!</v>
      </c>
      <c r="AC147" s="537" t="e">
        <f t="shared" si="29"/>
        <v>#DIV/0!</v>
      </c>
      <c r="AD147" s="538" t="e">
        <f>IF(INPUTS!$B$15="yes",AC147,AB147)</f>
        <v>#DIV/0!</v>
      </c>
      <c r="AE147" s="36" t="str">
        <f t="shared" si="30"/>
        <v>no</v>
      </c>
      <c r="AF147" s="36"/>
      <c r="AG147" s="389" t="e">
        <f>P147*('upper bound Kenaga'!$F$36/100)</f>
        <v>#DIV/0!</v>
      </c>
      <c r="AH147" s="36"/>
      <c r="AI147" s="389" t="e">
        <f>P147*('upper bound Kenaga'!$F$96/100)</f>
        <v>#DIV/0!</v>
      </c>
      <c r="AJ147" s="36"/>
      <c r="AK147" s="36"/>
      <c r="AL147" s="36"/>
      <c r="AM147" s="36"/>
      <c r="AN147" s="36"/>
      <c r="AO147" s="36"/>
    </row>
    <row r="148" spans="1:41">
      <c r="A148" s="616" t="s">
        <v>132</v>
      </c>
      <c r="B148" s="617"/>
      <c r="C148" s="617"/>
      <c r="D148" s="623"/>
      <c r="E148" s="617"/>
      <c r="F148" s="617"/>
      <c r="G148" s="617"/>
      <c r="H148" s="617"/>
      <c r="J148" s="6">
        <f>COUNTIF(K$21:K148,"=yes")</f>
        <v>1</v>
      </c>
      <c r="K148" s="533" t="str">
        <f>IF(LOOKUP(VALUE(M148),INPUTS!$G$6:$G$35)=M148,"yes","no")</f>
        <v>no</v>
      </c>
      <c r="L148" s="533">
        <f>IF(K148="yes",(LOOKUP(J148,INPUTS!$E$6:$E$35,INPUTS!$F$6:$F$35)),0)</f>
        <v>0</v>
      </c>
      <c r="M148" s="135">
        <f t="shared" si="18"/>
        <v>127</v>
      </c>
      <c r="N148" s="135">
        <f t="shared" si="19"/>
        <v>1</v>
      </c>
      <c r="O148" s="135">
        <f t="shared" si="20"/>
        <v>0</v>
      </c>
      <c r="P148" s="536" t="e">
        <f t="shared" si="31"/>
        <v>#DIV/0!</v>
      </c>
      <c r="Q148" s="537" t="e">
        <f t="shared" si="25"/>
        <v>#DIV/0!</v>
      </c>
      <c r="R148" s="538" t="e">
        <f>IF(INPUTS!$B$15="yes",Q148,P148)</f>
        <v>#DIV/0!</v>
      </c>
      <c r="S148" s="536" t="e">
        <f t="shared" si="21"/>
        <v>#DIV/0!</v>
      </c>
      <c r="T148" s="537" t="e">
        <f t="shared" si="26"/>
        <v>#DIV/0!</v>
      </c>
      <c r="U148" s="538" t="e">
        <f>IF(INPUTS!$B$15="yes",T148,S148)</f>
        <v>#DIV/0!</v>
      </c>
      <c r="V148" s="536" t="e">
        <f t="shared" si="22"/>
        <v>#DIV/0!</v>
      </c>
      <c r="W148" s="537" t="e">
        <f t="shared" si="27"/>
        <v>#DIV/0!</v>
      </c>
      <c r="X148" s="538" t="e">
        <f>IF(INPUTS!$B$15="yes",W148,V148)</f>
        <v>#DIV/0!</v>
      </c>
      <c r="Y148" s="536" t="e">
        <f t="shared" si="23"/>
        <v>#DIV/0!</v>
      </c>
      <c r="Z148" s="537" t="e">
        <f t="shared" si="28"/>
        <v>#DIV/0!</v>
      </c>
      <c r="AA148" s="538" t="e">
        <f>IF(INPUTS!$B$15="yes",Z148,Y148)</f>
        <v>#DIV/0!</v>
      </c>
      <c r="AB148" s="536" t="e">
        <f t="shared" si="24"/>
        <v>#DIV/0!</v>
      </c>
      <c r="AC148" s="537" t="e">
        <f t="shared" si="29"/>
        <v>#DIV/0!</v>
      </c>
      <c r="AD148" s="538" t="e">
        <f>IF(INPUTS!$B$15="yes",AC148,AB148)</f>
        <v>#DIV/0!</v>
      </c>
      <c r="AE148" s="36" t="str">
        <f t="shared" si="30"/>
        <v>no</v>
      </c>
      <c r="AF148" s="36"/>
      <c r="AG148" s="389" t="e">
        <f>P148*('upper bound Kenaga'!$F$36/100)</f>
        <v>#DIV/0!</v>
      </c>
      <c r="AH148" s="36"/>
      <c r="AI148" s="389" t="e">
        <f>P148*('upper bound Kenaga'!$F$96/100)</f>
        <v>#DIV/0!</v>
      </c>
      <c r="AJ148" s="36"/>
      <c r="AK148" s="36"/>
      <c r="AL148" s="36"/>
      <c r="AM148" s="36"/>
      <c r="AN148" s="36"/>
      <c r="AO148" s="36"/>
    </row>
    <row r="149" spans="1:41">
      <c r="A149" s="617"/>
      <c r="B149" s="617"/>
      <c r="C149" s="617"/>
      <c r="D149" s="623"/>
      <c r="E149" s="617"/>
      <c r="F149" s="617"/>
      <c r="G149" s="617"/>
      <c r="H149" s="617"/>
      <c r="J149" s="6">
        <f>COUNTIF(K$21:K149,"=yes")</f>
        <v>1</v>
      </c>
      <c r="K149" s="533" t="str">
        <f>IF(LOOKUP(VALUE(M149),INPUTS!$G$6:$G$35)=M149,"yes","no")</f>
        <v>no</v>
      </c>
      <c r="L149" s="533">
        <f>IF(K149="yes",(LOOKUP(J149,INPUTS!$E$6:$E$35,INPUTS!$F$6:$F$35)),0)</f>
        <v>0</v>
      </c>
      <c r="M149" s="135">
        <f t="shared" si="18"/>
        <v>128</v>
      </c>
      <c r="N149" s="135">
        <f t="shared" si="19"/>
        <v>1</v>
      </c>
      <c r="O149" s="135">
        <f t="shared" si="20"/>
        <v>0</v>
      </c>
      <c r="P149" s="536" t="e">
        <f t="shared" si="31"/>
        <v>#DIV/0!</v>
      </c>
      <c r="Q149" s="537" t="e">
        <f t="shared" si="25"/>
        <v>#DIV/0!</v>
      </c>
      <c r="R149" s="538" t="e">
        <f>IF(INPUTS!$B$15="yes",Q149,P149)</f>
        <v>#DIV/0!</v>
      </c>
      <c r="S149" s="536" t="e">
        <f t="shared" si="21"/>
        <v>#DIV/0!</v>
      </c>
      <c r="T149" s="537" t="e">
        <f t="shared" si="26"/>
        <v>#DIV/0!</v>
      </c>
      <c r="U149" s="538" t="e">
        <f>IF(INPUTS!$B$15="yes",T149,S149)</f>
        <v>#DIV/0!</v>
      </c>
      <c r="V149" s="536" t="e">
        <f t="shared" si="22"/>
        <v>#DIV/0!</v>
      </c>
      <c r="W149" s="537" t="e">
        <f t="shared" si="27"/>
        <v>#DIV/0!</v>
      </c>
      <c r="X149" s="538" t="e">
        <f>IF(INPUTS!$B$15="yes",W149,V149)</f>
        <v>#DIV/0!</v>
      </c>
      <c r="Y149" s="536" t="e">
        <f t="shared" si="23"/>
        <v>#DIV/0!</v>
      </c>
      <c r="Z149" s="537" t="e">
        <f t="shared" si="28"/>
        <v>#DIV/0!</v>
      </c>
      <c r="AA149" s="538" t="e">
        <f>IF(INPUTS!$B$15="yes",Z149,Y149)</f>
        <v>#DIV/0!</v>
      </c>
      <c r="AB149" s="536" t="e">
        <f t="shared" si="24"/>
        <v>#DIV/0!</v>
      </c>
      <c r="AC149" s="537" t="e">
        <f t="shared" si="29"/>
        <v>#DIV/0!</v>
      </c>
      <c r="AD149" s="538" t="e">
        <f>IF(INPUTS!$B$15="yes",AC149,AB149)</f>
        <v>#DIV/0!</v>
      </c>
      <c r="AE149" s="36" t="str">
        <f t="shared" si="30"/>
        <v>no</v>
      </c>
      <c r="AF149" s="36"/>
      <c r="AG149" s="389" t="e">
        <f>P149*('upper bound Kenaga'!$F$36/100)</f>
        <v>#DIV/0!</v>
      </c>
      <c r="AH149" s="36"/>
      <c r="AI149" s="389" t="e">
        <f>P149*('upper bound Kenaga'!$F$96/100)</f>
        <v>#DIV/0!</v>
      </c>
      <c r="AJ149" s="36"/>
      <c r="AK149" s="36"/>
      <c r="AL149" s="36"/>
      <c r="AM149" s="36"/>
      <c r="AN149" s="36"/>
      <c r="AO149" s="36"/>
    </row>
    <row r="150" spans="1:41">
      <c r="J150" s="6">
        <f>COUNTIF(K$21:K150,"=yes")</f>
        <v>1</v>
      </c>
      <c r="K150" s="533" t="str">
        <f>IF(LOOKUP(VALUE(M150),INPUTS!$G$6:$G$35)=M150,"yes","no")</f>
        <v>no</v>
      </c>
      <c r="L150" s="533">
        <f>IF(K150="yes",(LOOKUP(J150,INPUTS!$E$6:$E$35,INPUTS!$F$6:$F$35)),0)</f>
        <v>0</v>
      </c>
      <c r="M150" s="135">
        <f t="shared" ref="M150:M213" si="36">(M149+1)</f>
        <v>129</v>
      </c>
      <c r="N150" s="135">
        <f t="shared" ref="N150:N213" si="37">IF($B$9&gt;N149,IF(O149=($B$8-1),(N149+1),(N149)),(N149))</f>
        <v>1</v>
      </c>
      <c r="O150" s="135">
        <f t="shared" ref="O150:O213" si="38">IF(O149&lt;($B$8-1),(1+O149),0)</f>
        <v>0</v>
      </c>
      <c r="P150" s="536" t="e">
        <f t="shared" si="31"/>
        <v>#DIV/0!</v>
      </c>
      <c r="Q150" s="537" t="e">
        <f t="shared" si="25"/>
        <v>#DIV/0!</v>
      </c>
      <c r="R150" s="538" t="e">
        <f>IF(INPUTS!$B$15="yes",Q150,P150)</f>
        <v>#DIV/0!</v>
      </c>
      <c r="S150" s="536" t="e">
        <f t="shared" ref="S150:S213" si="39">IF(($N150&gt;$N149),(EXP(-$R$16)*(S149)+$R$12),((EXP(-$R$16)*(S149))))</f>
        <v>#DIV/0!</v>
      </c>
      <c r="T150" s="537" t="e">
        <f t="shared" si="26"/>
        <v>#DIV/0!</v>
      </c>
      <c r="U150" s="538" t="e">
        <f>IF(INPUTS!$B$15="yes",T150,S150)</f>
        <v>#DIV/0!</v>
      </c>
      <c r="V150" s="536" t="e">
        <f t="shared" ref="V150:V213" si="40">IF(($N150&gt;$N149),(EXP(-$R$16)*(V149)+$R$13),((EXP(-$R$16)*(V149))))</f>
        <v>#DIV/0!</v>
      </c>
      <c r="W150" s="537" t="e">
        <f t="shared" si="27"/>
        <v>#DIV/0!</v>
      </c>
      <c r="X150" s="538" t="e">
        <f>IF(INPUTS!$B$15="yes",W150,V150)</f>
        <v>#DIV/0!</v>
      </c>
      <c r="Y150" s="536" t="e">
        <f t="shared" ref="Y150:Y213" si="41">IF(($N150&gt;$N149),(EXP(-$R$16)*(Y149)+$R$14),((EXP(-$R$16)*(Y149))))</f>
        <v>#DIV/0!</v>
      </c>
      <c r="Z150" s="537" t="e">
        <f t="shared" si="28"/>
        <v>#DIV/0!</v>
      </c>
      <c r="AA150" s="538" t="e">
        <f>IF(INPUTS!$B$15="yes",Z150,Y150)</f>
        <v>#DIV/0!</v>
      </c>
      <c r="AB150" s="536" t="e">
        <f t="shared" ref="AB150:AB213" si="42">IF(($N150&gt;$N149),(EXP(-$R$16)*(AB149)+$R$15),((EXP(-$R$16)*(AB149))))</f>
        <v>#DIV/0!</v>
      </c>
      <c r="AC150" s="537" t="e">
        <f t="shared" si="29"/>
        <v>#DIV/0!</v>
      </c>
      <c r="AD150" s="538" t="e">
        <f>IF(INPUTS!$B$15="yes",AC150,AB150)</f>
        <v>#DIV/0!</v>
      </c>
      <c r="AE150" s="36" t="str">
        <f t="shared" si="30"/>
        <v>no</v>
      </c>
      <c r="AF150" s="36"/>
      <c r="AG150" s="389" t="e">
        <f>P150*('upper bound Kenaga'!$F$36/100)</f>
        <v>#DIV/0!</v>
      </c>
      <c r="AH150" s="36"/>
      <c r="AI150" s="389" t="e">
        <f>P150*('upper bound Kenaga'!$F$96/100)</f>
        <v>#DIV/0!</v>
      </c>
      <c r="AJ150" s="36"/>
      <c r="AK150" s="36"/>
      <c r="AL150" s="36"/>
      <c r="AM150" s="36"/>
      <c r="AN150" s="36"/>
      <c r="AO150" s="36"/>
    </row>
    <row r="151" spans="1:41">
      <c r="J151" s="6">
        <f>COUNTIF(K$21:K151,"=yes")</f>
        <v>1</v>
      </c>
      <c r="K151" s="533" t="str">
        <f>IF(LOOKUP(VALUE(M151),INPUTS!$G$6:$G$35)=M151,"yes","no")</f>
        <v>no</v>
      </c>
      <c r="L151" s="533">
        <f>IF(K151="yes",(LOOKUP(J151,INPUTS!$E$6:$E$35,INPUTS!$F$6:$F$35)),0)</f>
        <v>0</v>
      </c>
      <c r="M151" s="135">
        <f t="shared" si="36"/>
        <v>130</v>
      </c>
      <c r="N151" s="135">
        <f t="shared" si="37"/>
        <v>1</v>
      </c>
      <c r="O151" s="135">
        <f t="shared" si="38"/>
        <v>0</v>
      </c>
      <c r="P151" s="536" t="e">
        <f t="shared" si="31"/>
        <v>#DIV/0!</v>
      </c>
      <c r="Q151" s="537" t="e">
        <f t="shared" ref="Q151:Q214" si="43">IF($K151="yes",(EXP(-$R$16)*(Q150)+(Q$11*$L151)),((EXP(-$R$16)*(Q150))))</f>
        <v>#DIV/0!</v>
      </c>
      <c r="R151" s="538" t="e">
        <f>IF(INPUTS!$B$15="yes",Q151,P151)</f>
        <v>#DIV/0!</v>
      </c>
      <c r="S151" s="536" t="e">
        <f t="shared" si="39"/>
        <v>#DIV/0!</v>
      </c>
      <c r="T151" s="537" t="e">
        <f t="shared" ref="T151:T214" si="44">IF($K151="yes",(EXP(-$R$16)*(T150)+(Q$12*$L151)),((EXP(-$R$16)*(T150))))</f>
        <v>#DIV/0!</v>
      </c>
      <c r="U151" s="538" t="e">
        <f>IF(INPUTS!$B$15="yes",T151,S151)</f>
        <v>#DIV/0!</v>
      </c>
      <c r="V151" s="536" t="e">
        <f t="shared" si="40"/>
        <v>#DIV/0!</v>
      </c>
      <c r="W151" s="537" t="e">
        <f t="shared" ref="W151:W214" si="45">IF($K151="yes",(EXP(-$R$16)*(W150)+(Q$13*$L151)),((EXP(-$R$16)*(W150))))</f>
        <v>#DIV/0!</v>
      </c>
      <c r="X151" s="538" t="e">
        <f>IF(INPUTS!$B$15="yes",W151,V151)</f>
        <v>#DIV/0!</v>
      </c>
      <c r="Y151" s="536" t="e">
        <f t="shared" si="41"/>
        <v>#DIV/0!</v>
      </c>
      <c r="Z151" s="537" t="e">
        <f t="shared" ref="Z151:Z214" si="46">IF($K151="yes",(EXP(-$R$16)*(Z150)+(Q$14*$L151)),((EXP(-$R$16)*(Z150))))</f>
        <v>#DIV/0!</v>
      </c>
      <c r="AA151" s="538" t="e">
        <f>IF(INPUTS!$B$15="yes",Z151,Y151)</f>
        <v>#DIV/0!</v>
      </c>
      <c r="AB151" s="536" t="e">
        <f t="shared" si="42"/>
        <v>#DIV/0!</v>
      </c>
      <c r="AC151" s="537" t="e">
        <f t="shared" ref="AC151:AC214" si="47">IF($K151="yes",(EXP(-$R$16)*(AC150)+(Q$15*$L151)),((EXP(-$R$16)*(AC150))))</f>
        <v>#DIV/0!</v>
      </c>
      <c r="AD151" s="538" t="e">
        <f>IF(INPUTS!$B$15="yes",AC151,AB151)</f>
        <v>#DIV/0!</v>
      </c>
      <c r="AE151" s="36" t="str">
        <f t="shared" si="30"/>
        <v>no</v>
      </c>
      <c r="AF151" s="36"/>
      <c r="AG151" s="389" t="e">
        <f>P151*('upper bound Kenaga'!$F$36/100)</f>
        <v>#DIV/0!</v>
      </c>
      <c r="AH151" s="36"/>
      <c r="AI151" s="389" t="e">
        <f>P151*('upper bound Kenaga'!$F$96/100)</f>
        <v>#DIV/0!</v>
      </c>
      <c r="AJ151" s="36"/>
      <c r="AK151" s="36"/>
      <c r="AL151" s="36"/>
      <c r="AM151" s="36"/>
      <c r="AN151" s="36"/>
      <c r="AO151" s="36"/>
    </row>
    <row r="152" spans="1:41">
      <c r="J152" s="6">
        <f>COUNTIF(K$21:K152,"=yes")</f>
        <v>1</v>
      </c>
      <c r="K152" s="533" t="str">
        <f>IF(LOOKUP(VALUE(M152),INPUTS!$G$6:$G$35)=M152,"yes","no")</f>
        <v>no</v>
      </c>
      <c r="L152" s="533">
        <f>IF(K152="yes",(LOOKUP(J152,INPUTS!$E$6:$E$35,INPUTS!$F$6:$F$35)),0)</f>
        <v>0</v>
      </c>
      <c r="M152" s="135">
        <f t="shared" si="36"/>
        <v>131</v>
      </c>
      <c r="N152" s="135">
        <f t="shared" si="37"/>
        <v>1</v>
      </c>
      <c r="O152" s="135">
        <f t="shared" si="38"/>
        <v>0</v>
      </c>
      <c r="P152" s="536" t="e">
        <f t="shared" si="31"/>
        <v>#DIV/0!</v>
      </c>
      <c r="Q152" s="537" t="e">
        <f t="shared" si="43"/>
        <v>#DIV/0!</v>
      </c>
      <c r="R152" s="538" t="e">
        <f>IF(INPUTS!$B$15="yes",Q152,P152)</f>
        <v>#DIV/0!</v>
      </c>
      <c r="S152" s="536" t="e">
        <f t="shared" si="39"/>
        <v>#DIV/0!</v>
      </c>
      <c r="T152" s="537" t="e">
        <f t="shared" si="44"/>
        <v>#DIV/0!</v>
      </c>
      <c r="U152" s="538" t="e">
        <f>IF(INPUTS!$B$15="yes",T152,S152)</f>
        <v>#DIV/0!</v>
      </c>
      <c r="V152" s="536" t="e">
        <f t="shared" si="40"/>
        <v>#DIV/0!</v>
      </c>
      <c r="W152" s="537" t="e">
        <f t="shared" si="45"/>
        <v>#DIV/0!</v>
      </c>
      <c r="X152" s="538" t="e">
        <f>IF(INPUTS!$B$15="yes",W152,V152)</f>
        <v>#DIV/0!</v>
      </c>
      <c r="Y152" s="536" t="e">
        <f t="shared" si="41"/>
        <v>#DIV/0!</v>
      </c>
      <c r="Z152" s="537" t="e">
        <f t="shared" si="46"/>
        <v>#DIV/0!</v>
      </c>
      <c r="AA152" s="538" t="e">
        <f>IF(INPUTS!$B$15="yes",Z152,Y152)</f>
        <v>#DIV/0!</v>
      </c>
      <c r="AB152" s="536" t="e">
        <f t="shared" si="42"/>
        <v>#DIV/0!</v>
      </c>
      <c r="AC152" s="537" t="e">
        <f t="shared" si="47"/>
        <v>#DIV/0!</v>
      </c>
      <c r="AD152" s="538" t="e">
        <f>IF(INPUTS!$B$15="yes",AC152,AB152)</f>
        <v>#DIV/0!</v>
      </c>
      <c r="AE152" s="36" t="str">
        <f t="shared" si="30"/>
        <v>no</v>
      </c>
      <c r="AF152" s="36"/>
      <c r="AG152" s="389" t="e">
        <f>P152*('upper bound Kenaga'!$F$36/100)</f>
        <v>#DIV/0!</v>
      </c>
      <c r="AH152" s="36"/>
      <c r="AI152" s="389" t="e">
        <f>P152*('upper bound Kenaga'!$F$96/100)</f>
        <v>#DIV/0!</v>
      </c>
      <c r="AJ152" s="36"/>
      <c r="AK152" s="36"/>
      <c r="AL152" s="36"/>
      <c r="AM152" s="36"/>
      <c r="AN152" s="36"/>
      <c r="AO152" s="36"/>
    </row>
    <row r="153" spans="1:41">
      <c r="J153" s="6">
        <f>COUNTIF(K$21:K153,"=yes")</f>
        <v>1</v>
      </c>
      <c r="K153" s="533" t="str">
        <f>IF(LOOKUP(VALUE(M153),INPUTS!$G$6:$G$35)=M153,"yes","no")</f>
        <v>no</v>
      </c>
      <c r="L153" s="533">
        <f>IF(K153="yes",(LOOKUP(J153,INPUTS!$E$6:$E$35,INPUTS!$F$6:$F$35)),0)</f>
        <v>0</v>
      </c>
      <c r="M153" s="135">
        <f t="shared" si="36"/>
        <v>132</v>
      </c>
      <c r="N153" s="135">
        <f t="shared" si="37"/>
        <v>1</v>
      </c>
      <c r="O153" s="135">
        <f t="shared" si="38"/>
        <v>0</v>
      </c>
      <c r="P153" s="536" t="e">
        <f t="shared" si="31"/>
        <v>#DIV/0!</v>
      </c>
      <c r="Q153" s="537" t="e">
        <f t="shared" si="43"/>
        <v>#DIV/0!</v>
      </c>
      <c r="R153" s="538" t="e">
        <f>IF(INPUTS!$B$15="yes",Q153,P153)</f>
        <v>#DIV/0!</v>
      </c>
      <c r="S153" s="536" t="e">
        <f t="shared" si="39"/>
        <v>#DIV/0!</v>
      </c>
      <c r="T153" s="537" t="e">
        <f t="shared" si="44"/>
        <v>#DIV/0!</v>
      </c>
      <c r="U153" s="538" t="e">
        <f>IF(INPUTS!$B$15="yes",T153,S153)</f>
        <v>#DIV/0!</v>
      </c>
      <c r="V153" s="536" t="e">
        <f t="shared" si="40"/>
        <v>#DIV/0!</v>
      </c>
      <c r="W153" s="537" t="e">
        <f t="shared" si="45"/>
        <v>#DIV/0!</v>
      </c>
      <c r="X153" s="538" t="e">
        <f>IF(INPUTS!$B$15="yes",W153,V153)</f>
        <v>#DIV/0!</v>
      </c>
      <c r="Y153" s="536" t="e">
        <f t="shared" si="41"/>
        <v>#DIV/0!</v>
      </c>
      <c r="Z153" s="537" t="e">
        <f t="shared" si="46"/>
        <v>#DIV/0!</v>
      </c>
      <c r="AA153" s="538" t="e">
        <f>IF(INPUTS!$B$15="yes",Z153,Y153)</f>
        <v>#DIV/0!</v>
      </c>
      <c r="AB153" s="536" t="e">
        <f t="shared" si="42"/>
        <v>#DIV/0!</v>
      </c>
      <c r="AC153" s="537" t="e">
        <f t="shared" si="47"/>
        <v>#DIV/0!</v>
      </c>
      <c r="AD153" s="538" t="e">
        <f>IF(INPUTS!$B$15="yes",AC153,AB153)</f>
        <v>#DIV/0!</v>
      </c>
      <c r="AE153" s="36" t="str">
        <f t="shared" si="30"/>
        <v>no</v>
      </c>
      <c r="AF153" s="36"/>
      <c r="AG153" s="389" t="e">
        <f>P153*('upper bound Kenaga'!$F$36/100)</f>
        <v>#DIV/0!</v>
      </c>
      <c r="AH153" s="36"/>
      <c r="AI153" s="389" t="e">
        <f>P153*('upper bound Kenaga'!$F$96/100)</f>
        <v>#DIV/0!</v>
      </c>
      <c r="AJ153" s="36"/>
      <c r="AK153" s="36"/>
      <c r="AL153" s="36"/>
      <c r="AM153" s="36"/>
      <c r="AN153" s="36"/>
      <c r="AO153" s="36"/>
    </row>
    <row r="154" spans="1:41">
      <c r="J154" s="6">
        <f>COUNTIF(K$21:K154,"=yes")</f>
        <v>1</v>
      </c>
      <c r="K154" s="533" t="str">
        <f>IF(LOOKUP(VALUE(M154),INPUTS!$G$6:$G$35)=M154,"yes","no")</f>
        <v>no</v>
      </c>
      <c r="L154" s="533">
        <f>IF(K154="yes",(LOOKUP(J154,INPUTS!$E$6:$E$35,INPUTS!$F$6:$F$35)),0)</f>
        <v>0</v>
      </c>
      <c r="M154" s="135">
        <f t="shared" si="36"/>
        <v>133</v>
      </c>
      <c r="N154" s="135">
        <f t="shared" si="37"/>
        <v>1</v>
      </c>
      <c r="O154" s="135">
        <f t="shared" si="38"/>
        <v>0</v>
      </c>
      <c r="P154" s="536" t="e">
        <f t="shared" si="31"/>
        <v>#DIV/0!</v>
      </c>
      <c r="Q154" s="537" t="e">
        <f t="shared" si="43"/>
        <v>#DIV/0!</v>
      </c>
      <c r="R154" s="538" t="e">
        <f>IF(INPUTS!$B$15="yes",Q154,P154)</f>
        <v>#DIV/0!</v>
      </c>
      <c r="S154" s="536" t="e">
        <f t="shared" si="39"/>
        <v>#DIV/0!</v>
      </c>
      <c r="T154" s="537" t="e">
        <f t="shared" si="44"/>
        <v>#DIV/0!</v>
      </c>
      <c r="U154" s="538" t="e">
        <f>IF(INPUTS!$B$15="yes",T154,S154)</f>
        <v>#DIV/0!</v>
      </c>
      <c r="V154" s="536" t="e">
        <f t="shared" si="40"/>
        <v>#DIV/0!</v>
      </c>
      <c r="W154" s="537" t="e">
        <f t="shared" si="45"/>
        <v>#DIV/0!</v>
      </c>
      <c r="X154" s="538" t="e">
        <f>IF(INPUTS!$B$15="yes",W154,V154)</f>
        <v>#DIV/0!</v>
      </c>
      <c r="Y154" s="536" t="e">
        <f t="shared" si="41"/>
        <v>#DIV/0!</v>
      </c>
      <c r="Z154" s="537" t="e">
        <f t="shared" si="46"/>
        <v>#DIV/0!</v>
      </c>
      <c r="AA154" s="538" t="e">
        <f>IF(INPUTS!$B$15="yes",Z154,Y154)</f>
        <v>#DIV/0!</v>
      </c>
      <c r="AB154" s="536" t="e">
        <f t="shared" si="42"/>
        <v>#DIV/0!</v>
      </c>
      <c r="AC154" s="537" t="e">
        <f t="shared" si="47"/>
        <v>#DIV/0!</v>
      </c>
      <c r="AD154" s="538" t="e">
        <f>IF(INPUTS!$B$15="yes",AC154,AB154)</f>
        <v>#DIV/0!</v>
      </c>
      <c r="AE154" s="36" t="str">
        <f t="shared" ref="AE154:AE217" si="48">$B$11</f>
        <v>no</v>
      </c>
      <c r="AF154" s="36"/>
      <c r="AG154" s="389" t="e">
        <f>P154*('upper bound Kenaga'!$F$36/100)</f>
        <v>#DIV/0!</v>
      </c>
      <c r="AH154" s="36"/>
      <c r="AI154" s="389" t="e">
        <f>P154*('upper bound Kenaga'!$F$96/100)</f>
        <v>#DIV/0!</v>
      </c>
      <c r="AJ154" s="36"/>
      <c r="AK154" s="36"/>
      <c r="AL154" s="36"/>
      <c r="AM154" s="36"/>
      <c r="AN154" s="36"/>
      <c r="AO154" s="36"/>
    </row>
    <row r="155" spans="1:41">
      <c r="J155" s="6">
        <f>COUNTIF(K$21:K155,"=yes")</f>
        <v>1</v>
      </c>
      <c r="K155" s="533" t="str">
        <f>IF(LOOKUP(VALUE(M155),INPUTS!$G$6:$G$35)=M155,"yes","no")</f>
        <v>no</v>
      </c>
      <c r="L155" s="533">
        <f>IF(K155="yes",(LOOKUP(J155,INPUTS!$E$6:$E$35,INPUTS!$F$6:$F$35)),0)</f>
        <v>0</v>
      </c>
      <c r="M155" s="135">
        <f t="shared" si="36"/>
        <v>134</v>
      </c>
      <c r="N155" s="135">
        <f t="shared" si="37"/>
        <v>1</v>
      </c>
      <c r="O155" s="135">
        <f t="shared" si="38"/>
        <v>0</v>
      </c>
      <c r="P155" s="536" t="e">
        <f t="shared" si="31"/>
        <v>#DIV/0!</v>
      </c>
      <c r="Q155" s="537" t="e">
        <f t="shared" si="43"/>
        <v>#DIV/0!</v>
      </c>
      <c r="R155" s="538" t="e">
        <f>IF(INPUTS!$B$15="yes",Q155,P155)</f>
        <v>#DIV/0!</v>
      </c>
      <c r="S155" s="536" t="e">
        <f t="shared" si="39"/>
        <v>#DIV/0!</v>
      </c>
      <c r="T155" s="537" t="e">
        <f t="shared" si="44"/>
        <v>#DIV/0!</v>
      </c>
      <c r="U155" s="538" t="e">
        <f>IF(INPUTS!$B$15="yes",T155,S155)</f>
        <v>#DIV/0!</v>
      </c>
      <c r="V155" s="536" t="e">
        <f t="shared" si="40"/>
        <v>#DIV/0!</v>
      </c>
      <c r="W155" s="537" t="e">
        <f t="shared" si="45"/>
        <v>#DIV/0!</v>
      </c>
      <c r="X155" s="538" t="e">
        <f>IF(INPUTS!$B$15="yes",W155,V155)</f>
        <v>#DIV/0!</v>
      </c>
      <c r="Y155" s="536" t="e">
        <f t="shared" si="41"/>
        <v>#DIV/0!</v>
      </c>
      <c r="Z155" s="537" t="e">
        <f t="shared" si="46"/>
        <v>#DIV/0!</v>
      </c>
      <c r="AA155" s="538" t="e">
        <f>IF(INPUTS!$B$15="yes",Z155,Y155)</f>
        <v>#DIV/0!</v>
      </c>
      <c r="AB155" s="536" t="e">
        <f t="shared" si="42"/>
        <v>#DIV/0!</v>
      </c>
      <c r="AC155" s="537" t="e">
        <f t="shared" si="47"/>
        <v>#DIV/0!</v>
      </c>
      <c r="AD155" s="538" t="e">
        <f>IF(INPUTS!$B$15="yes",AC155,AB155)</f>
        <v>#DIV/0!</v>
      </c>
      <c r="AE155" s="36" t="str">
        <f t="shared" si="48"/>
        <v>no</v>
      </c>
      <c r="AF155" s="36"/>
      <c r="AG155" s="389" t="e">
        <f>P155*('upper bound Kenaga'!$F$36/100)</f>
        <v>#DIV/0!</v>
      </c>
      <c r="AH155" s="36"/>
      <c r="AI155" s="389" t="e">
        <f>P155*('upper bound Kenaga'!$F$96/100)</f>
        <v>#DIV/0!</v>
      </c>
      <c r="AJ155" s="36"/>
      <c r="AK155" s="36"/>
      <c r="AL155" s="36"/>
      <c r="AM155" s="36"/>
      <c r="AN155" s="36"/>
      <c r="AO155" s="36"/>
    </row>
    <row r="156" spans="1:41">
      <c r="J156" s="6">
        <f>COUNTIF(K$21:K156,"=yes")</f>
        <v>1</v>
      </c>
      <c r="K156" s="533" t="str">
        <f>IF(LOOKUP(VALUE(M156),INPUTS!$G$6:$G$35)=M156,"yes","no")</f>
        <v>no</v>
      </c>
      <c r="L156" s="533">
        <f>IF(K156="yes",(LOOKUP(J156,INPUTS!$E$6:$E$35,INPUTS!$F$6:$F$35)),0)</f>
        <v>0</v>
      </c>
      <c r="M156" s="135">
        <f t="shared" si="36"/>
        <v>135</v>
      </c>
      <c r="N156" s="135">
        <f t="shared" si="37"/>
        <v>1</v>
      </c>
      <c r="O156" s="135">
        <f t="shared" si="38"/>
        <v>0</v>
      </c>
      <c r="P156" s="536" t="e">
        <f t="shared" si="31"/>
        <v>#DIV/0!</v>
      </c>
      <c r="Q156" s="537" t="e">
        <f t="shared" si="43"/>
        <v>#DIV/0!</v>
      </c>
      <c r="R156" s="538" t="e">
        <f>IF(INPUTS!$B$15="yes",Q156,P156)</f>
        <v>#DIV/0!</v>
      </c>
      <c r="S156" s="536" t="e">
        <f t="shared" si="39"/>
        <v>#DIV/0!</v>
      </c>
      <c r="T156" s="537" t="e">
        <f t="shared" si="44"/>
        <v>#DIV/0!</v>
      </c>
      <c r="U156" s="538" t="e">
        <f>IF(INPUTS!$B$15="yes",T156,S156)</f>
        <v>#DIV/0!</v>
      </c>
      <c r="V156" s="536" t="e">
        <f t="shared" si="40"/>
        <v>#DIV/0!</v>
      </c>
      <c r="W156" s="537" t="e">
        <f t="shared" si="45"/>
        <v>#DIV/0!</v>
      </c>
      <c r="X156" s="538" t="e">
        <f>IF(INPUTS!$B$15="yes",W156,V156)</f>
        <v>#DIV/0!</v>
      </c>
      <c r="Y156" s="536" t="e">
        <f t="shared" si="41"/>
        <v>#DIV/0!</v>
      </c>
      <c r="Z156" s="537" t="e">
        <f t="shared" si="46"/>
        <v>#DIV/0!</v>
      </c>
      <c r="AA156" s="538" t="e">
        <f>IF(INPUTS!$B$15="yes",Z156,Y156)</f>
        <v>#DIV/0!</v>
      </c>
      <c r="AB156" s="536" t="e">
        <f t="shared" si="42"/>
        <v>#DIV/0!</v>
      </c>
      <c r="AC156" s="537" t="e">
        <f t="shared" si="47"/>
        <v>#DIV/0!</v>
      </c>
      <c r="AD156" s="538" t="e">
        <f>IF(INPUTS!$B$15="yes",AC156,AB156)</f>
        <v>#DIV/0!</v>
      </c>
      <c r="AE156" s="36" t="str">
        <f t="shared" si="48"/>
        <v>no</v>
      </c>
      <c r="AF156" s="36"/>
      <c r="AG156" s="389" t="e">
        <f>P156*('upper bound Kenaga'!$F$36/100)</f>
        <v>#DIV/0!</v>
      </c>
      <c r="AH156" s="36"/>
      <c r="AI156" s="389" t="e">
        <f>P156*('upper bound Kenaga'!$F$96/100)</f>
        <v>#DIV/0!</v>
      </c>
      <c r="AJ156" s="36"/>
      <c r="AK156" s="36"/>
      <c r="AL156" s="36"/>
      <c r="AM156" s="36"/>
      <c r="AN156" s="36"/>
      <c r="AO156" s="36"/>
    </row>
    <row r="157" spans="1:41">
      <c r="J157" s="6">
        <f>COUNTIF(K$21:K157,"=yes")</f>
        <v>1</v>
      </c>
      <c r="K157" s="533" t="str">
        <f>IF(LOOKUP(VALUE(M157),INPUTS!$G$6:$G$35)=M157,"yes","no")</f>
        <v>no</v>
      </c>
      <c r="L157" s="533">
        <f>IF(K157="yes",(LOOKUP(J157,INPUTS!$E$6:$E$35,INPUTS!$F$6:$F$35)),0)</f>
        <v>0</v>
      </c>
      <c r="M157" s="135">
        <f t="shared" si="36"/>
        <v>136</v>
      </c>
      <c r="N157" s="135">
        <f t="shared" si="37"/>
        <v>1</v>
      </c>
      <c r="O157" s="135">
        <f t="shared" si="38"/>
        <v>0</v>
      </c>
      <c r="P157" s="536" t="e">
        <f t="shared" si="31"/>
        <v>#DIV/0!</v>
      </c>
      <c r="Q157" s="537" t="e">
        <f t="shared" si="43"/>
        <v>#DIV/0!</v>
      </c>
      <c r="R157" s="538" t="e">
        <f>IF(INPUTS!$B$15="yes",Q157,P157)</f>
        <v>#DIV/0!</v>
      </c>
      <c r="S157" s="536" t="e">
        <f t="shared" si="39"/>
        <v>#DIV/0!</v>
      </c>
      <c r="T157" s="537" t="e">
        <f t="shared" si="44"/>
        <v>#DIV/0!</v>
      </c>
      <c r="U157" s="538" t="e">
        <f>IF(INPUTS!$B$15="yes",T157,S157)</f>
        <v>#DIV/0!</v>
      </c>
      <c r="V157" s="536" t="e">
        <f t="shared" si="40"/>
        <v>#DIV/0!</v>
      </c>
      <c r="W157" s="537" t="e">
        <f t="shared" si="45"/>
        <v>#DIV/0!</v>
      </c>
      <c r="X157" s="538" t="e">
        <f>IF(INPUTS!$B$15="yes",W157,V157)</f>
        <v>#DIV/0!</v>
      </c>
      <c r="Y157" s="536" t="e">
        <f t="shared" si="41"/>
        <v>#DIV/0!</v>
      </c>
      <c r="Z157" s="537" t="e">
        <f t="shared" si="46"/>
        <v>#DIV/0!</v>
      </c>
      <c r="AA157" s="538" t="e">
        <f>IF(INPUTS!$B$15="yes",Z157,Y157)</f>
        <v>#DIV/0!</v>
      </c>
      <c r="AB157" s="536" t="e">
        <f t="shared" si="42"/>
        <v>#DIV/0!</v>
      </c>
      <c r="AC157" s="537" t="e">
        <f t="shared" si="47"/>
        <v>#DIV/0!</v>
      </c>
      <c r="AD157" s="538" t="e">
        <f>IF(INPUTS!$B$15="yes",AC157,AB157)</f>
        <v>#DIV/0!</v>
      </c>
      <c r="AE157" s="36" t="str">
        <f t="shared" si="48"/>
        <v>no</v>
      </c>
      <c r="AF157" s="36"/>
      <c r="AG157" s="389" t="e">
        <f>P157*('upper bound Kenaga'!$F$36/100)</f>
        <v>#DIV/0!</v>
      </c>
      <c r="AH157" s="36"/>
      <c r="AI157" s="389" t="e">
        <f>P157*('upper bound Kenaga'!$F$96/100)</f>
        <v>#DIV/0!</v>
      </c>
      <c r="AJ157" s="36"/>
      <c r="AK157" s="36"/>
      <c r="AL157" s="36"/>
      <c r="AM157" s="36"/>
      <c r="AN157" s="36"/>
      <c r="AO157" s="36"/>
    </row>
    <row r="158" spans="1:41">
      <c r="J158" s="6">
        <f>COUNTIF(K$21:K158,"=yes")</f>
        <v>1</v>
      </c>
      <c r="K158" s="533" t="str">
        <f>IF(LOOKUP(VALUE(M158),INPUTS!$G$6:$G$35)=M158,"yes","no")</f>
        <v>no</v>
      </c>
      <c r="L158" s="533">
        <f>IF(K158="yes",(LOOKUP(J158,INPUTS!$E$6:$E$35,INPUTS!$F$6:$F$35)),0)</f>
        <v>0</v>
      </c>
      <c r="M158" s="135">
        <f t="shared" si="36"/>
        <v>137</v>
      </c>
      <c r="N158" s="135">
        <f t="shared" si="37"/>
        <v>1</v>
      </c>
      <c r="O158" s="135">
        <f t="shared" si="38"/>
        <v>0</v>
      </c>
      <c r="P158" s="536" t="e">
        <f t="shared" si="31"/>
        <v>#DIV/0!</v>
      </c>
      <c r="Q158" s="537" t="e">
        <f t="shared" si="43"/>
        <v>#DIV/0!</v>
      </c>
      <c r="R158" s="538" t="e">
        <f>IF(INPUTS!$B$15="yes",Q158,P158)</f>
        <v>#DIV/0!</v>
      </c>
      <c r="S158" s="536" t="e">
        <f t="shared" si="39"/>
        <v>#DIV/0!</v>
      </c>
      <c r="T158" s="537" t="e">
        <f t="shared" si="44"/>
        <v>#DIV/0!</v>
      </c>
      <c r="U158" s="538" t="e">
        <f>IF(INPUTS!$B$15="yes",T158,S158)</f>
        <v>#DIV/0!</v>
      </c>
      <c r="V158" s="536" t="e">
        <f t="shared" si="40"/>
        <v>#DIV/0!</v>
      </c>
      <c r="W158" s="537" t="e">
        <f t="shared" si="45"/>
        <v>#DIV/0!</v>
      </c>
      <c r="X158" s="538" t="e">
        <f>IF(INPUTS!$B$15="yes",W158,V158)</f>
        <v>#DIV/0!</v>
      </c>
      <c r="Y158" s="536" t="e">
        <f t="shared" si="41"/>
        <v>#DIV/0!</v>
      </c>
      <c r="Z158" s="537" t="e">
        <f t="shared" si="46"/>
        <v>#DIV/0!</v>
      </c>
      <c r="AA158" s="538" t="e">
        <f>IF(INPUTS!$B$15="yes",Z158,Y158)</f>
        <v>#DIV/0!</v>
      </c>
      <c r="AB158" s="536" t="e">
        <f t="shared" si="42"/>
        <v>#DIV/0!</v>
      </c>
      <c r="AC158" s="537" t="e">
        <f t="shared" si="47"/>
        <v>#DIV/0!</v>
      </c>
      <c r="AD158" s="538" t="e">
        <f>IF(INPUTS!$B$15="yes",AC158,AB158)</f>
        <v>#DIV/0!</v>
      </c>
      <c r="AE158" s="36" t="str">
        <f t="shared" si="48"/>
        <v>no</v>
      </c>
      <c r="AF158" s="36"/>
      <c r="AG158" s="389" t="e">
        <f>P158*('upper bound Kenaga'!$F$36/100)</f>
        <v>#DIV/0!</v>
      </c>
      <c r="AH158" s="36"/>
      <c r="AI158" s="389" t="e">
        <f>P158*('upper bound Kenaga'!$F$96/100)</f>
        <v>#DIV/0!</v>
      </c>
      <c r="AJ158" s="36"/>
      <c r="AK158" s="36"/>
      <c r="AL158" s="36"/>
      <c r="AM158" s="36"/>
      <c r="AN158" s="36"/>
      <c r="AO158" s="36"/>
    </row>
    <row r="159" spans="1:41">
      <c r="J159" s="6">
        <f>COUNTIF(K$21:K159,"=yes")</f>
        <v>1</v>
      </c>
      <c r="K159" s="533" t="str">
        <f>IF(LOOKUP(VALUE(M159),INPUTS!$G$6:$G$35)=M159,"yes","no")</f>
        <v>no</v>
      </c>
      <c r="L159" s="533">
        <f>IF(K159="yes",(LOOKUP(J159,INPUTS!$E$6:$E$35,INPUTS!$F$6:$F$35)),0)</f>
        <v>0</v>
      </c>
      <c r="M159" s="135">
        <f t="shared" si="36"/>
        <v>138</v>
      </c>
      <c r="N159" s="135">
        <f t="shared" si="37"/>
        <v>1</v>
      </c>
      <c r="O159" s="135">
        <f t="shared" si="38"/>
        <v>0</v>
      </c>
      <c r="P159" s="536" t="e">
        <f t="shared" ref="P159:P222" si="49">IF((N159&gt;N158),(EXP(-$R$16)*(P158)+$R$11),((EXP(-$R$16)*(P158))))</f>
        <v>#DIV/0!</v>
      </c>
      <c r="Q159" s="537" t="e">
        <f t="shared" si="43"/>
        <v>#DIV/0!</v>
      </c>
      <c r="R159" s="538" t="e">
        <f>IF(INPUTS!$B$15="yes",Q159,P159)</f>
        <v>#DIV/0!</v>
      </c>
      <c r="S159" s="536" t="e">
        <f t="shared" si="39"/>
        <v>#DIV/0!</v>
      </c>
      <c r="T159" s="537" t="e">
        <f t="shared" si="44"/>
        <v>#DIV/0!</v>
      </c>
      <c r="U159" s="538" t="e">
        <f>IF(INPUTS!$B$15="yes",T159,S159)</f>
        <v>#DIV/0!</v>
      </c>
      <c r="V159" s="536" t="e">
        <f t="shared" si="40"/>
        <v>#DIV/0!</v>
      </c>
      <c r="W159" s="537" t="e">
        <f t="shared" si="45"/>
        <v>#DIV/0!</v>
      </c>
      <c r="X159" s="538" t="e">
        <f>IF(INPUTS!$B$15="yes",W159,V159)</f>
        <v>#DIV/0!</v>
      </c>
      <c r="Y159" s="536" t="e">
        <f t="shared" si="41"/>
        <v>#DIV/0!</v>
      </c>
      <c r="Z159" s="537" t="e">
        <f t="shared" si="46"/>
        <v>#DIV/0!</v>
      </c>
      <c r="AA159" s="538" t="e">
        <f>IF(INPUTS!$B$15="yes",Z159,Y159)</f>
        <v>#DIV/0!</v>
      </c>
      <c r="AB159" s="536" t="e">
        <f t="shared" si="42"/>
        <v>#DIV/0!</v>
      </c>
      <c r="AC159" s="537" t="e">
        <f t="shared" si="47"/>
        <v>#DIV/0!</v>
      </c>
      <c r="AD159" s="538" t="e">
        <f>IF(INPUTS!$B$15="yes",AC159,AB159)</f>
        <v>#DIV/0!</v>
      </c>
      <c r="AE159" s="36" t="str">
        <f t="shared" si="48"/>
        <v>no</v>
      </c>
      <c r="AF159" s="36"/>
      <c r="AG159" s="389" t="e">
        <f>P159*('upper bound Kenaga'!$F$36/100)</f>
        <v>#DIV/0!</v>
      </c>
      <c r="AH159" s="36"/>
      <c r="AI159" s="389" t="e">
        <f>P159*('upper bound Kenaga'!$F$96/100)</f>
        <v>#DIV/0!</v>
      </c>
      <c r="AJ159" s="36"/>
      <c r="AK159" s="36"/>
      <c r="AL159" s="36"/>
      <c r="AM159" s="36"/>
      <c r="AN159" s="36"/>
      <c r="AO159" s="36"/>
    </row>
    <row r="160" spans="1:41">
      <c r="J160" s="6">
        <f>COUNTIF(K$21:K160,"=yes")</f>
        <v>1</v>
      </c>
      <c r="K160" s="533" t="str">
        <f>IF(LOOKUP(VALUE(M160),INPUTS!$G$6:$G$35)=M160,"yes","no")</f>
        <v>no</v>
      </c>
      <c r="L160" s="533">
        <f>IF(K160="yes",(LOOKUP(J160,INPUTS!$E$6:$E$35,INPUTS!$F$6:$F$35)),0)</f>
        <v>0</v>
      </c>
      <c r="M160" s="135">
        <f t="shared" si="36"/>
        <v>139</v>
      </c>
      <c r="N160" s="135">
        <f t="shared" si="37"/>
        <v>1</v>
      </c>
      <c r="O160" s="135">
        <f t="shared" si="38"/>
        <v>0</v>
      </c>
      <c r="P160" s="536" t="e">
        <f t="shared" si="49"/>
        <v>#DIV/0!</v>
      </c>
      <c r="Q160" s="537" t="e">
        <f t="shared" si="43"/>
        <v>#DIV/0!</v>
      </c>
      <c r="R160" s="538" t="e">
        <f>IF(INPUTS!$B$15="yes",Q160,P160)</f>
        <v>#DIV/0!</v>
      </c>
      <c r="S160" s="536" t="e">
        <f t="shared" si="39"/>
        <v>#DIV/0!</v>
      </c>
      <c r="T160" s="537" t="e">
        <f t="shared" si="44"/>
        <v>#DIV/0!</v>
      </c>
      <c r="U160" s="538" t="e">
        <f>IF(INPUTS!$B$15="yes",T160,S160)</f>
        <v>#DIV/0!</v>
      </c>
      <c r="V160" s="536" t="e">
        <f t="shared" si="40"/>
        <v>#DIV/0!</v>
      </c>
      <c r="W160" s="537" t="e">
        <f t="shared" si="45"/>
        <v>#DIV/0!</v>
      </c>
      <c r="X160" s="538" t="e">
        <f>IF(INPUTS!$B$15="yes",W160,V160)</f>
        <v>#DIV/0!</v>
      </c>
      <c r="Y160" s="536" t="e">
        <f t="shared" si="41"/>
        <v>#DIV/0!</v>
      </c>
      <c r="Z160" s="537" t="e">
        <f t="shared" si="46"/>
        <v>#DIV/0!</v>
      </c>
      <c r="AA160" s="538" t="e">
        <f>IF(INPUTS!$B$15="yes",Z160,Y160)</f>
        <v>#DIV/0!</v>
      </c>
      <c r="AB160" s="536" t="e">
        <f t="shared" si="42"/>
        <v>#DIV/0!</v>
      </c>
      <c r="AC160" s="537" t="e">
        <f t="shared" si="47"/>
        <v>#DIV/0!</v>
      </c>
      <c r="AD160" s="538" t="e">
        <f>IF(INPUTS!$B$15="yes",AC160,AB160)</f>
        <v>#DIV/0!</v>
      </c>
      <c r="AE160" s="36" t="str">
        <f t="shared" si="48"/>
        <v>no</v>
      </c>
      <c r="AF160" s="36"/>
      <c r="AG160" s="389" t="e">
        <f>P160*('upper bound Kenaga'!$F$36/100)</f>
        <v>#DIV/0!</v>
      </c>
      <c r="AH160" s="36"/>
      <c r="AI160" s="389" t="e">
        <f>P160*('upper bound Kenaga'!$F$96/100)</f>
        <v>#DIV/0!</v>
      </c>
      <c r="AJ160" s="36"/>
      <c r="AK160" s="36"/>
      <c r="AL160" s="36"/>
      <c r="AM160" s="36"/>
      <c r="AN160" s="36"/>
      <c r="AO160" s="36"/>
    </row>
    <row r="161" spans="10:41" s="1" customFormat="1">
      <c r="J161" s="6">
        <f>COUNTIF(K$21:K161,"=yes")</f>
        <v>1</v>
      </c>
      <c r="K161" s="533" t="str">
        <f>IF(LOOKUP(VALUE(M161),INPUTS!$G$6:$G$35)=M161,"yes","no")</f>
        <v>no</v>
      </c>
      <c r="L161" s="533">
        <f>IF(K161="yes",(LOOKUP(J161,INPUTS!$E$6:$E$35,INPUTS!$F$6:$F$35)),0)</f>
        <v>0</v>
      </c>
      <c r="M161" s="135">
        <f t="shared" si="36"/>
        <v>140</v>
      </c>
      <c r="N161" s="135">
        <f t="shared" si="37"/>
        <v>1</v>
      </c>
      <c r="O161" s="135">
        <f t="shared" si="38"/>
        <v>0</v>
      </c>
      <c r="P161" s="536" t="e">
        <f t="shared" si="49"/>
        <v>#DIV/0!</v>
      </c>
      <c r="Q161" s="537" t="e">
        <f t="shared" si="43"/>
        <v>#DIV/0!</v>
      </c>
      <c r="R161" s="538" t="e">
        <f>IF(INPUTS!$B$15="yes",Q161,P161)</f>
        <v>#DIV/0!</v>
      </c>
      <c r="S161" s="536" t="e">
        <f t="shared" si="39"/>
        <v>#DIV/0!</v>
      </c>
      <c r="T161" s="537" t="e">
        <f t="shared" si="44"/>
        <v>#DIV/0!</v>
      </c>
      <c r="U161" s="538" t="e">
        <f>IF(INPUTS!$B$15="yes",T161,S161)</f>
        <v>#DIV/0!</v>
      </c>
      <c r="V161" s="536" t="e">
        <f t="shared" si="40"/>
        <v>#DIV/0!</v>
      </c>
      <c r="W161" s="537" t="e">
        <f t="shared" si="45"/>
        <v>#DIV/0!</v>
      </c>
      <c r="X161" s="538" t="e">
        <f>IF(INPUTS!$B$15="yes",W161,V161)</f>
        <v>#DIV/0!</v>
      </c>
      <c r="Y161" s="536" t="e">
        <f t="shared" si="41"/>
        <v>#DIV/0!</v>
      </c>
      <c r="Z161" s="537" t="e">
        <f t="shared" si="46"/>
        <v>#DIV/0!</v>
      </c>
      <c r="AA161" s="538" t="e">
        <f>IF(INPUTS!$B$15="yes",Z161,Y161)</f>
        <v>#DIV/0!</v>
      </c>
      <c r="AB161" s="536" t="e">
        <f t="shared" si="42"/>
        <v>#DIV/0!</v>
      </c>
      <c r="AC161" s="537" t="e">
        <f t="shared" si="47"/>
        <v>#DIV/0!</v>
      </c>
      <c r="AD161" s="538" t="e">
        <f>IF(INPUTS!$B$15="yes",AC161,AB161)</f>
        <v>#DIV/0!</v>
      </c>
      <c r="AE161" s="36" t="str">
        <f t="shared" si="48"/>
        <v>no</v>
      </c>
      <c r="AF161" s="36"/>
      <c r="AG161" s="389" t="e">
        <f>P161*('upper bound Kenaga'!$F$36/100)</f>
        <v>#DIV/0!</v>
      </c>
      <c r="AH161" s="36"/>
      <c r="AI161" s="389" t="e">
        <f>P161*('upper bound Kenaga'!$F$96/100)</f>
        <v>#DIV/0!</v>
      </c>
      <c r="AJ161" s="36"/>
      <c r="AK161" s="36"/>
      <c r="AL161" s="36"/>
      <c r="AM161" s="36"/>
      <c r="AN161" s="36"/>
      <c r="AO161" s="36"/>
    </row>
    <row r="162" spans="10:41" s="1" customFormat="1">
      <c r="J162" s="6">
        <f>COUNTIF(K$21:K162,"=yes")</f>
        <v>1</v>
      </c>
      <c r="K162" s="533" t="str">
        <f>IF(LOOKUP(VALUE(M162),INPUTS!$G$6:$G$35)=M162,"yes","no")</f>
        <v>no</v>
      </c>
      <c r="L162" s="533">
        <f>IF(K162="yes",(LOOKUP(J162,INPUTS!$E$6:$E$35,INPUTS!$F$6:$F$35)),0)</f>
        <v>0</v>
      </c>
      <c r="M162" s="135">
        <f t="shared" si="36"/>
        <v>141</v>
      </c>
      <c r="N162" s="135">
        <f t="shared" si="37"/>
        <v>1</v>
      </c>
      <c r="O162" s="135">
        <f t="shared" si="38"/>
        <v>0</v>
      </c>
      <c r="P162" s="536" t="e">
        <f t="shared" si="49"/>
        <v>#DIV/0!</v>
      </c>
      <c r="Q162" s="537" t="e">
        <f t="shared" si="43"/>
        <v>#DIV/0!</v>
      </c>
      <c r="R162" s="538" t="e">
        <f>IF(INPUTS!$B$15="yes",Q162,P162)</f>
        <v>#DIV/0!</v>
      </c>
      <c r="S162" s="536" t="e">
        <f t="shared" si="39"/>
        <v>#DIV/0!</v>
      </c>
      <c r="T162" s="537" t="e">
        <f t="shared" si="44"/>
        <v>#DIV/0!</v>
      </c>
      <c r="U162" s="538" t="e">
        <f>IF(INPUTS!$B$15="yes",T162,S162)</f>
        <v>#DIV/0!</v>
      </c>
      <c r="V162" s="536" t="e">
        <f t="shared" si="40"/>
        <v>#DIV/0!</v>
      </c>
      <c r="W162" s="537" t="e">
        <f t="shared" si="45"/>
        <v>#DIV/0!</v>
      </c>
      <c r="X162" s="538" t="e">
        <f>IF(INPUTS!$B$15="yes",W162,V162)</f>
        <v>#DIV/0!</v>
      </c>
      <c r="Y162" s="536" t="e">
        <f t="shared" si="41"/>
        <v>#DIV/0!</v>
      </c>
      <c r="Z162" s="537" t="e">
        <f t="shared" si="46"/>
        <v>#DIV/0!</v>
      </c>
      <c r="AA162" s="538" t="e">
        <f>IF(INPUTS!$B$15="yes",Z162,Y162)</f>
        <v>#DIV/0!</v>
      </c>
      <c r="AB162" s="536" t="e">
        <f t="shared" si="42"/>
        <v>#DIV/0!</v>
      </c>
      <c r="AC162" s="537" t="e">
        <f t="shared" si="47"/>
        <v>#DIV/0!</v>
      </c>
      <c r="AD162" s="538" t="e">
        <f>IF(INPUTS!$B$15="yes",AC162,AB162)</f>
        <v>#DIV/0!</v>
      </c>
      <c r="AE162" s="36" t="str">
        <f t="shared" si="48"/>
        <v>no</v>
      </c>
      <c r="AF162" s="36"/>
      <c r="AG162" s="389" t="e">
        <f>P162*('upper bound Kenaga'!$F$36/100)</f>
        <v>#DIV/0!</v>
      </c>
      <c r="AH162" s="36"/>
      <c r="AI162" s="389" t="e">
        <f>P162*('upper bound Kenaga'!$F$96/100)</f>
        <v>#DIV/0!</v>
      </c>
      <c r="AJ162" s="36"/>
      <c r="AK162" s="36"/>
      <c r="AL162" s="36"/>
      <c r="AM162" s="36"/>
      <c r="AN162" s="36"/>
      <c r="AO162" s="36"/>
    </row>
    <row r="163" spans="10:41" s="1" customFormat="1">
      <c r="J163" s="6">
        <f>COUNTIF(K$21:K163,"=yes")</f>
        <v>1</v>
      </c>
      <c r="K163" s="533" t="str">
        <f>IF(LOOKUP(VALUE(M163),INPUTS!$G$6:$G$35)=M163,"yes","no")</f>
        <v>no</v>
      </c>
      <c r="L163" s="533">
        <f>IF(K163="yes",(LOOKUP(J163,INPUTS!$E$6:$E$35,INPUTS!$F$6:$F$35)),0)</f>
        <v>0</v>
      </c>
      <c r="M163" s="135">
        <f t="shared" si="36"/>
        <v>142</v>
      </c>
      <c r="N163" s="135">
        <f t="shared" si="37"/>
        <v>1</v>
      </c>
      <c r="O163" s="135">
        <f t="shared" si="38"/>
        <v>0</v>
      </c>
      <c r="P163" s="536" t="e">
        <f t="shared" si="49"/>
        <v>#DIV/0!</v>
      </c>
      <c r="Q163" s="537" t="e">
        <f t="shared" si="43"/>
        <v>#DIV/0!</v>
      </c>
      <c r="R163" s="538" t="e">
        <f>IF(INPUTS!$B$15="yes",Q163,P163)</f>
        <v>#DIV/0!</v>
      </c>
      <c r="S163" s="536" t="e">
        <f t="shared" si="39"/>
        <v>#DIV/0!</v>
      </c>
      <c r="T163" s="537" t="e">
        <f t="shared" si="44"/>
        <v>#DIV/0!</v>
      </c>
      <c r="U163" s="538" t="e">
        <f>IF(INPUTS!$B$15="yes",T163,S163)</f>
        <v>#DIV/0!</v>
      </c>
      <c r="V163" s="536" t="e">
        <f t="shared" si="40"/>
        <v>#DIV/0!</v>
      </c>
      <c r="W163" s="537" t="e">
        <f t="shared" si="45"/>
        <v>#DIV/0!</v>
      </c>
      <c r="X163" s="538" t="e">
        <f>IF(INPUTS!$B$15="yes",W163,V163)</f>
        <v>#DIV/0!</v>
      </c>
      <c r="Y163" s="536" t="e">
        <f t="shared" si="41"/>
        <v>#DIV/0!</v>
      </c>
      <c r="Z163" s="537" t="e">
        <f t="shared" si="46"/>
        <v>#DIV/0!</v>
      </c>
      <c r="AA163" s="538" t="e">
        <f>IF(INPUTS!$B$15="yes",Z163,Y163)</f>
        <v>#DIV/0!</v>
      </c>
      <c r="AB163" s="536" t="e">
        <f t="shared" si="42"/>
        <v>#DIV/0!</v>
      </c>
      <c r="AC163" s="537" t="e">
        <f t="shared" si="47"/>
        <v>#DIV/0!</v>
      </c>
      <c r="AD163" s="538" t="e">
        <f>IF(INPUTS!$B$15="yes",AC163,AB163)</f>
        <v>#DIV/0!</v>
      </c>
      <c r="AE163" s="36" t="str">
        <f t="shared" si="48"/>
        <v>no</v>
      </c>
      <c r="AF163" s="36"/>
      <c r="AG163" s="389" t="e">
        <f>P163*('upper bound Kenaga'!$F$36/100)</f>
        <v>#DIV/0!</v>
      </c>
      <c r="AH163" s="36"/>
      <c r="AI163" s="389" t="e">
        <f>P163*('upper bound Kenaga'!$F$96/100)</f>
        <v>#DIV/0!</v>
      </c>
      <c r="AJ163" s="36"/>
      <c r="AK163" s="36"/>
      <c r="AL163" s="36"/>
      <c r="AM163" s="36"/>
      <c r="AN163" s="36"/>
      <c r="AO163" s="36"/>
    </row>
    <row r="164" spans="10:41" s="1" customFormat="1">
      <c r="J164" s="6">
        <f>COUNTIF(K$21:K164,"=yes")</f>
        <v>1</v>
      </c>
      <c r="K164" s="533" t="str">
        <f>IF(LOOKUP(VALUE(M164),INPUTS!$G$6:$G$35)=M164,"yes","no")</f>
        <v>no</v>
      </c>
      <c r="L164" s="533">
        <f>IF(K164="yes",(LOOKUP(J164,INPUTS!$E$6:$E$35,INPUTS!$F$6:$F$35)),0)</f>
        <v>0</v>
      </c>
      <c r="M164" s="135">
        <f t="shared" si="36"/>
        <v>143</v>
      </c>
      <c r="N164" s="135">
        <f t="shared" si="37"/>
        <v>1</v>
      </c>
      <c r="O164" s="135">
        <f t="shared" si="38"/>
        <v>0</v>
      </c>
      <c r="P164" s="536" t="e">
        <f t="shared" si="49"/>
        <v>#DIV/0!</v>
      </c>
      <c r="Q164" s="537" t="e">
        <f t="shared" si="43"/>
        <v>#DIV/0!</v>
      </c>
      <c r="R164" s="538" t="e">
        <f>IF(INPUTS!$B$15="yes",Q164,P164)</f>
        <v>#DIV/0!</v>
      </c>
      <c r="S164" s="536" t="e">
        <f t="shared" si="39"/>
        <v>#DIV/0!</v>
      </c>
      <c r="T164" s="537" t="e">
        <f t="shared" si="44"/>
        <v>#DIV/0!</v>
      </c>
      <c r="U164" s="538" t="e">
        <f>IF(INPUTS!$B$15="yes",T164,S164)</f>
        <v>#DIV/0!</v>
      </c>
      <c r="V164" s="536" t="e">
        <f t="shared" si="40"/>
        <v>#DIV/0!</v>
      </c>
      <c r="W164" s="537" t="e">
        <f t="shared" si="45"/>
        <v>#DIV/0!</v>
      </c>
      <c r="X164" s="538" t="e">
        <f>IF(INPUTS!$B$15="yes",W164,V164)</f>
        <v>#DIV/0!</v>
      </c>
      <c r="Y164" s="536" t="e">
        <f t="shared" si="41"/>
        <v>#DIV/0!</v>
      </c>
      <c r="Z164" s="537" t="e">
        <f t="shared" si="46"/>
        <v>#DIV/0!</v>
      </c>
      <c r="AA164" s="538" t="e">
        <f>IF(INPUTS!$B$15="yes",Z164,Y164)</f>
        <v>#DIV/0!</v>
      </c>
      <c r="AB164" s="536" t="e">
        <f t="shared" si="42"/>
        <v>#DIV/0!</v>
      </c>
      <c r="AC164" s="537" t="e">
        <f t="shared" si="47"/>
        <v>#DIV/0!</v>
      </c>
      <c r="AD164" s="538" t="e">
        <f>IF(INPUTS!$B$15="yes",AC164,AB164)</f>
        <v>#DIV/0!</v>
      </c>
      <c r="AE164" s="36" t="str">
        <f t="shared" si="48"/>
        <v>no</v>
      </c>
      <c r="AF164" s="36"/>
      <c r="AG164" s="389" t="e">
        <f>P164*('upper bound Kenaga'!$F$36/100)</f>
        <v>#DIV/0!</v>
      </c>
      <c r="AH164" s="36"/>
      <c r="AI164" s="389" t="e">
        <f>P164*('upper bound Kenaga'!$F$96/100)</f>
        <v>#DIV/0!</v>
      </c>
      <c r="AJ164" s="36"/>
      <c r="AK164" s="36"/>
      <c r="AL164" s="36"/>
      <c r="AM164" s="36"/>
      <c r="AN164" s="36"/>
      <c r="AO164" s="36"/>
    </row>
    <row r="165" spans="10:41" s="1" customFormat="1">
      <c r="J165" s="6">
        <f>COUNTIF(K$21:K165,"=yes")</f>
        <v>1</v>
      </c>
      <c r="K165" s="533" t="str">
        <f>IF(LOOKUP(VALUE(M165),INPUTS!$G$6:$G$35)=M165,"yes","no")</f>
        <v>no</v>
      </c>
      <c r="L165" s="533">
        <f>IF(K165="yes",(LOOKUP(J165,INPUTS!$E$6:$E$35,INPUTS!$F$6:$F$35)),0)</f>
        <v>0</v>
      </c>
      <c r="M165" s="135">
        <f t="shared" si="36"/>
        <v>144</v>
      </c>
      <c r="N165" s="135">
        <f t="shared" si="37"/>
        <v>1</v>
      </c>
      <c r="O165" s="135">
        <f t="shared" si="38"/>
        <v>0</v>
      </c>
      <c r="P165" s="536" t="e">
        <f t="shared" si="49"/>
        <v>#DIV/0!</v>
      </c>
      <c r="Q165" s="537" t="e">
        <f t="shared" si="43"/>
        <v>#DIV/0!</v>
      </c>
      <c r="R165" s="538" t="e">
        <f>IF(INPUTS!$B$15="yes",Q165,P165)</f>
        <v>#DIV/0!</v>
      </c>
      <c r="S165" s="536" t="e">
        <f t="shared" si="39"/>
        <v>#DIV/0!</v>
      </c>
      <c r="T165" s="537" t="e">
        <f t="shared" si="44"/>
        <v>#DIV/0!</v>
      </c>
      <c r="U165" s="538" t="e">
        <f>IF(INPUTS!$B$15="yes",T165,S165)</f>
        <v>#DIV/0!</v>
      </c>
      <c r="V165" s="536" t="e">
        <f t="shared" si="40"/>
        <v>#DIV/0!</v>
      </c>
      <c r="W165" s="537" t="e">
        <f t="shared" si="45"/>
        <v>#DIV/0!</v>
      </c>
      <c r="X165" s="538" t="e">
        <f>IF(INPUTS!$B$15="yes",W165,V165)</f>
        <v>#DIV/0!</v>
      </c>
      <c r="Y165" s="536" t="e">
        <f t="shared" si="41"/>
        <v>#DIV/0!</v>
      </c>
      <c r="Z165" s="537" t="e">
        <f t="shared" si="46"/>
        <v>#DIV/0!</v>
      </c>
      <c r="AA165" s="538" t="e">
        <f>IF(INPUTS!$B$15="yes",Z165,Y165)</f>
        <v>#DIV/0!</v>
      </c>
      <c r="AB165" s="536" t="e">
        <f t="shared" si="42"/>
        <v>#DIV/0!</v>
      </c>
      <c r="AC165" s="537" t="e">
        <f t="shared" si="47"/>
        <v>#DIV/0!</v>
      </c>
      <c r="AD165" s="538" t="e">
        <f>IF(INPUTS!$B$15="yes",AC165,AB165)</f>
        <v>#DIV/0!</v>
      </c>
      <c r="AE165" s="36" t="str">
        <f t="shared" si="48"/>
        <v>no</v>
      </c>
      <c r="AF165" s="36"/>
      <c r="AG165" s="389" t="e">
        <f>P165*('upper bound Kenaga'!$F$36/100)</f>
        <v>#DIV/0!</v>
      </c>
      <c r="AH165" s="36"/>
      <c r="AI165" s="389" t="e">
        <f>P165*('upper bound Kenaga'!$F$96/100)</f>
        <v>#DIV/0!</v>
      </c>
      <c r="AJ165" s="36"/>
      <c r="AK165" s="36"/>
      <c r="AL165" s="36"/>
      <c r="AM165" s="36"/>
      <c r="AN165" s="36"/>
      <c r="AO165" s="36"/>
    </row>
    <row r="166" spans="10:41" s="1" customFormat="1">
      <c r="J166" s="6">
        <f>COUNTIF(K$21:K166,"=yes")</f>
        <v>1</v>
      </c>
      <c r="K166" s="533" t="str">
        <f>IF(LOOKUP(VALUE(M166),INPUTS!$G$6:$G$35)=M166,"yes","no")</f>
        <v>no</v>
      </c>
      <c r="L166" s="533">
        <f>IF(K166="yes",(LOOKUP(J166,INPUTS!$E$6:$E$35,INPUTS!$F$6:$F$35)),0)</f>
        <v>0</v>
      </c>
      <c r="M166" s="135">
        <f t="shared" si="36"/>
        <v>145</v>
      </c>
      <c r="N166" s="135">
        <f t="shared" si="37"/>
        <v>1</v>
      </c>
      <c r="O166" s="135">
        <f t="shared" si="38"/>
        <v>0</v>
      </c>
      <c r="P166" s="536" t="e">
        <f t="shared" si="49"/>
        <v>#DIV/0!</v>
      </c>
      <c r="Q166" s="537" t="e">
        <f t="shared" si="43"/>
        <v>#DIV/0!</v>
      </c>
      <c r="R166" s="538" t="e">
        <f>IF(INPUTS!$B$15="yes",Q166,P166)</f>
        <v>#DIV/0!</v>
      </c>
      <c r="S166" s="536" t="e">
        <f t="shared" si="39"/>
        <v>#DIV/0!</v>
      </c>
      <c r="T166" s="537" t="e">
        <f t="shared" si="44"/>
        <v>#DIV/0!</v>
      </c>
      <c r="U166" s="538" t="e">
        <f>IF(INPUTS!$B$15="yes",T166,S166)</f>
        <v>#DIV/0!</v>
      </c>
      <c r="V166" s="536" t="e">
        <f t="shared" si="40"/>
        <v>#DIV/0!</v>
      </c>
      <c r="W166" s="537" t="e">
        <f t="shared" si="45"/>
        <v>#DIV/0!</v>
      </c>
      <c r="X166" s="538" t="e">
        <f>IF(INPUTS!$B$15="yes",W166,V166)</f>
        <v>#DIV/0!</v>
      </c>
      <c r="Y166" s="536" t="e">
        <f t="shared" si="41"/>
        <v>#DIV/0!</v>
      </c>
      <c r="Z166" s="537" t="e">
        <f t="shared" si="46"/>
        <v>#DIV/0!</v>
      </c>
      <c r="AA166" s="538" t="e">
        <f>IF(INPUTS!$B$15="yes",Z166,Y166)</f>
        <v>#DIV/0!</v>
      </c>
      <c r="AB166" s="536" t="e">
        <f t="shared" si="42"/>
        <v>#DIV/0!</v>
      </c>
      <c r="AC166" s="537" t="e">
        <f t="shared" si="47"/>
        <v>#DIV/0!</v>
      </c>
      <c r="AD166" s="538" t="e">
        <f>IF(INPUTS!$B$15="yes",AC166,AB166)</f>
        <v>#DIV/0!</v>
      </c>
      <c r="AE166" s="36" t="str">
        <f t="shared" si="48"/>
        <v>no</v>
      </c>
      <c r="AF166" s="36"/>
      <c r="AG166" s="389" t="e">
        <f>P166*('upper bound Kenaga'!$F$36/100)</f>
        <v>#DIV/0!</v>
      </c>
      <c r="AH166" s="36"/>
      <c r="AI166" s="389" t="e">
        <f>P166*('upper bound Kenaga'!$F$96/100)</f>
        <v>#DIV/0!</v>
      </c>
      <c r="AJ166" s="36"/>
      <c r="AK166" s="36"/>
      <c r="AL166" s="36"/>
      <c r="AM166" s="36"/>
      <c r="AN166" s="36"/>
      <c r="AO166" s="36"/>
    </row>
    <row r="167" spans="10:41" s="1" customFormat="1">
      <c r="J167" s="6">
        <f>COUNTIF(K$21:K167,"=yes")</f>
        <v>1</v>
      </c>
      <c r="K167" s="533" t="str">
        <f>IF(LOOKUP(VALUE(M167),INPUTS!$G$6:$G$35)=M167,"yes","no")</f>
        <v>no</v>
      </c>
      <c r="L167" s="533">
        <f>IF(K167="yes",(LOOKUP(J167,INPUTS!$E$6:$E$35,INPUTS!$F$6:$F$35)),0)</f>
        <v>0</v>
      </c>
      <c r="M167" s="135">
        <f t="shared" si="36"/>
        <v>146</v>
      </c>
      <c r="N167" s="135">
        <f t="shared" si="37"/>
        <v>1</v>
      </c>
      <c r="O167" s="135">
        <f t="shared" si="38"/>
        <v>0</v>
      </c>
      <c r="P167" s="536" t="e">
        <f t="shared" si="49"/>
        <v>#DIV/0!</v>
      </c>
      <c r="Q167" s="537" t="e">
        <f t="shared" si="43"/>
        <v>#DIV/0!</v>
      </c>
      <c r="R167" s="538" t="e">
        <f>IF(INPUTS!$B$15="yes",Q167,P167)</f>
        <v>#DIV/0!</v>
      </c>
      <c r="S167" s="536" t="e">
        <f t="shared" si="39"/>
        <v>#DIV/0!</v>
      </c>
      <c r="T167" s="537" t="e">
        <f t="shared" si="44"/>
        <v>#DIV/0!</v>
      </c>
      <c r="U167" s="538" t="e">
        <f>IF(INPUTS!$B$15="yes",T167,S167)</f>
        <v>#DIV/0!</v>
      </c>
      <c r="V167" s="536" t="e">
        <f t="shared" si="40"/>
        <v>#DIV/0!</v>
      </c>
      <c r="W167" s="537" t="e">
        <f t="shared" si="45"/>
        <v>#DIV/0!</v>
      </c>
      <c r="X167" s="538" t="e">
        <f>IF(INPUTS!$B$15="yes",W167,V167)</f>
        <v>#DIV/0!</v>
      </c>
      <c r="Y167" s="536" t="e">
        <f t="shared" si="41"/>
        <v>#DIV/0!</v>
      </c>
      <c r="Z167" s="537" t="e">
        <f t="shared" si="46"/>
        <v>#DIV/0!</v>
      </c>
      <c r="AA167" s="538" t="e">
        <f>IF(INPUTS!$B$15="yes",Z167,Y167)</f>
        <v>#DIV/0!</v>
      </c>
      <c r="AB167" s="536" t="e">
        <f t="shared" si="42"/>
        <v>#DIV/0!</v>
      </c>
      <c r="AC167" s="537" t="e">
        <f t="shared" si="47"/>
        <v>#DIV/0!</v>
      </c>
      <c r="AD167" s="538" t="e">
        <f>IF(INPUTS!$B$15="yes",AC167,AB167)</f>
        <v>#DIV/0!</v>
      </c>
      <c r="AE167" s="36" t="str">
        <f t="shared" si="48"/>
        <v>no</v>
      </c>
      <c r="AF167" s="36"/>
      <c r="AG167" s="389" t="e">
        <f>P167*('upper bound Kenaga'!$F$36/100)</f>
        <v>#DIV/0!</v>
      </c>
      <c r="AH167" s="36"/>
      <c r="AI167" s="389" t="e">
        <f>P167*('upper bound Kenaga'!$F$96/100)</f>
        <v>#DIV/0!</v>
      </c>
      <c r="AJ167" s="36"/>
      <c r="AK167" s="36"/>
      <c r="AL167" s="36"/>
      <c r="AM167" s="36"/>
      <c r="AN167" s="36"/>
      <c r="AO167" s="36"/>
    </row>
    <row r="168" spans="10:41" s="1" customFormat="1">
      <c r="J168" s="6">
        <f>COUNTIF(K$21:K168,"=yes")</f>
        <v>1</v>
      </c>
      <c r="K168" s="533" t="str">
        <f>IF(LOOKUP(VALUE(M168),INPUTS!$G$6:$G$35)=M168,"yes","no")</f>
        <v>no</v>
      </c>
      <c r="L168" s="533">
        <f>IF(K168="yes",(LOOKUP(J168,INPUTS!$E$6:$E$35,INPUTS!$F$6:$F$35)),0)</f>
        <v>0</v>
      </c>
      <c r="M168" s="135">
        <f t="shared" si="36"/>
        <v>147</v>
      </c>
      <c r="N168" s="135">
        <f t="shared" si="37"/>
        <v>1</v>
      </c>
      <c r="O168" s="135">
        <f t="shared" si="38"/>
        <v>0</v>
      </c>
      <c r="P168" s="536" t="e">
        <f t="shared" si="49"/>
        <v>#DIV/0!</v>
      </c>
      <c r="Q168" s="537" t="e">
        <f t="shared" si="43"/>
        <v>#DIV/0!</v>
      </c>
      <c r="R168" s="538" t="e">
        <f>IF(INPUTS!$B$15="yes",Q168,P168)</f>
        <v>#DIV/0!</v>
      </c>
      <c r="S168" s="536" t="e">
        <f t="shared" si="39"/>
        <v>#DIV/0!</v>
      </c>
      <c r="T168" s="537" t="e">
        <f t="shared" si="44"/>
        <v>#DIV/0!</v>
      </c>
      <c r="U168" s="538" t="e">
        <f>IF(INPUTS!$B$15="yes",T168,S168)</f>
        <v>#DIV/0!</v>
      </c>
      <c r="V168" s="536" t="e">
        <f t="shared" si="40"/>
        <v>#DIV/0!</v>
      </c>
      <c r="W168" s="537" t="e">
        <f t="shared" si="45"/>
        <v>#DIV/0!</v>
      </c>
      <c r="X168" s="538" t="e">
        <f>IF(INPUTS!$B$15="yes",W168,V168)</f>
        <v>#DIV/0!</v>
      </c>
      <c r="Y168" s="536" t="e">
        <f t="shared" si="41"/>
        <v>#DIV/0!</v>
      </c>
      <c r="Z168" s="537" t="e">
        <f t="shared" si="46"/>
        <v>#DIV/0!</v>
      </c>
      <c r="AA168" s="538" t="e">
        <f>IF(INPUTS!$B$15="yes",Z168,Y168)</f>
        <v>#DIV/0!</v>
      </c>
      <c r="AB168" s="536" t="e">
        <f t="shared" si="42"/>
        <v>#DIV/0!</v>
      </c>
      <c r="AC168" s="537" t="e">
        <f t="shared" si="47"/>
        <v>#DIV/0!</v>
      </c>
      <c r="AD168" s="538" t="e">
        <f>IF(INPUTS!$B$15="yes",AC168,AB168)</f>
        <v>#DIV/0!</v>
      </c>
      <c r="AE168" s="36" t="str">
        <f t="shared" si="48"/>
        <v>no</v>
      </c>
      <c r="AF168" s="36"/>
      <c r="AG168" s="389" t="e">
        <f>P168*('upper bound Kenaga'!$F$36/100)</f>
        <v>#DIV/0!</v>
      </c>
      <c r="AH168" s="36"/>
      <c r="AI168" s="389" t="e">
        <f>P168*('upper bound Kenaga'!$F$96/100)</f>
        <v>#DIV/0!</v>
      </c>
      <c r="AJ168" s="36"/>
      <c r="AK168" s="36"/>
      <c r="AL168" s="36"/>
      <c r="AM168" s="36"/>
      <c r="AN168" s="36"/>
      <c r="AO168" s="36"/>
    </row>
    <row r="169" spans="10:41" s="1" customFormat="1">
      <c r="J169" s="6">
        <f>COUNTIF(K$21:K169,"=yes")</f>
        <v>1</v>
      </c>
      <c r="K169" s="533" t="str">
        <f>IF(LOOKUP(VALUE(M169),INPUTS!$G$6:$G$35)=M169,"yes","no")</f>
        <v>no</v>
      </c>
      <c r="L169" s="533">
        <f>IF(K169="yes",(LOOKUP(J169,INPUTS!$E$6:$E$35,INPUTS!$F$6:$F$35)),0)</f>
        <v>0</v>
      </c>
      <c r="M169" s="135">
        <f t="shared" si="36"/>
        <v>148</v>
      </c>
      <c r="N169" s="135">
        <f t="shared" si="37"/>
        <v>1</v>
      </c>
      <c r="O169" s="135">
        <f t="shared" si="38"/>
        <v>0</v>
      </c>
      <c r="P169" s="536" t="e">
        <f t="shared" si="49"/>
        <v>#DIV/0!</v>
      </c>
      <c r="Q169" s="537" t="e">
        <f t="shared" si="43"/>
        <v>#DIV/0!</v>
      </c>
      <c r="R169" s="538" t="e">
        <f>IF(INPUTS!$B$15="yes",Q169,P169)</f>
        <v>#DIV/0!</v>
      </c>
      <c r="S169" s="536" t="e">
        <f t="shared" si="39"/>
        <v>#DIV/0!</v>
      </c>
      <c r="T169" s="537" t="e">
        <f t="shared" si="44"/>
        <v>#DIV/0!</v>
      </c>
      <c r="U169" s="538" t="e">
        <f>IF(INPUTS!$B$15="yes",T169,S169)</f>
        <v>#DIV/0!</v>
      </c>
      <c r="V169" s="536" t="e">
        <f t="shared" si="40"/>
        <v>#DIV/0!</v>
      </c>
      <c r="W169" s="537" t="e">
        <f t="shared" si="45"/>
        <v>#DIV/0!</v>
      </c>
      <c r="X169" s="538" t="e">
        <f>IF(INPUTS!$B$15="yes",W169,V169)</f>
        <v>#DIV/0!</v>
      </c>
      <c r="Y169" s="536" t="e">
        <f t="shared" si="41"/>
        <v>#DIV/0!</v>
      </c>
      <c r="Z169" s="537" t="e">
        <f t="shared" si="46"/>
        <v>#DIV/0!</v>
      </c>
      <c r="AA169" s="538" t="e">
        <f>IF(INPUTS!$B$15="yes",Z169,Y169)</f>
        <v>#DIV/0!</v>
      </c>
      <c r="AB169" s="536" t="e">
        <f t="shared" si="42"/>
        <v>#DIV/0!</v>
      </c>
      <c r="AC169" s="537" t="e">
        <f t="shared" si="47"/>
        <v>#DIV/0!</v>
      </c>
      <c r="AD169" s="538" t="e">
        <f>IF(INPUTS!$B$15="yes",AC169,AB169)</f>
        <v>#DIV/0!</v>
      </c>
      <c r="AE169" s="36" t="str">
        <f t="shared" si="48"/>
        <v>no</v>
      </c>
      <c r="AF169" s="36"/>
      <c r="AG169" s="389" t="e">
        <f>P169*('upper bound Kenaga'!$F$36/100)</f>
        <v>#DIV/0!</v>
      </c>
      <c r="AH169" s="36"/>
      <c r="AI169" s="389" t="e">
        <f>P169*('upper bound Kenaga'!$F$96/100)</f>
        <v>#DIV/0!</v>
      </c>
      <c r="AJ169" s="36"/>
      <c r="AK169" s="36"/>
      <c r="AL169" s="36"/>
      <c r="AM169" s="36"/>
      <c r="AN169" s="36"/>
      <c r="AO169" s="36"/>
    </row>
    <row r="170" spans="10:41" s="1" customFormat="1">
      <c r="J170" s="6">
        <f>COUNTIF(K$21:K170,"=yes")</f>
        <v>1</v>
      </c>
      <c r="K170" s="533" t="str">
        <f>IF(LOOKUP(VALUE(M170),INPUTS!$G$6:$G$35)=M170,"yes","no")</f>
        <v>no</v>
      </c>
      <c r="L170" s="533">
        <f>IF(K170="yes",(LOOKUP(J170,INPUTS!$E$6:$E$35,INPUTS!$F$6:$F$35)),0)</f>
        <v>0</v>
      </c>
      <c r="M170" s="135">
        <f t="shared" si="36"/>
        <v>149</v>
      </c>
      <c r="N170" s="135">
        <f t="shared" si="37"/>
        <v>1</v>
      </c>
      <c r="O170" s="135">
        <f t="shared" si="38"/>
        <v>0</v>
      </c>
      <c r="P170" s="536" t="e">
        <f t="shared" si="49"/>
        <v>#DIV/0!</v>
      </c>
      <c r="Q170" s="537" t="e">
        <f t="shared" si="43"/>
        <v>#DIV/0!</v>
      </c>
      <c r="R170" s="538" t="e">
        <f>IF(INPUTS!$B$15="yes",Q170,P170)</f>
        <v>#DIV/0!</v>
      </c>
      <c r="S170" s="536" t="e">
        <f t="shared" si="39"/>
        <v>#DIV/0!</v>
      </c>
      <c r="T170" s="537" t="e">
        <f t="shared" si="44"/>
        <v>#DIV/0!</v>
      </c>
      <c r="U170" s="538" t="e">
        <f>IF(INPUTS!$B$15="yes",T170,S170)</f>
        <v>#DIV/0!</v>
      </c>
      <c r="V170" s="536" t="e">
        <f t="shared" si="40"/>
        <v>#DIV/0!</v>
      </c>
      <c r="W170" s="537" t="e">
        <f t="shared" si="45"/>
        <v>#DIV/0!</v>
      </c>
      <c r="X170" s="538" t="e">
        <f>IF(INPUTS!$B$15="yes",W170,V170)</f>
        <v>#DIV/0!</v>
      </c>
      <c r="Y170" s="536" t="e">
        <f t="shared" si="41"/>
        <v>#DIV/0!</v>
      </c>
      <c r="Z170" s="537" t="e">
        <f t="shared" si="46"/>
        <v>#DIV/0!</v>
      </c>
      <c r="AA170" s="538" t="e">
        <f>IF(INPUTS!$B$15="yes",Z170,Y170)</f>
        <v>#DIV/0!</v>
      </c>
      <c r="AB170" s="536" t="e">
        <f t="shared" si="42"/>
        <v>#DIV/0!</v>
      </c>
      <c r="AC170" s="537" t="e">
        <f t="shared" si="47"/>
        <v>#DIV/0!</v>
      </c>
      <c r="AD170" s="538" t="e">
        <f>IF(INPUTS!$B$15="yes",AC170,AB170)</f>
        <v>#DIV/0!</v>
      </c>
      <c r="AE170" s="36" t="str">
        <f t="shared" si="48"/>
        <v>no</v>
      </c>
      <c r="AF170" s="36"/>
      <c r="AG170" s="389" t="e">
        <f>P170*('upper bound Kenaga'!$F$36/100)</f>
        <v>#DIV/0!</v>
      </c>
      <c r="AH170" s="36"/>
      <c r="AI170" s="389" t="e">
        <f>P170*('upper bound Kenaga'!$F$96/100)</f>
        <v>#DIV/0!</v>
      </c>
      <c r="AJ170" s="36"/>
      <c r="AK170" s="36"/>
      <c r="AL170" s="36"/>
      <c r="AM170" s="36"/>
      <c r="AN170" s="36"/>
      <c r="AO170" s="36"/>
    </row>
    <row r="171" spans="10:41" s="1" customFormat="1">
      <c r="J171" s="6">
        <f>COUNTIF(K$21:K171,"=yes")</f>
        <v>1</v>
      </c>
      <c r="K171" s="533" t="str">
        <f>IF(LOOKUP(VALUE(M171),INPUTS!$G$6:$G$35)=M171,"yes","no")</f>
        <v>no</v>
      </c>
      <c r="L171" s="533">
        <f>IF(K171="yes",(LOOKUP(J171,INPUTS!$E$6:$E$35,INPUTS!$F$6:$F$35)),0)</f>
        <v>0</v>
      </c>
      <c r="M171" s="135">
        <f t="shared" si="36"/>
        <v>150</v>
      </c>
      <c r="N171" s="135">
        <f t="shared" si="37"/>
        <v>1</v>
      </c>
      <c r="O171" s="135">
        <f t="shared" si="38"/>
        <v>0</v>
      </c>
      <c r="P171" s="536" t="e">
        <f t="shared" si="49"/>
        <v>#DIV/0!</v>
      </c>
      <c r="Q171" s="537" t="e">
        <f t="shared" si="43"/>
        <v>#DIV/0!</v>
      </c>
      <c r="R171" s="538" t="e">
        <f>IF(INPUTS!$B$15="yes",Q171,P171)</f>
        <v>#DIV/0!</v>
      </c>
      <c r="S171" s="536" t="e">
        <f t="shared" si="39"/>
        <v>#DIV/0!</v>
      </c>
      <c r="T171" s="537" t="e">
        <f t="shared" si="44"/>
        <v>#DIV/0!</v>
      </c>
      <c r="U171" s="538" t="e">
        <f>IF(INPUTS!$B$15="yes",T171,S171)</f>
        <v>#DIV/0!</v>
      </c>
      <c r="V171" s="536" t="e">
        <f t="shared" si="40"/>
        <v>#DIV/0!</v>
      </c>
      <c r="W171" s="537" t="e">
        <f t="shared" si="45"/>
        <v>#DIV/0!</v>
      </c>
      <c r="X171" s="538" t="e">
        <f>IF(INPUTS!$B$15="yes",W171,V171)</f>
        <v>#DIV/0!</v>
      </c>
      <c r="Y171" s="536" t="e">
        <f t="shared" si="41"/>
        <v>#DIV/0!</v>
      </c>
      <c r="Z171" s="537" t="e">
        <f t="shared" si="46"/>
        <v>#DIV/0!</v>
      </c>
      <c r="AA171" s="538" t="e">
        <f>IF(INPUTS!$B$15="yes",Z171,Y171)</f>
        <v>#DIV/0!</v>
      </c>
      <c r="AB171" s="536" t="e">
        <f t="shared" si="42"/>
        <v>#DIV/0!</v>
      </c>
      <c r="AC171" s="537" t="e">
        <f t="shared" si="47"/>
        <v>#DIV/0!</v>
      </c>
      <c r="AD171" s="538" t="e">
        <f>IF(INPUTS!$B$15="yes",AC171,AB171)</f>
        <v>#DIV/0!</v>
      </c>
      <c r="AE171" s="36" t="str">
        <f t="shared" si="48"/>
        <v>no</v>
      </c>
      <c r="AF171" s="36"/>
      <c r="AG171" s="389" t="e">
        <f>P171*('upper bound Kenaga'!$F$36/100)</f>
        <v>#DIV/0!</v>
      </c>
      <c r="AH171" s="36"/>
      <c r="AI171" s="389" t="e">
        <f>P171*('upper bound Kenaga'!$F$96/100)</f>
        <v>#DIV/0!</v>
      </c>
      <c r="AJ171" s="36"/>
      <c r="AK171" s="36"/>
      <c r="AL171" s="36"/>
      <c r="AM171" s="36"/>
      <c r="AN171" s="36"/>
      <c r="AO171" s="36"/>
    </row>
    <row r="172" spans="10:41" s="1" customFormat="1">
      <c r="J172" s="6">
        <f>COUNTIF(K$21:K172,"=yes")</f>
        <v>1</v>
      </c>
      <c r="K172" s="533" t="str">
        <f>IF(LOOKUP(VALUE(M172),INPUTS!$G$6:$G$35)=M172,"yes","no")</f>
        <v>no</v>
      </c>
      <c r="L172" s="533">
        <f>IF(K172="yes",(LOOKUP(J172,INPUTS!$E$6:$E$35,INPUTS!$F$6:$F$35)),0)</f>
        <v>0</v>
      </c>
      <c r="M172" s="135">
        <f t="shared" si="36"/>
        <v>151</v>
      </c>
      <c r="N172" s="135">
        <f t="shared" si="37"/>
        <v>1</v>
      </c>
      <c r="O172" s="135">
        <f t="shared" si="38"/>
        <v>0</v>
      </c>
      <c r="P172" s="536" t="e">
        <f t="shared" si="49"/>
        <v>#DIV/0!</v>
      </c>
      <c r="Q172" s="537" t="e">
        <f t="shared" si="43"/>
        <v>#DIV/0!</v>
      </c>
      <c r="R172" s="538" t="e">
        <f>IF(INPUTS!$B$15="yes",Q172,P172)</f>
        <v>#DIV/0!</v>
      </c>
      <c r="S172" s="536" t="e">
        <f t="shared" si="39"/>
        <v>#DIV/0!</v>
      </c>
      <c r="T172" s="537" t="e">
        <f t="shared" si="44"/>
        <v>#DIV/0!</v>
      </c>
      <c r="U172" s="538" t="e">
        <f>IF(INPUTS!$B$15="yes",T172,S172)</f>
        <v>#DIV/0!</v>
      </c>
      <c r="V172" s="536" t="e">
        <f t="shared" si="40"/>
        <v>#DIV/0!</v>
      </c>
      <c r="W172" s="537" t="e">
        <f t="shared" si="45"/>
        <v>#DIV/0!</v>
      </c>
      <c r="X172" s="538" t="e">
        <f>IF(INPUTS!$B$15="yes",W172,V172)</f>
        <v>#DIV/0!</v>
      </c>
      <c r="Y172" s="536" t="e">
        <f t="shared" si="41"/>
        <v>#DIV/0!</v>
      </c>
      <c r="Z172" s="537" t="e">
        <f t="shared" si="46"/>
        <v>#DIV/0!</v>
      </c>
      <c r="AA172" s="538" t="e">
        <f>IF(INPUTS!$B$15="yes",Z172,Y172)</f>
        <v>#DIV/0!</v>
      </c>
      <c r="AB172" s="536" t="e">
        <f t="shared" si="42"/>
        <v>#DIV/0!</v>
      </c>
      <c r="AC172" s="537" t="e">
        <f t="shared" si="47"/>
        <v>#DIV/0!</v>
      </c>
      <c r="AD172" s="538" t="e">
        <f>IF(INPUTS!$B$15="yes",AC172,AB172)</f>
        <v>#DIV/0!</v>
      </c>
      <c r="AE172" s="36" t="str">
        <f t="shared" si="48"/>
        <v>no</v>
      </c>
      <c r="AF172" s="36"/>
      <c r="AG172" s="389" t="e">
        <f>P172*('upper bound Kenaga'!$F$36/100)</f>
        <v>#DIV/0!</v>
      </c>
      <c r="AH172" s="36"/>
      <c r="AI172" s="389" t="e">
        <f>P172*('upper bound Kenaga'!$F$96/100)</f>
        <v>#DIV/0!</v>
      </c>
      <c r="AJ172" s="36"/>
      <c r="AK172" s="36"/>
      <c r="AL172" s="36"/>
      <c r="AM172" s="36"/>
      <c r="AN172" s="36"/>
      <c r="AO172" s="36"/>
    </row>
    <row r="173" spans="10:41" s="1" customFormat="1">
      <c r="J173" s="6">
        <f>COUNTIF(K$21:K173,"=yes")</f>
        <v>1</v>
      </c>
      <c r="K173" s="533" t="str">
        <f>IF(LOOKUP(VALUE(M173),INPUTS!$G$6:$G$35)=M173,"yes","no")</f>
        <v>no</v>
      </c>
      <c r="L173" s="533">
        <f>IF(K173="yes",(LOOKUP(J173,INPUTS!$E$6:$E$35,INPUTS!$F$6:$F$35)),0)</f>
        <v>0</v>
      </c>
      <c r="M173" s="135">
        <f t="shared" si="36"/>
        <v>152</v>
      </c>
      <c r="N173" s="135">
        <f t="shared" si="37"/>
        <v>1</v>
      </c>
      <c r="O173" s="135">
        <f t="shared" si="38"/>
        <v>0</v>
      </c>
      <c r="P173" s="536" t="e">
        <f t="shared" si="49"/>
        <v>#DIV/0!</v>
      </c>
      <c r="Q173" s="537" t="e">
        <f t="shared" si="43"/>
        <v>#DIV/0!</v>
      </c>
      <c r="R173" s="538" t="e">
        <f>IF(INPUTS!$B$15="yes",Q173,P173)</f>
        <v>#DIV/0!</v>
      </c>
      <c r="S173" s="536" t="e">
        <f t="shared" si="39"/>
        <v>#DIV/0!</v>
      </c>
      <c r="T173" s="537" t="e">
        <f t="shared" si="44"/>
        <v>#DIV/0!</v>
      </c>
      <c r="U173" s="538" t="e">
        <f>IF(INPUTS!$B$15="yes",T173,S173)</f>
        <v>#DIV/0!</v>
      </c>
      <c r="V173" s="536" t="e">
        <f t="shared" si="40"/>
        <v>#DIV/0!</v>
      </c>
      <c r="W173" s="537" t="e">
        <f t="shared" si="45"/>
        <v>#DIV/0!</v>
      </c>
      <c r="X173" s="538" t="e">
        <f>IF(INPUTS!$B$15="yes",W173,V173)</f>
        <v>#DIV/0!</v>
      </c>
      <c r="Y173" s="536" t="e">
        <f t="shared" si="41"/>
        <v>#DIV/0!</v>
      </c>
      <c r="Z173" s="537" t="e">
        <f t="shared" si="46"/>
        <v>#DIV/0!</v>
      </c>
      <c r="AA173" s="538" t="e">
        <f>IF(INPUTS!$B$15="yes",Z173,Y173)</f>
        <v>#DIV/0!</v>
      </c>
      <c r="AB173" s="536" t="e">
        <f t="shared" si="42"/>
        <v>#DIV/0!</v>
      </c>
      <c r="AC173" s="537" t="e">
        <f t="shared" si="47"/>
        <v>#DIV/0!</v>
      </c>
      <c r="AD173" s="538" t="e">
        <f>IF(INPUTS!$B$15="yes",AC173,AB173)</f>
        <v>#DIV/0!</v>
      </c>
      <c r="AE173" s="36" t="str">
        <f t="shared" si="48"/>
        <v>no</v>
      </c>
      <c r="AF173" s="36"/>
      <c r="AG173" s="389" t="e">
        <f>P173*('upper bound Kenaga'!$F$36/100)</f>
        <v>#DIV/0!</v>
      </c>
      <c r="AH173" s="36"/>
      <c r="AI173" s="389" t="e">
        <f>P173*('upper bound Kenaga'!$F$96/100)</f>
        <v>#DIV/0!</v>
      </c>
      <c r="AJ173" s="36"/>
      <c r="AK173" s="36"/>
      <c r="AL173" s="36"/>
      <c r="AM173" s="36"/>
      <c r="AN173" s="36"/>
      <c r="AO173" s="36"/>
    </row>
    <row r="174" spans="10:41" s="1" customFormat="1">
      <c r="J174" s="6">
        <f>COUNTIF(K$21:K174,"=yes")</f>
        <v>1</v>
      </c>
      <c r="K174" s="533" t="str">
        <f>IF(LOOKUP(VALUE(M174),INPUTS!$G$6:$G$35)=M174,"yes","no")</f>
        <v>no</v>
      </c>
      <c r="L174" s="533">
        <f>IF(K174="yes",(LOOKUP(J174,INPUTS!$E$6:$E$35,INPUTS!$F$6:$F$35)),0)</f>
        <v>0</v>
      </c>
      <c r="M174" s="135">
        <f t="shared" si="36"/>
        <v>153</v>
      </c>
      <c r="N174" s="135">
        <f t="shared" si="37"/>
        <v>1</v>
      </c>
      <c r="O174" s="135">
        <f t="shared" si="38"/>
        <v>0</v>
      </c>
      <c r="P174" s="536" t="e">
        <f t="shared" si="49"/>
        <v>#DIV/0!</v>
      </c>
      <c r="Q174" s="537" t="e">
        <f t="shared" si="43"/>
        <v>#DIV/0!</v>
      </c>
      <c r="R174" s="538" t="e">
        <f>IF(INPUTS!$B$15="yes",Q174,P174)</f>
        <v>#DIV/0!</v>
      </c>
      <c r="S174" s="536" t="e">
        <f t="shared" si="39"/>
        <v>#DIV/0!</v>
      </c>
      <c r="T174" s="537" t="e">
        <f t="shared" si="44"/>
        <v>#DIV/0!</v>
      </c>
      <c r="U174" s="538" t="e">
        <f>IF(INPUTS!$B$15="yes",T174,S174)</f>
        <v>#DIV/0!</v>
      </c>
      <c r="V174" s="536" t="e">
        <f t="shared" si="40"/>
        <v>#DIV/0!</v>
      </c>
      <c r="W174" s="537" t="e">
        <f t="shared" si="45"/>
        <v>#DIV/0!</v>
      </c>
      <c r="X174" s="538" t="e">
        <f>IF(INPUTS!$B$15="yes",W174,V174)</f>
        <v>#DIV/0!</v>
      </c>
      <c r="Y174" s="536" t="e">
        <f t="shared" si="41"/>
        <v>#DIV/0!</v>
      </c>
      <c r="Z174" s="537" t="e">
        <f t="shared" si="46"/>
        <v>#DIV/0!</v>
      </c>
      <c r="AA174" s="538" t="e">
        <f>IF(INPUTS!$B$15="yes",Z174,Y174)</f>
        <v>#DIV/0!</v>
      </c>
      <c r="AB174" s="536" t="e">
        <f t="shared" si="42"/>
        <v>#DIV/0!</v>
      </c>
      <c r="AC174" s="537" t="e">
        <f t="shared" si="47"/>
        <v>#DIV/0!</v>
      </c>
      <c r="AD174" s="538" t="e">
        <f>IF(INPUTS!$B$15="yes",AC174,AB174)</f>
        <v>#DIV/0!</v>
      </c>
      <c r="AE174" s="36" t="str">
        <f t="shared" si="48"/>
        <v>no</v>
      </c>
      <c r="AF174" s="36"/>
      <c r="AG174" s="389" t="e">
        <f>P174*('upper bound Kenaga'!$F$36/100)</f>
        <v>#DIV/0!</v>
      </c>
      <c r="AH174" s="36"/>
      <c r="AI174" s="389" t="e">
        <f>P174*('upper bound Kenaga'!$F$96/100)</f>
        <v>#DIV/0!</v>
      </c>
      <c r="AJ174" s="36"/>
      <c r="AK174" s="36"/>
      <c r="AL174" s="36"/>
      <c r="AM174" s="36"/>
      <c r="AN174" s="36"/>
      <c r="AO174" s="36"/>
    </row>
    <row r="175" spans="10:41" s="1" customFormat="1">
      <c r="J175" s="6">
        <f>COUNTIF(K$21:K175,"=yes")</f>
        <v>1</v>
      </c>
      <c r="K175" s="533" t="str">
        <f>IF(LOOKUP(VALUE(M175),INPUTS!$G$6:$G$35)=M175,"yes","no")</f>
        <v>no</v>
      </c>
      <c r="L175" s="533">
        <f>IF(K175="yes",(LOOKUP(J175,INPUTS!$E$6:$E$35,INPUTS!$F$6:$F$35)),0)</f>
        <v>0</v>
      </c>
      <c r="M175" s="135">
        <f t="shared" si="36"/>
        <v>154</v>
      </c>
      <c r="N175" s="135">
        <f t="shared" si="37"/>
        <v>1</v>
      </c>
      <c r="O175" s="135">
        <f t="shared" si="38"/>
        <v>0</v>
      </c>
      <c r="P175" s="536" t="e">
        <f t="shared" si="49"/>
        <v>#DIV/0!</v>
      </c>
      <c r="Q175" s="537" t="e">
        <f t="shared" si="43"/>
        <v>#DIV/0!</v>
      </c>
      <c r="R175" s="538" t="e">
        <f>IF(INPUTS!$B$15="yes",Q175,P175)</f>
        <v>#DIV/0!</v>
      </c>
      <c r="S175" s="536" t="e">
        <f t="shared" si="39"/>
        <v>#DIV/0!</v>
      </c>
      <c r="T175" s="537" t="e">
        <f t="shared" si="44"/>
        <v>#DIV/0!</v>
      </c>
      <c r="U175" s="538" t="e">
        <f>IF(INPUTS!$B$15="yes",T175,S175)</f>
        <v>#DIV/0!</v>
      </c>
      <c r="V175" s="536" t="e">
        <f t="shared" si="40"/>
        <v>#DIV/0!</v>
      </c>
      <c r="W175" s="537" t="e">
        <f t="shared" si="45"/>
        <v>#DIV/0!</v>
      </c>
      <c r="X175" s="538" t="e">
        <f>IF(INPUTS!$B$15="yes",W175,V175)</f>
        <v>#DIV/0!</v>
      </c>
      <c r="Y175" s="536" t="e">
        <f t="shared" si="41"/>
        <v>#DIV/0!</v>
      </c>
      <c r="Z175" s="537" t="e">
        <f t="shared" si="46"/>
        <v>#DIV/0!</v>
      </c>
      <c r="AA175" s="538" t="e">
        <f>IF(INPUTS!$B$15="yes",Z175,Y175)</f>
        <v>#DIV/0!</v>
      </c>
      <c r="AB175" s="536" t="e">
        <f t="shared" si="42"/>
        <v>#DIV/0!</v>
      </c>
      <c r="AC175" s="537" t="e">
        <f t="shared" si="47"/>
        <v>#DIV/0!</v>
      </c>
      <c r="AD175" s="538" t="e">
        <f>IF(INPUTS!$B$15="yes",AC175,AB175)</f>
        <v>#DIV/0!</v>
      </c>
      <c r="AE175" s="36" t="str">
        <f t="shared" si="48"/>
        <v>no</v>
      </c>
      <c r="AF175" s="36"/>
      <c r="AG175" s="389" t="e">
        <f>P175*('upper bound Kenaga'!$F$36/100)</f>
        <v>#DIV/0!</v>
      </c>
      <c r="AH175" s="36"/>
      <c r="AI175" s="389" t="e">
        <f>P175*('upper bound Kenaga'!$F$96/100)</f>
        <v>#DIV/0!</v>
      </c>
      <c r="AJ175" s="36"/>
      <c r="AK175" s="36"/>
      <c r="AL175" s="36"/>
      <c r="AM175" s="36"/>
      <c r="AN175" s="36"/>
      <c r="AO175" s="36"/>
    </row>
    <row r="176" spans="10:41" s="1" customFormat="1">
      <c r="J176" s="6">
        <f>COUNTIF(K$21:K176,"=yes")</f>
        <v>1</v>
      </c>
      <c r="K176" s="533" t="str">
        <f>IF(LOOKUP(VALUE(M176),INPUTS!$G$6:$G$35)=M176,"yes","no")</f>
        <v>no</v>
      </c>
      <c r="L176" s="533">
        <f>IF(K176="yes",(LOOKUP(J176,INPUTS!$E$6:$E$35,INPUTS!$F$6:$F$35)),0)</f>
        <v>0</v>
      </c>
      <c r="M176" s="135">
        <f t="shared" si="36"/>
        <v>155</v>
      </c>
      <c r="N176" s="135">
        <f t="shared" si="37"/>
        <v>1</v>
      </c>
      <c r="O176" s="135">
        <f t="shared" si="38"/>
        <v>0</v>
      </c>
      <c r="P176" s="536" t="e">
        <f t="shared" si="49"/>
        <v>#DIV/0!</v>
      </c>
      <c r="Q176" s="537" t="e">
        <f t="shared" si="43"/>
        <v>#DIV/0!</v>
      </c>
      <c r="R176" s="538" t="e">
        <f>IF(INPUTS!$B$15="yes",Q176,P176)</f>
        <v>#DIV/0!</v>
      </c>
      <c r="S176" s="536" t="e">
        <f t="shared" si="39"/>
        <v>#DIV/0!</v>
      </c>
      <c r="T176" s="537" t="e">
        <f t="shared" si="44"/>
        <v>#DIV/0!</v>
      </c>
      <c r="U176" s="538" t="e">
        <f>IF(INPUTS!$B$15="yes",T176,S176)</f>
        <v>#DIV/0!</v>
      </c>
      <c r="V176" s="536" t="e">
        <f t="shared" si="40"/>
        <v>#DIV/0!</v>
      </c>
      <c r="W176" s="537" t="e">
        <f t="shared" si="45"/>
        <v>#DIV/0!</v>
      </c>
      <c r="X176" s="538" t="e">
        <f>IF(INPUTS!$B$15="yes",W176,V176)</f>
        <v>#DIV/0!</v>
      </c>
      <c r="Y176" s="536" t="e">
        <f t="shared" si="41"/>
        <v>#DIV/0!</v>
      </c>
      <c r="Z176" s="537" t="e">
        <f t="shared" si="46"/>
        <v>#DIV/0!</v>
      </c>
      <c r="AA176" s="538" t="e">
        <f>IF(INPUTS!$B$15="yes",Z176,Y176)</f>
        <v>#DIV/0!</v>
      </c>
      <c r="AB176" s="536" t="e">
        <f t="shared" si="42"/>
        <v>#DIV/0!</v>
      </c>
      <c r="AC176" s="537" t="e">
        <f t="shared" si="47"/>
        <v>#DIV/0!</v>
      </c>
      <c r="AD176" s="538" t="e">
        <f>IF(INPUTS!$B$15="yes",AC176,AB176)</f>
        <v>#DIV/0!</v>
      </c>
      <c r="AE176" s="36" t="str">
        <f t="shared" si="48"/>
        <v>no</v>
      </c>
      <c r="AF176" s="36"/>
      <c r="AG176" s="389" t="e">
        <f>P176*('upper bound Kenaga'!$F$36/100)</f>
        <v>#DIV/0!</v>
      </c>
      <c r="AH176" s="36"/>
      <c r="AI176" s="389" t="e">
        <f>P176*('upper bound Kenaga'!$F$96/100)</f>
        <v>#DIV/0!</v>
      </c>
      <c r="AJ176" s="36"/>
      <c r="AK176" s="36"/>
      <c r="AL176" s="36"/>
      <c r="AM176" s="36"/>
      <c r="AN176" s="36"/>
      <c r="AO176" s="36"/>
    </row>
    <row r="177" spans="1:41">
      <c r="J177" s="6">
        <f>COUNTIF(K$21:K177,"=yes")</f>
        <v>1</v>
      </c>
      <c r="K177" s="533" t="str">
        <f>IF(LOOKUP(VALUE(M177),INPUTS!$G$6:$G$35)=M177,"yes","no")</f>
        <v>no</v>
      </c>
      <c r="L177" s="533">
        <f>IF(K177="yes",(LOOKUP(J177,INPUTS!$E$6:$E$35,INPUTS!$F$6:$F$35)),0)</f>
        <v>0</v>
      </c>
      <c r="M177" s="135">
        <f t="shared" si="36"/>
        <v>156</v>
      </c>
      <c r="N177" s="135">
        <f t="shared" si="37"/>
        <v>1</v>
      </c>
      <c r="O177" s="135">
        <f t="shared" si="38"/>
        <v>0</v>
      </c>
      <c r="P177" s="536" t="e">
        <f t="shared" si="49"/>
        <v>#DIV/0!</v>
      </c>
      <c r="Q177" s="537" t="e">
        <f t="shared" si="43"/>
        <v>#DIV/0!</v>
      </c>
      <c r="R177" s="538" t="e">
        <f>IF(INPUTS!$B$15="yes",Q177,P177)</f>
        <v>#DIV/0!</v>
      </c>
      <c r="S177" s="536" t="e">
        <f t="shared" si="39"/>
        <v>#DIV/0!</v>
      </c>
      <c r="T177" s="537" t="e">
        <f t="shared" si="44"/>
        <v>#DIV/0!</v>
      </c>
      <c r="U177" s="538" t="e">
        <f>IF(INPUTS!$B$15="yes",T177,S177)</f>
        <v>#DIV/0!</v>
      </c>
      <c r="V177" s="536" t="e">
        <f t="shared" si="40"/>
        <v>#DIV/0!</v>
      </c>
      <c r="W177" s="537" t="e">
        <f t="shared" si="45"/>
        <v>#DIV/0!</v>
      </c>
      <c r="X177" s="538" t="e">
        <f>IF(INPUTS!$B$15="yes",W177,V177)</f>
        <v>#DIV/0!</v>
      </c>
      <c r="Y177" s="536" t="e">
        <f t="shared" si="41"/>
        <v>#DIV/0!</v>
      </c>
      <c r="Z177" s="537" t="e">
        <f t="shared" si="46"/>
        <v>#DIV/0!</v>
      </c>
      <c r="AA177" s="538" t="e">
        <f>IF(INPUTS!$B$15="yes",Z177,Y177)</f>
        <v>#DIV/0!</v>
      </c>
      <c r="AB177" s="536" t="e">
        <f t="shared" si="42"/>
        <v>#DIV/0!</v>
      </c>
      <c r="AC177" s="537" t="e">
        <f t="shared" si="47"/>
        <v>#DIV/0!</v>
      </c>
      <c r="AD177" s="538" t="e">
        <f>IF(INPUTS!$B$15="yes",AC177,AB177)</f>
        <v>#DIV/0!</v>
      </c>
      <c r="AE177" s="36" t="str">
        <f t="shared" si="48"/>
        <v>no</v>
      </c>
      <c r="AF177" s="36"/>
      <c r="AG177" s="389" t="e">
        <f>P177*('upper bound Kenaga'!$F$36/100)</f>
        <v>#DIV/0!</v>
      </c>
      <c r="AH177" s="36"/>
      <c r="AI177" s="389" t="e">
        <f>P177*('upper bound Kenaga'!$F$96/100)</f>
        <v>#DIV/0!</v>
      </c>
      <c r="AJ177" s="36"/>
      <c r="AK177" s="36"/>
      <c r="AL177" s="36"/>
      <c r="AM177" s="36"/>
      <c r="AN177" s="36"/>
      <c r="AO177" s="36"/>
    </row>
    <row r="178" spans="1:41">
      <c r="J178" s="6">
        <f>COUNTIF(K$21:K178,"=yes")</f>
        <v>1</v>
      </c>
      <c r="K178" s="533" t="str">
        <f>IF(LOOKUP(VALUE(M178),INPUTS!$G$6:$G$35)=M178,"yes","no")</f>
        <v>no</v>
      </c>
      <c r="L178" s="533">
        <f>IF(K178="yes",(LOOKUP(J178,INPUTS!$E$6:$E$35,INPUTS!$F$6:$F$35)),0)</f>
        <v>0</v>
      </c>
      <c r="M178" s="135">
        <f t="shared" si="36"/>
        <v>157</v>
      </c>
      <c r="N178" s="135">
        <f t="shared" si="37"/>
        <v>1</v>
      </c>
      <c r="O178" s="135">
        <f t="shared" si="38"/>
        <v>0</v>
      </c>
      <c r="P178" s="536" t="e">
        <f t="shared" si="49"/>
        <v>#DIV/0!</v>
      </c>
      <c r="Q178" s="537" t="e">
        <f t="shared" si="43"/>
        <v>#DIV/0!</v>
      </c>
      <c r="R178" s="538" t="e">
        <f>IF(INPUTS!$B$15="yes",Q178,P178)</f>
        <v>#DIV/0!</v>
      </c>
      <c r="S178" s="536" t="e">
        <f t="shared" si="39"/>
        <v>#DIV/0!</v>
      </c>
      <c r="T178" s="537" t="e">
        <f t="shared" si="44"/>
        <v>#DIV/0!</v>
      </c>
      <c r="U178" s="538" t="e">
        <f>IF(INPUTS!$B$15="yes",T178,S178)</f>
        <v>#DIV/0!</v>
      </c>
      <c r="V178" s="536" t="e">
        <f t="shared" si="40"/>
        <v>#DIV/0!</v>
      </c>
      <c r="W178" s="537" t="e">
        <f t="shared" si="45"/>
        <v>#DIV/0!</v>
      </c>
      <c r="X178" s="538" t="e">
        <f>IF(INPUTS!$B$15="yes",W178,V178)</f>
        <v>#DIV/0!</v>
      </c>
      <c r="Y178" s="536" t="e">
        <f t="shared" si="41"/>
        <v>#DIV/0!</v>
      </c>
      <c r="Z178" s="537" t="e">
        <f t="shared" si="46"/>
        <v>#DIV/0!</v>
      </c>
      <c r="AA178" s="538" t="e">
        <f>IF(INPUTS!$B$15="yes",Z178,Y178)</f>
        <v>#DIV/0!</v>
      </c>
      <c r="AB178" s="536" t="e">
        <f t="shared" si="42"/>
        <v>#DIV/0!</v>
      </c>
      <c r="AC178" s="537" t="e">
        <f t="shared" si="47"/>
        <v>#DIV/0!</v>
      </c>
      <c r="AD178" s="538" t="e">
        <f>IF(INPUTS!$B$15="yes",AC178,AB178)</f>
        <v>#DIV/0!</v>
      </c>
      <c r="AE178" s="36" t="str">
        <f t="shared" si="48"/>
        <v>no</v>
      </c>
      <c r="AF178" s="36"/>
      <c r="AG178" s="389" t="e">
        <f>P178*('upper bound Kenaga'!$F$36/100)</f>
        <v>#DIV/0!</v>
      </c>
      <c r="AH178" s="36"/>
      <c r="AI178" s="389" t="e">
        <f>P178*('upper bound Kenaga'!$F$96/100)</f>
        <v>#DIV/0!</v>
      </c>
      <c r="AJ178" s="36"/>
      <c r="AK178" s="36"/>
      <c r="AL178" s="36"/>
      <c r="AM178" s="36"/>
      <c r="AN178" s="36"/>
      <c r="AO178" s="36"/>
    </row>
    <row r="179" spans="1:41">
      <c r="J179" s="6">
        <f>COUNTIF(K$21:K179,"=yes")</f>
        <v>1</v>
      </c>
      <c r="K179" s="533" t="str">
        <f>IF(LOOKUP(VALUE(M179),INPUTS!$G$6:$G$35)=M179,"yes","no")</f>
        <v>no</v>
      </c>
      <c r="L179" s="533">
        <f>IF(K179="yes",(LOOKUP(J179,INPUTS!$E$6:$E$35,INPUTS!$F$6:$F$35)),0)</f>
        <v>0</v>
      </c>
      <c r="M179" s="135">
        <f t="shared" si="36"/>
        <v>158</v>
      </c>
      <c r="N179" s="135">
        <f t="shared" si="37"/>
        <v>1</v>
      </c>
      <c r="O179" s="135">
        <f t="shared" si="38"/>
        <v>0</v>
      </c>
      <c r="P179" s="536" t="e">
        <f t="shared" si="49"/>
        <v>#DIV/0!</v>
      </c>
      <c r="Q179" s="537" t="e">
        <f t="shared" si="43"/>
        <v>#DIV/0!</v>
      </c>
      <c r="R179" s="538" t="e">
        <f>IF(INPUTS!$B$15="yes",Q179,P179)</f>
        <v>#DIV/0!</v>
      </c>
      <c r="S179" s="536" t="e">
        <f t="shared" si="39"/>
        <v>#DIV/0!</v>
      </c>
      <c r="T179" s="537" t="e">
        <f t="shared" si="44"/>
        <v>#DIV/0!</v>
      </c>
      <c r="U179" s="538" t="e">
        <f>IF(INPUTS!$B$15="yes",T179,S179)</f>
        <v>#DIV/0!</v>
      </c>
      <c r="V179" s="536" t="e">
        <f t="shared" si="40"/>
        <v>#DIV/0!</v>
      </c>
      <c r="W179" s="537" t="e">
        <f t="shared" si="45"/>
        <v>#DIV/0!</v>
      </c>
      <c r="X179" s="538" t="e">
        <f>IF(INPUTS!$B$15="yes",W179,V179)</f>
        <v>#DIV/0!</v>
      </c>
      <c r="Y179" s="536" t="e">
        <f t="shared" si="41"/>
        <v>#DIV/0!</v>
      </c>
      <c r="Z179" s="537" t="e">
        <f t="shared" si="46"/>
        <v>#DIV/0!</v>
      </c>
      <c r="AA179" s="538" t="e">
        <f>IF(INPUTS!$B$15="yes",Z179,Y179)</f>
        <v>#DIV/0!</v>
      </c>
      <c r="AB179" s="536" t="e">
        <f t="shared" si="42"/>
        <v>#DIV/0!</v>
      </c>
      <c r="AC179" s="537" t="e">
        <f t="shared" si="47"/>
        <v>#DIV/0!</v>
      </c>
      <c r="AD179" s="538" t="e">
        <f>IF(INPUTS!$B$15="yes",AC179,AB179)</f>
        <v>#DIV/0!</v>
      </c>
      <c r="AE179" s="36" t="str">
        <f t="shared" si="48"/>
        <v>no</v>
      </c>
      <c r="AF179" s="36"/>
      <c r="AG179" s="389" t="e">
        <f>P179*('upper bound Kenaga'!$F$36/100)</f>
        <v>#DIV/0!</v>
      </c>
      <c r="AH179" s="36"/>
      <c r="AI179" s="389" t="e">
        <f>P179*('upper bound Kenaga'!$F$96/100)</f>
        <v>#DIV/0!</v>
      </c>
      <c r="AJ179" s="36"/>
      <c r="AK179" s="36"/>
      <c r="AL179" s="36"/>
      <c r="AM179" s="36"/>
      <c r="AN179" s="36"/>
      <c r="AO179" s="36"/>
    </row>
    <row r="180" spans="1:41">
      <c r="J180" s="6">
        <f>COUNTIF(K$21:K180,"=yes")</f>
        <v>1</v>
      </c>
      <c r="K180" s="533" t="str">
        <f>IF(LOOKUP(VALUE(M180),INPUTS!$G$6:$G$35)=M180,"yes","no")</f>
        <v>no</v>
      </c>
      <c r="L180" s="533">
        <f>IF(K180="yes",(LOOKUP(J180,INPUTS!$E$6:$E$35,INPUTS!$F$6:$F$35)),0)</f>
        <v>0</v>
      </c>
      <c r="M180" s="135">
        <f t="shared" si="36"/>
        <v>159</v>
      </c>
      <c r="N180" s="135">
        <f t="shared" si="37"/>
        <v>1</v>
      </c>
      <c r="O180" s="135">
        <f t="shared" si="38"/>
        <v>0</v>
      </c>
      <c r="P180" s="536" t="e">
        <f t="shared" si="49"/>
        <v>#DIV/0!</v>
      </c>
      <c r="Q180" s="537" t="e">
        <f t="shared" si="43"/>
        <v>#DIV/0!</v>
      </c>
      <c r="R180" s="538" t="e">
        <f>IF(INPUTS!$B$15="yes",Q180,P180)</f>
        <v>#DIV/0!</v>
      </c>
      <c r="S180" s="536" t="e">
        <f t="shared" si="39"/>
        <v>#DIV/0!</v>
      </c>
      <c r="T180" s="537" t="e">
        <f t="shared" si="44"/>
        <v>#DIV/0!</v>
      </c>
      <c r="U180" s="538" t="e">
        <f>IF(INPUTS!$B$15="yes",T180,S180)</f>
        <v>#DIV/0!</v>
      </c>
      <c r="V180" s="536" t="e">
        <f t="shared" si="40"/>
        <v>#DIV/0!</v>
      </c>
      <c r="W180" s="537" t="e">
        <f t="shared" si="45"/>
        <v>#DIV/0!</v>
      </c>
      <c r="X180" s="538" t="e">
        <f>IF(INPUTS!$B$15="yes",W180,V180)</f>
        <v>#DIV/0!</v>
      </c>
      <c r="Y180" s="536" t="e">
        <f t="shared" si="41"/>
        <v>#DIV/0!</v>
      </c>
      <c r="Z180" s="537" t="e">
        <f t="shared" si="46"/>
        <v>#DIV/0!</v>
      </c>
      <c r="AA180" s="538" t="e">
        <f>IF(INPUTS!$B$15="yes",Z180,Y180)</f>
        <v>#DIV/0!</v>
      </c>
      <c r="AB180" s="536" t="e">
        <f t="shared" si="42"/>
        <v>#DIV/0!</v>
      </c>
      <c r="AC180" s="537" t="e">
        <f t="shared" si="47"/>
        <v>#DIV/0!</v>
      </c>
      <c r="AD180" s="538" t="e">
        <f>IF(INPUTS!$B$15="yes",AC180,AB180)</f>
        <v>#DIV/0!</v>
      </c>
      <c r="AE180" s="36" t="str">
        <f t="shared" si="48"/>
        <v>no</v>
      </c>
      <c r="AF180" s="36"/>
      <c r="AG180" s="389" t="e">
        <f>P180*('upper bound Kenaga'!$F$36/100)</f>
        <v>#DIV/0!</v>
      </c>
      <c r="AH180" s="36"/>
      <c r="AI180" s="389" t="e">
        <f>P180*('upper bound Kenaga'!$F$96/100)</f>
        <v>#DIV/0!</v>
      </c>
      <c r="AJ180" s="36"/>
      <c r="AK180" s="36"/>
      <c r="AL180" s="36"/>
      <c r="AM180" s="36"/>
      <c r="AN180" s="36"/>
      <c r="AO180" s="36"/>
    </row>
    <row r="181" spans="1:41">
      <c r="J181" s="6">
        <f>COUNTIF(K$21:K181,"=yes")</f>
        <v>1</v>
      </c>
      <c r="K181" s="533" t="str">
        <f>IF(LOOKUP(VALUE(M181),INPUTS!$G$6:$G$35)=M181,"yes","no")</f>
        <v>no</v>
      </c>
      <c r="L181" s="533">
        <f>IF(K181="yes",(LOOKUP(J181,INPUTS!$E$6:$E$35,INPUTS!$F$6:$F$35)),0)</f>
        <v>0</v>
      </c>
      <c r="M181" s="135">
        <f t="shared" si="36"/>
        <v>160</v>
      </c>
      <c r="N181" s="135">
        <f t="shared" si="37"/>
        <v>1</v>
      </c>
      <c r="O181" s="135">
        <f t="shared" si="38"/>
        <v>0</v>
      </c>
      <c r="P181" s="536" t="e">
        <f t="shared" si="49"/>
        <v>#DIV/0!</v>
      </c>
      <c r="Q181" s="537" t="e">
        <f t="shared" si="43"/>
        <v>#DIV/0!</v>
      </c>
      <c r="R181" s="538" t="e">
        <f>IF(INPUTS!$B$15="yes",Q181,P181)</f>
        <v>#DIV/0!</v>
      </c>
      <c r="S181" s="536" t="e">
        <f t="shared" si="39"/>
        <v>#DIV/0!</v>
      </c>
      <c r="T181" s="537" t="e">
        <f t="shared" si="44"/>
        <v>#DIV/0!</v>
      </c>
      <c r="U181" s="538" t="e">
        <f>IF(INPUTS!$B$15="yes",T181,S181)</f>
        <v>#DIV/0!</v>
      </c>
      <c r="V181" s="536" t="e">
        <f t="shared" si="40"/>
        <v>#DIV/0!</v>
      </c>
      <c r="W181" s="537" t="e">
        <f t="shared" si="45"/>
        <v>#DIV/0!</v>
      </c>
      <c r="X181" s="538" t="e">
        <f>IF(INPUTS!$B$15="yes",W181,V181)</f>
        <v>#DIV/0!</v>
      </c>
      <c r="Y181" s="536" t="e">
        <f t="shared" si="41"/>
        <v>#DIV/0!</v>
      </c>
      <c r="Z181" s="537" t="e">
        <f t="shared" si="46"/>
        <v>#DIV/0!</v>
      </c>
      <c r="AA181" s="538" t="e">
        <f>IF(INPUTS!$B$15="yes",Z181,Y181)</f>
        <v>#DIV/0!</v>
      </c>
      <c r="AB181" s="536" t="e">
        <f t="shared" si="42"/>
        <v>#DIV/0!</v>
      </c>
      <c r="AC181" s="537" t="e">
        <f t="shared" si="47"/>
        <v>#DIV/0!</v>
      </c>
      <c r="AD181" s="538" t="e">
        <f>IF(INPUTS!$B$15="yes",AC181,AB181)</f>
        <v>#DIV/0!</v>
      </c>
      <c r="AE181" s="36" t="str">
        <f t="shared" si="48"/>
        <v>no</v>
      </c>
      <c r="AF181" s="36"/>
      <c r="AG181" s="389" t="e">
        <f>P181*('upper bound Kenaga'!$F$36/100)</f>
        <v>#DIV/0!</v>
      </c>
      <c r="AH181" s="36"/>
      <c r="AI181" s="389" t="e">
        <f>P181*('upper bound Kenaga'!$F$96/100)</f>
        <v>#DIV/0!</v>
      </c>
      <c r="AJ181" s="36"/>
      <c r="AK181" s="36"/>
      <c r="AL181" s="36"/>
      <c r="AM181" s="36"/>
      <c r="AN181" s="36"/>
      <c r="AO181" s="36"/>
    </row>
    <row r="182" spans="1:41">
      <c r="A182" s="79">
        <f>$B$3</f>
        <v>0</v>
      </c>
      <c r="B182" s="79">
        <f>$B$4</f>
        <v>0</v>
      </c>
      <c r="C182" s="26"/>
      <c r="D182" s="27"/>
      <c r="E182" s="26" t="s">
        <v>99</v>
      </c>
      <c r="J182" s="6">
        <f>COUNTIF(K$21:K182,"=yes")</f>
        <v>1</v>
      </c>
      <c r="K182" s="533" t="str">
        <f>IF(LOOKUP(VALUE(M182),INPUTS!$G$6:$G$35)=M182,"yes","no")</f>
        <v>no</v>
      </c>
      <c r="L182" s="533">
        <f>IF(K182="yes",(LOOKUP(J182,INPUTS!$E$6:$E$35,INPUTS!$F$6:$F$35)),0)</f>
        <v>0</v>
      </c>
      <c r="M182" s="135">
        <f t="shared" si="36"/>
        <v>161</v>
      </c>
      <c r="N182" s="135">
        <f t="shared" si="37"/>
        <v>1</v>
      </c>
      <c r="O182" s="135">
        <f t="shared" si="38"/>
        <v>0</v>
      </c>
      <c r="P182" s="536" t="e">
        <f t="shared" si="49"/>
        <v>#DIV/0!</v>
      </c>
      <c r="Q182" s="537" t="e">
        <f t="shared" si="43"/>
        <v>#DIV/0!</v>
      </c>
      <c r="R182" s="538" t="e">
        <f>IF(INPUTS!$B$15="yes",Q182,P182)</f>
        <v>#DIV/0!</v>
      </c>
      <c r="S182" s="536" t="e">
        <f t="shared" si="39"/>
        <v>#DIV/0!</v>
      </c>
      <c r="T182" s="537" t="e">
        <f t="shared" si="44"/>
        <v>#DIV/0!</v>
      </c>
      <c r="U182" s="538" t="e">
        <f>IF(INPUTS!$B$15="yes",T182,S182)</f>
        <v>#DIV/0!</v>
      </c>
      <c r="V182" s="536" t="e">
        <f t="shared" si="40"/>
        <v>#DIV/0!</v>
      </c>
      <c r="W182" s="537" t="e">
        <f t="shared" si="45"/>
        <v>#DIV/0!</v>
      </c>
      <c r="X182" s="538" t="e">
        <f>IF(INPUTS!$B$15="yes",W182,V182)</f>
        <v>#DIV/0!</v>
      </c>
      <c r="Y182" s="536" t="e">
        <f t="shared" si="41"/>
        <v>#DIV/0!</v>
      </c>
      <c r="Z182" s="537" t="e">
        <f t="shared" si="46"/>
        <v>#DIV/0!</v>
      </c>
      <c r="AA182" s="538" t="e">
        <f>IF(INPUTS!$B$15="yes",Z182,Y182)</f>
        <v>#DIV/0!</v>
      </c>
      <c r="AB182" s="536" t="e">
        <f t="shared" si="42"/>
        <v>#DIV/0!</v>
      </c>
      <c r="AC182" s="537" t="e">
        <f t="shared" si="47"/>
        <v>#DIV/0!</v>
      </c>
      <c r="AD182" s="538" t="e">
        <f>IF(INPUTS!$B$15="yes",AC182,AB182)</f>
        <v>#DIV/0!</v>
      </c>
      <c r="AE182" s="36" t="str">
        <f t="shared" si="48"/>
        <v>no</v>
      </c>
      <c r="AF182" s="36"/>
      <c r="AG182" s="389" t="e">
        <f>P182*('upper bound Kenaga'!$F$36/100)</f>
        <v>#DIV/0!</v>
      </c>
      <c r="AH182" s="36"/>
      <c r="AI182" s="389" t="e">
        <f>P182*('upper bound Kenaga'!$F$96/100)</f>
        <v>#DIV/0!</v>
      </c>
      <c r="AJ182" s="36"/>
      <c r="AK182" s="36"/>
      <c r="AL182" s="36"/>
      <c r="AM182" s="36"/>
      <c r="AN182" s="36"/>
      <c r="AO182" s="36"/>
    </row>
    <row r="183" spans="1:41" ht="21" thickBot="1">
      <c r="A183" s="13" t="s">
        <v>50</v>
      </c>
      <c r="B183" s="16"/>
      <c r="C183" s="16"/>
      <c r="D183" s="17"/>
      <c r="E183" s="16"/>
      <c r="F183" s="18"/>
      <c r="G183" s="19"/>
      <c r="H183" s="18"/>
      <c r="J183" s="6">
        <f>COUNTIF(K$21:K183,"=yes")</f>
        <v>1</v>
      </c>
      <c r="K183" s="533" t="str">
        <f>IF(LOOKUP(VALUE(M183),INPUTS!$G$6:$G$35)=M183,"yes","no")</f>
        <v>no</v>
      </c>
      <c r="L183" s="533">
        <f>IF(K183="yes",(LOOKUP(J183,INPUTS!$E$6:$E$35,INPUTS!$F$6:$F$35)),0)</f>
        <v>0</v>
      </c>
      <c r="M183" s="135">
        <f t="shared" si="36"/>
        <v>162</v>
      </c>
      <c r="N183" s="135">
        <f t="shared" si="37"/>
        <v>1</v>
      </c>
      <c r="O183" s="135">
        <f t="shared" si="38"/>
        <v>0</v>
      </c>
      <c r="P183" s="536" t="e">
        <f t="shared" si="49"/>
        <v>#DIV/0!</v>
      </c>
      <c r="Q183" s="537" t="e">
        <f t="shared" si="43"/>
        <v>#DIV/0!</v>
      </c>
      <c r="R183" s="538" t="e">
        <f>IF(INPUTS!$B$15="yes",Q183,P183)</f>
        <v>#DIV/0!</v>
      </c>
      <c r="S183" s="536" t="e">
        <f t="shared" si="39"/>
        <v>#DIV/0!</v>
      </c>
      <c r="T183" s="537" t="e">
        <f t="shared" si="44"/>
        <v>#DIV/0!</v>
      </c>
      <c r="U183" s="538" t="e">
        <f>IF(INPUTS!$B$15="yes",T183,S183)</f>
        <v>#DIV/0!</v>
      </c>
      <c r="V183" s="536" t="e">
        <f t="shared" si="40"/>
        <v>#DIV/0!</v>
      </c>
      <c r="W183" s="537" t="e">
        <f t="shared" si="45"/>
        <v>#DIV/0!</v>
      </c>
      <c r="X183" s="538" t="e">
        <f>IF(INPUTS!$B$15="yes",W183,V183)</f>
        <v>#DIV/0!</v>
      </c>
      <c r="Y183" s="536" t="e">
        <f t="shared" si="41"/>
        <v>#DIV/0!</v>
      </c>
      <c r="Z183" s="537" t="e">
        <f t="shared" si="46"/>
        <v>#DIV/0!</v>
      </c>
      <c r="AA183" s="538" t="e">
        <f>IF(INPUTS!$B$15="yes",Z183,Y183)</f>
        <v>#DIV/0!</v>
      </c>
      <c r="AB183" s="536" t="e">
        <f t="shared" si="42"/>
        <v>#DIV/0!</v>
      </c>
      <c r="AC183" s="537" t="e">
        <f t="shared" si="47"/>
        <v>#DIV/0!</v>
      </c>
      <c r="AD183" s="538" t="e">
        <f>IF(INPUTS!$B$15="yes",AC183,AB183)</f>
        <v>#DIV/0!</v>
      </c>
      <c r="AE183" s="36" t="str">
        <f t="shared" si="48"/>
        <v>no</v>
      </c>
      <c r="AF183" s="36"/>
      <c r="AG183" s="389" t="e">
        <f>P183*('upper bound Kenaga'!$F$36/100)</f>
        <v>#DIV/0!</v>
      </c>
      <c r="AH183" s="36"/>
      <c r="AI183" s="389" t="e">
        <f>P183*('upper bound Kenaga'!$F$96/100)</f>
        <v>#DIV/0!</v>
      </c>
      <c r="AJ183" s="36"/>
      <c r="AK183" s="36"/>
      <c r="AL183" s="36"/>
      <c r="AM183" s="36"/>
      <c r="AN183" s="36"/>
      <c r="AO183" s="36"/>
    </row>
    <row r="184" spans="1:41" ht="13.5" thickTop="1">
      <c r="J184" s="6">
        <f>COUNTIF(K$21:K184,"=yes")</f>
        <v>1</v>
      </c>
      <c r="K184" s="533" t="str">
        <f>IF(LOOKUP(VALUE(M184),INPUTS!$G$6:$G$35)=M184,"yes","no")</f>
        <v>no</v>
      </c>
      <c r="L184" s="533">
        <f>IF(K184="yes",(LOOKUP(J184,INPUTS!$E$6:$E$35,INPUTS!$F$6:$F$35)),0)</f>
        <v>0</v>
      </c>
      <c r="M184" s="135">
        <f t="shared" si="36"/>
        <v>163</v>
      </c>
      <c r="N184" s="135">
        <f t="shared" si="37"/>
        <v>1</v>
      </c>
      <c r="O184" s="135">
        <f t="shared" si="38"/>
        <v>0</v>
      </c>
      <c r="P184" s="536" t="e">
        <f t="shared" si="49"/>
        <v>#DIV/0!</v>
      </c>
      <c r="Q184" s="537" t="e">
        <f t="shared" si="43"/>
        <v>#DIV/0!</v>
      </c>
      <c r="R184" s="538" t="e">
        <f>IF(INPUTS!$B$15="yes",Q184,P184)</f>
        <v>#DIV/0!</v>
      </c>
      <c r="S184" s="536" t="e">
        <f t="shared" si="39"/>
        <v>#DIV/0!</v>
      </c>
      <c r="T184" s="537" t="e">
        <f t="shared" si="44"/>
        <v>#DIV/0!</v>
      </c>
      <c r="U184" s="538" t="e">
        <f>IF(INPUTS!$B$15="yes",T184,S184)</f>
        <v>#DIV/0!</v>
      </c>
      <c r="V184" s="536" t="e">
        <f t="shared" si="40"/>
        <v>#DIV/0!</v>
      </c>
      <c r="W184" s="537" t="e">
        <f t="shared" si="45"/>
        <v>#DIV/0!</v>
      </c>
      <c r="X184" s="538" t="e">
        <f>IF(INPUTS!$B$15="yes",W184,V184)</f>
        <v>#DIV/0!</v>
      </c>
      <c r="Y184" s="536" t="e">
        <f t="shared" si="41"/>
        <v>#DIV/0!</v>
      </c>
      <c r="Z184" s="537" t="e">
        <f t="shared" si="46"/>
        <v>#DIV/0!</v>
      </c>
      <c r="AA184" s="538" t="e">
        <f>IF(INPUTS!$B$15="yes",Z184,Y184)</f>
        <v>#DIV/0!</v>
      </c>
      <c r="AB184" s="536" t="e">
        <f t="shared" si="42"/>
        <v>#DIV/0!</v>
      </c>
      <c r="AC184" s="537" t="e">
        <f t="shared" si="47"/>
        <v>#DIV/0!</v>
      </c>
      <c r="AD184" s="538" t="e">
        <f>IF(INPUTS!$B$15="yes",AC184,AB184)</f>
        <v>#DIV/0!</v>
      </c>
      <c r="AE184" s="36" t="str">
        <f t="shared" si="48"/>
        <v>no</v>
      </c>
      <c r="AF184" s="36"/>
      <c r="AG184" s="389" t="e">
        <f>P184*('upper bound Kenaga'!$F$36/100)</f>
        <v>#DIV/0!</v>
      </c>
      <c r="AH184" s="36"/>
      <c r="AI184" s="389" t="e">
        <f>P184*('upper bound Kenaga'!$F$96/100)</f>
        <v>#DIV/0!</v>
      </c>
      <c r="AJ184" s="36"/>
      <c r="AK184" s="36"/>
      <c r="AL184" s="36"/>
      <c r="AM184" s="36"/>
      <c r="AN184" s="36"/>
      <c r="AO184" s="36"/>
    </row>
    <row r="185" spans="1:41">
      <c r="J185" s="6">
        <f>COUNTIF(K$21:K185,"=yes")</f>
        <v>1</v>
      </c>
      <c r="K185" s="533" t="str">
        <f>IF(LOOKUP(VALUE(M185),INPUTS!$G$6:$G$35)=M185,"yes","no")</f>
        <v>no</v>
      </c>
      <c r="L185" s="533">
        <f>IF(K185="yes",(LOOKUP(J185,INPUTS!$E$6:$E$35,INPUTS!$F$6:$F$35)),0)</f>
        <v>0</v>
      </c>
      <c r="M185" s="135">
        <f t="shared" si="36"/>
        <v>164</v>
      </c>
      <c r="N185" s="135">
        <f t="shared" si="37"/>
        <v>1</v>
      </c>
      <c r="O185" s="135">
        <f t="shared" si="38"/>
        <v>0</v>
      </c>
      <c r="P185" s="536" t="e">
        <f t="shared" si="49"/>
        <v>#DIV/0!</v>
      </c>
      <c r="Q185" s="537" t="e">
        <f t="shared" si="43"/>
        <v>#DIV/0!</v>
      </c>
      <c r="R185" s="538" t="e">
        <f>IF(INPUTS!$B$15="yes",Q185,P185)</f>
        <v>#DIV/0!</v>
      </c>
      <c r="S185" s="536" t="e">
        <f t="shared" si="39"/>
        <v>#DIV/0!</v>
      </c>
      <c r="T185" s="537" t="e">
        <f t="shared" si="44"/>
        <v>#DIV/0!</v>
      </c>
      <c r="U185" s="538" t="e">
        <f>IF(INPUTS!$B$15="yes",T185,S185)</f>
        <v>#DIV/0!</v>
      </c>
      <c r="V185" s="536" t="e">
        <f t="shared" si="40"/>
        <v>#DIV/0!</v>
      </c>
      <c r="W185" s="537" t="e">
        <f t="shared" si="45"/>
        <v>#DIV/0!</v>
      </c>
      <c r="X185" s="538" t="e">
        <f>IF(INPUTS!$B$15="yes",W185,V185)</f>
        <v>#DIV/0!</v>
      </c>
      <c r="Y185" s="536" t="e">
        <f t="shared" si="41"/>
        <v>#DIV/0!</v>
      </c>
      <c r="Z185" s="537" t="e">
        <f t="shared" si="46"/>
        <v>#DIV/0!</v>
      </c>
      <c r="AA185" s="538" t="e">
        <f>IF(INPUTS!$B$15="yes",Z185,Y185)</f>
        <v>#DIV/0!</v>
      </c>
      <c r="AB185" s="536" t="e">
        <f t="shared" si="42"/>
        <v>#DIV/0!</v>
      </c>
      <c r="AC185" s="537" t="e">
        <f t="shared" si="47"/>
        <v>#DIV/0!</v>
      </c>
      <c r="AD185" s="538" t="e">
        <f>IF(INPUTS!$B$15="yes",AC185,AB185)</f>
        <v>#DIV/0!</v>
      </c>
      <c r="AE185" s="36" t="str">
        <f t="shared" si="48"/>
        <v>no</v>
      </c>
      <c r="AF185" s="36"/>
      <c r="AG185" s="389" t="e">
        <f>P185*('upper bound Kenaga'!$F$36/100)</f>
        <v>#DIV/0!</v>
      </c>
      <c r="AH185" s="36"/>
      <c r="AI185" s="389" t="e">
        <f>P185*('upper bound Kenaga'!$F$96/100)</f>
        <v>#DIV/0!</v>
      </c>
      <c r="AJ185" s="36"/>
      <c r="AK185" s="36"/>
      <c r="AL185" s="36"/>
      <c r="AM185" s="36"/>
      <c r="AN185" s="36"/>
      <c r="AO185" s="36"/>
    </row>
    <row r="186" spans="1:41">
      <c r="J186" s="6">
        <f>COUNTIF(K$21:K186,"=yes")</f>
        <v>1</v>
      </c>
      <c r="K186" s="533" t="str">
        <f>IF(LOOKUP(VALUE(M186),INPUTS!$G$6:$G$35)=M186,"yes","no")</f>
        <v>no</v>
      </c>
      <c r="L186" s="533">
        <f>IF(K186="yes",(LOOKUP(J186,INPUTS!$E$6:$E$35,INPUTS!$F$6:$F$35)),0)</f>
        <v>0</v>
      </c>
      <c r="M186" s="135">
        <f t="shared" si="36"/>
        <v>165</v>
      </c>
      <c r="N186" s="135">
        <f t="shared" si="37"/>
        <v>1</v>
      </c>
      <c r="O186" s="135">
        <f t="shared" si="38"/>
        <v>0</v>
      </c>
      <c r="P186" s="536" t="e">
        <f t="shared" si="49"/>
        <v>#DIV/0!</v>
      </c>
      <c r="Q186" s="537" t="e">
        <f t="shared" si="43"/>
        <v>#DIV/0!</v>
      </c>
      <c r="R186" s="538" t="e">
        <f>IF(INPUTS!$B$15="yes",Q186,P186)</f>
        <v>#DIV/0!</v>
      </c>
      <c r="S186" s="536" t="e">
        <f t="shared" si="39"/>
        <v>#DIV/0!</v>
      </c>
      <c r="T186" s="537" t="e">
        <f t="shared" si="44"/>
        <v>#DIV/0!</v>
      </c>
      <c r="U186" s="538" t="e">
        <f>IF(INPUTS!$B$15="yes",T186,S186)</f>
        <v>#DIV/0!</v>
      </c>
      <c r="V186" s="536" t="e">
        <f t="shared" si="40"/>
        <v>#DIV/0!</v>
      </c>
      <c r="W186" s="537" t="e">
        <f t="shared" si="45"/>
        <v>#DIV/0!</v>
      </c>
      <c r="X186" s="538" t="e">
        <f>IF(INPUTS!$B$15="yes",W186,V186)</f>
        <v>#DIV/0!</v>
      </c>
      <c r="Y186" s="536" t="e">
        <f t="shared" si="41"/>
        <v>#DIV/0!</v>
      </c>
      <c r="Z186" s="537" t="e">
        <f t="shared" si="46"/>
        <v>#DIV/0!</v>
      </c>
      <c r="AA186" s="538" t="e">
        <f>IF(INPUTS!$B$15="yes",Z186,Y186)</f>
        <v>#DIV/0!</v>
      </c>
      <c r="AB186" s="536" t="e">
        <f t="shared" si="42"/>
        <v>#DIV/0!</v>
      </c>
      <c r="AC186" s="537" t="e">
        <f t="shared" si="47"/>
        <v>#DIV/0!</v>
      </c>
      <c r="AD186" s="538" t="e">
        <f>IF(INPUTS!$B$15="yes",AC186,AB186)</f>
        <v>#DIV/0!</v>
      </c>
      <c r="AE186" s="36" t="str">
        <f t="shared" si="48"/>
        <v>no</v>
      </c>
      <c r="AF186" s="36"/>
      <c r="AG186" s="389" t="e">
        <f>P186*('upper bound Kenaga'!$F$36/100)</f>
        <v>#DIV/0!</v>
      </c>
      <c r="AH186" s="36"/>
      <c r="AI186" s="389" t="e">
        <f>P186*('upper bound Kenaga'!$F$96/100)</f>
        <v>#DIV/0!</v>
      </c>
      <c r="AJ186" s="36"/>
      <c r="AK186" s="36"/>
      <c r="AL186" s="36"/>
      <c r="AM186" s="36"/>
      <c r="AN186" s="36"/>
      <c r="AO186" s="36"/>
    </row>
    <row r="187" spans="1:41">
      <c r="J187" s="6">
        <f>COUNTIF(K$21:K187,"=yes")</f>
        <v>1</v>
      </c>
      <c r="K187" s="533" t="str">
        <f>IF(LOOKUP(VALUE(M187),INPUTS!$G$6:$G$35)=M187,"yes","no")</f>
        <v>no</v>
      </c>
      <c r="L187" s="533">
        <f>IF(K187="yes",(LOOKUP(J187,INPUTS!$E$6:$E$35,INPUTS!$F$6:$F$35)),0)</f>
        <v>0</v>
      </c>
      <c r="M187" s="135">
        <f t="shared" si="36"/>
        <v>166</v>
      </c>
      <c r="N187" s="135">
        <f t="shared" si="37"/>
        <v>1</v>
      </c>
      <c r="O187" s="135">
        <f t="shared" si="38"/>
        <v>0</v>
      </c>
      <c r="P187" s="536" t="e">
        <f t="shared" si="49"/>
        <v>#DIV/0!</v>
      </c>
      <c r="Q187" s="537" t="e">
        <f t="shared" si="43"/>
        <v>#DIV/0!</v>
      </c>
      <c r="R187" s="538" t="e">
        <f>IF(INPUTS!$B$15="yes",Q187,P187)</f>
        <v>#DIV/0!</v>
      </c>
      <c r="S187" s="536" t="e">
        <f t="shared" si="39"/>
        <v>#DIV/0!</v>
      </c>
      <c r="T187" s="537" t="e">
        <f t="shared" si="44"/>
        <v>#DIV/0!</v>
      </c>
      <c r="U187" s="538" t="e">
        <f>IF(INPUTS!$B$15="yes",T187,S187)</f>
        <v>#DIV/0!</v>
      </c>
      <c r="V187" s="536" t="e">
        <f t="shared" si="40"/>
        <v>#DIV/0!</v>
      </c>
      <c r="W187" s="537" t="e">
        <f t="shared" si="45"/>
        <v>#DIV/0!</v>
      </c>
      <c r="X187" s="538" t="e">
        <f>IF(INPUTS!$B$15="yes",W187,V187)</f>
        <v>#DIV/0!</v>
      </c>
      <c r="Y187" s="536" t="e">
        <f t="shared" si="41"/>
        <v>#DIV/0!</v>
      </c>
      <c r="Z187" s="537" t="e">
        <f t="shared" si="46"/>
        <v>#DIV/0!</v>
      </c>
      <c r="AA187" s="538" t="e">
        <f>IF(INPUTS!$B$15="yes",Z187,Y187)</f>
        <v>#DIV/0!</v>
      </c>
      <c r="AB187" s="536" t="e">
        <f t="shared" si="42"/>
        <v>#DIV/0!</v>
      </c>
      <c r="AC187" s="537" t="e">
        <f t="shared" si="47"/>
        <v>#DIV/0!</v>
      </c>
      <c r="AD187" s="538" t="e">
        <f>IF(INPUTS!$B$15="yes",AC187,AB187)</f>
        <v>#DIV/0!</v>
      </c>
      <c r="AE187" s="36" t="str">
        <f t="shared" si="48"/>
        <v>no</v>
      </c>
      <c r="AF187" s="36"/>
      <c r="AG187" s="389" t="e">
        <f>P187*('upper bound Kenaga'!$F$36/100)</f>
        <v>#DIV/0!</v>
      </c>
      <c r="AH187" s="36"/>
      <c r="AI187" s="389" t="e">
        <f>P187*('upper bound Kenaga'!$F$96/100)</f>
        <v>#DIV/0!</v>
      </c>
      <c r="AJ187" s="36"/>
      <c r="AK187" s="36"/>
      <c r="AL187" s="36"/>
      <c r="AM187" s="36"/>
      <c r="AN187" s="36"/>
      <c r="AO187" s="36"/>
    </row>
    <row r="188" spans="1:41">
      <c r="J188" s="6">
        <f>COUNTIF(K$21:K188,"=yes")</f>
        <v>1</v>
      </c>
      <c r="K188" s="533" t="str">
        <f>IF(LOOKUP(VALUE(M188),INPUTS!$G$6:$G$35)=M188,"yes","no")</f>
        <v>no</v>
      </c>
      <c r="L188" s="533">
        <f>IF(K188="yes",(LOOKUP(J188,INPUTS!$E$6:$E$35,INPUTS!$F$6:$F$35)),0)</f>
        <v>0</v>
      </c>
      <c r="M188" s="135">
        <f t="shared" si="36"/>
        <v>167</v>
      </c>
      <c r="N188" s="135">
        <f t="shared" si="37"/>
        <v>1</v>
      </c>
      <c r="O188" s="135">
        <f t="shared" si="38"/>
        <v>0</v>
      </c>
      <c r="P188" s="536" t="e">
        <f t="shared" si="49"/>
        <v>#DIV/0!</v>
      </c>
      <c r="Q188" s="537" t="e">
        <f t="shared" si="43"/>
        <v>#DIV/0!</v>
      </c>
      <c r="R188" s="538" t="e">
        <f>IF(INPUTS!$B$15="yes",Q188,P188)</f>
        <v>#DIV/0!</v>
      </c>
      <c r="S188" s="536" t="e">
        <f t="shared" si="39"/>
        <v>#DIV/0!</v>
      </c>
      <c r="T188" s="537" t="e">
        <f t="shared" si="44"/>
        <v>#DIV/0!</v>
      </c>
      <c r="U188" s="538" t="e">
        <f>IF(INPUTS!$B$15="yes",T188,S188)</f>
        <v>#DIV/0!</v>
      </c>
      <c r="V188" s="536" t="e">
        <f t="shared" si="40"/>
        <v>#DIV/0!</v>
      </c>
      <c r="W188" s="537" t="e">
        <f t="shared" si="45"/>
        <v>#DIV/0!</v>
      </c>
      <c r="X188" s="538" t="e">
        <f>IF(INPUTS!$B$15="yes",W188,V188)</f>
        <v>#DIV/0!</v>
      </c>
      <c r="Y188" s="536" t="e">
        <f t="shared" si="41"/>
        <v>#DIV/0!</v>
      </c>
      <c r="Z188" s="537" t="e">
        <f t="shared" si="46"/>
        <v>#DIV/0!</v>
      </c>
      <c r="AA188" s="538" t="e">
        <f>IF(INPUTS!$B$15="yes",Z188,Y188)</f>
        <v>#DIV/0!</v>
      </c>
      <c r="AB188" s="536" t="e">
        <f t="shared" si="42"/>
        <v>#DIV/0!</v>
      </c>
      <c r="AC188" s="537" t="e">
        <f t="shared" si="47"/>
        <v>#DIV/0!</v>
      </c>
      <c r="AD188" s="538" t="e">
        <f>IF(INPUTS!$B$15="yes",AC188,AB188)</f>
        <v>#DIV/0!</v>
      </c>
      <c r="AE188" s="36" t="str">
        <f t="shared" si="48"/>
        <v>no</v>
      </c>
      <c r="AF188" s="36"/>
      <c r="AG188" s="389" t="e">
        <f>P188*('upper bound Kenaga'!$F$36/100)</f>
        <v>#DIV/0!</v>
      </c>
      <c r="AH188" s="36"/>
      <c r="AI188" s="389" t="e">
        <f>P188*('upper bound Kenaga'!$F$96/100)</f>
        <v>#DIV/0!</v>
      </c>
      <c r="AJ188" s="36"/>
      <c r="AK188" s="36"/>
      <c r="AL188" s="36"/>
      <c r="AM188" s="36"/>
      <c r="AN188" s="36"/>
      <c r="AO188" s="36"/>
    </row>
    <row r="189" spans="1:41">
      <c r="J189" s="6">
        <f>COUNTIF(K$21:K189,"=yes")</f>
        <v>1</v>
      </c>
      <c r="K189" s="533" t="str">
        <f>IF(LOOKUP(VALUE(M189),INPUTS!$G$6:$G$35)=M189,"yes","no")</f>
        <v>no</v>
      </c>
      <c r="L189" s="533">
        <f>IF(K189="yes",(LOOKUP(J189,INPUTS!$E$6:$E$35,INPUTS!$F$6:$F$35)),0)</f>
        <v>0</v>
      </c>
      <c r="M189" s="135">
        <f t="shared" si="36"/>
        <v>168</v>
      </c>
      <c r="N189" s="135">
        <f t="shared" si="37"/>
        <v>1</v>
      </c>
      <c r="O189" s="135">
        <f t="shared" si="38"/>
        <v>0</v>
      </c>
      <c r="P189" s="536" t="e">
        <f t="shared" si="49"/>
        <v>#DIV/0!</v>
      </c>
      <c r="Q189" s="537" t="e">
        <f t="shared" si="43"/>
        <v>#DIV/0!</v>
      </c>
      <c r="R189" s="538" t="e">
        <f>IF(INPUTS!$B$15="yes",Q189,P189)</f>
        <v>#DIV/0!</v>
      </c>
      <c r="S189" s="536" t="e">
        <f t="shared" si="39"/>
        <v>#DIV/0!</v>
      </c>
      <c r="T189" s="537" t="e">
        <f t="shared" si="44"/>
        <v>#DIV/0!</v>
      </c>
      <c r="U189" s="538" t="e">
        <f>IF(INPUTS!$B$15="yes",T189,S189)</f>
        <v>#DIV/0!</v>
      </c>
      <c r="V189" s="536" t="e">
        <f t="shared" si="40"/>
        <v>#DIV/0!</v>
      </c>
      <c r="W189" s="537" t="e">
        <f t="shared" si="45"/>
        <v>#DIV/0!</v>
      </c>
      <c r="X189" s="538" t="e">
        <f>IF(INPUTS!$B$15="yes",W189,V189)</f>
        <v>#DIV/0!</v>
      </c>
      <c r="Y189" s="536" t="e">
        <f t="shared" si="41"/>
        <v>#DIV/0!</v>
      </c>
      <c r="Z189" s="537" t="e">
        <f t="shared" si="46"/>
        <v>#DIV/0!</v>
      </c>
      <c r="AA189" s="538" t="e">
        <f>IF(INPUTS!$B$15="yes",Z189,Y189)</f>
        <v>#DIV/0!</v>
      </c>
      <c r="AB189" s="536" t="e">
        <f t="shared" si="42"/>
        <v>#DIV/0!</v>
      </c>
      <c r="AC189" s="537" t="e">
        <f t="shared" si="47"/>
        <v>#DIV/0!</v>
      </c>
      <c r="AD189" s="538" t="e">
        <f>IF(INPUTS!$B$15="yes",AC189,AB189)</f>
        <v>#DIV/0!</v>
      </c>
      <c r="AE189" s="36" t="str">
        <f t="shared" si="48"/>
        <v>no</v>
      </c>
      <c r="AF189" s="36"/>
      <c r="AG189" s="389" t="e">
        <f>P189*('upper bound Kenaga'!$F$36/100)</f>
        <v>#DIV/0!</v>
      </c>
      <c r="AH189" s="36"/>
      <c r="AI189" s="389" t="e">
        <f>P189*('upper bound Kenaga'!$F$96/100)</f>
        <v>#DIV/0!</v>
      </c>
      <c r="AJ189" s="36"/>
      <c r="AK189" s="36"/>
      <c r="AL189" s="36"/>
      <c r="AM189" s="36"/>
      <c r="AN189" s="36"/>
      <c r="AO189" s="36"/>
    </row>
    <row r="190" spans="1:41">
      <c r="J190" s="6">
        <f>COUNTIF(K$21:K190,"=yes")</f>
        <v>1</v>
      </c>
      <c r="K190" s="533" t="str">
        <f>IF(LOOKUP(VALUE(M190),INPUTS!$G$6:$G$35)=M190,"yes","no")</f>
        <v>no</v>
      </c>
      <c r="L190" s="533">
        <f>IF(K190="yes",(LOOKUP(J190,INPUTS!$E$6:$E$35,INPUTS!$F$6:$F$35)),0)</f>
        <v>0</v>
      </c>
      <c r="M190" s="135">
        <f t="shared" si="36"/>
        <v>169</v>
      </c>
      <c r="N190" s="135">
        <f t="shared" si="37"/>
        <v>1</v>
      </c>
      <c r="O190" s="135">
        <f t="shared" si="38"/>
        <v>0</v>
      </c>
      <c r="P190" s="536" t="e">
        <f t="shared" si="49"/>
        <v>#DIV/0!</v>
      </c>
      <c r="Q190" s="537" t="e">
        <f t="shared" si="43"/>
        <v>#DIV/0!</v>
      </c>
      <c r="R190" s="538" t="e">
        <f>IF(INPUTS!$B$15="yes",Q190,P190)</f>
        <v>#DIV/0!</v>
      </c>
      <c r="S190" s="536" t="e">
        <f t="shared" si="39"/>
        <v>#DIV/0!</v>
      </c>
      <c r="T190" s="537" t="e">
        <f t="shared" si="44"/>
        <v>#DIV/0!</v>
      </c>
      <c r="U190" s="538" t="e">
        <f>IF(INPUTS!$B$15="yes",T190,S190)</f>
        <v>#DIV/0!</v>
      </c>
      <c r="V190" s="536" t="e">
        <f t="shared" si="40"/>
        <v>#DIV/0!</v>
      </c>
      <c r="W190" s="537" t="e">
        <f t="shared" si="45"/>
        <v>#DIV/0!</v>
      </c>
      <c r="X190" s="538" t="e">
        <f>IF(INPUTS!$B$15="yes",W190,V190)</f>
        <v>#DIV/0!</v>
      </c>
      <c r="Y190" s="536" t="e">
        <f t="shared" si="41"/>
        <v>#DIV/0!</v>
      </c>
      <c r="Z190" s="537" t="e">
        <f t="shared" si="46"/>
        <v>#DIV/0!</v>
      </c>
      <c r="AA190" s="538" t="e">
        <f>IF(INPUTS!$B$15="yes",Z190,Y190)</f>
        <v>#DIV/0!</v>
      </c>
      <c r="AB190" s="536" t="e">
        <f t="shared" si="42"/>
        <v>#DIV/0!</v>
      </c>
      <c r="AC190" s="537" t="e">
        <f t="shared" si="47"/>
        <v>#DIV/0!</v>
      </c>
      <c r="AD190" s="538" t="e">
        <f>IF(INPUTS!$B$15="yes",AC190,AB190)</f>
        <v>#DIV/0!</v>
      </c>
      <c r="AE190" s="36" t="str">
        <f t="shared" si="48"/>
        <v>no</v>
      </c>
      <c r="AF190" s="36"/>
      <c r="AG190" s="389" t="e">
        <f>P190*('upper bound Kenaga'!$F$36/100)</f>
        <v>#DIV/0!</v>
      </c>
      <c r="AH190" s="36"/>
      <c r="AI190" s="389" t="e">
        <f>P190*('upper bound Kenaga'!$F$96/100)</f>
        <v>#DIV/0!</v>
      </c>
      <c r="AJ190" s="36"/>
      <c r="AK190" s="36"/>
      <c r="AL190" s="36"/>
      <c r="AM190" s="36"/>
      <c r="AN190" s="36"/>
      <c r="AO190" s="36"/>
    </row>
    <row r="191" spans="1:41">
      <c r="J191" s="6">
        <f>COUNTIF(K$21:K191,"=yes")</f>
        <v>1</v>
      </c>
      <c r="K191" s="533" t="str">
        <f>IF(LOOKUP(VALUE(M191),INPUTS!$G$6:$G$35)=M191,"yes","no")</f>
        <v>no</v>
      </c>
      <c r="L191" s="533">
        <f>IF(K191="yes",(LOOKUP(J191,INPUTS!$E$6:$E$35,INPUTS!$F$6:$F$35)),0)</f>
        <v>0</v>
      </c>
      <c r="M191" s="135">
        <f t="shared" si="36"/>
        <v>170</v>
      </c>
      <c r="N191" s="135">
        <f t="shared" si="37"/>
        <v>1</v>
      </c>
      <c r="O191" s="135">
        <f t="shared" si="38"/>
        <v>0</v>
      </c>
      <c r="P191" s="536" t="e">
        <f t="shared" si="49"/>
        <v>#DIV/0!</v>
      </c>
      <c r="Q191" s="537" t="e">
        <f t="shared" si="43"/>
        <v>#DIV/0!</v>
      </c>
      <c r="R191" s="538" t="e">
        <f>IF(INPUTS!$B$15="yes",Q191,P191)</f>
        <v>#DIV/0!</v>
      </c>
      <c r="S191" s="536" t="e">
        <f t="shared" si="39"/>
        <v>#DIV/0!</v>
      </c>
      <c r="T191" s="537" t="e">
        <f t="shared" si="44"/>
        <v>#DIV/0!</v>
      </c>
      <c r="U191" s="538" t="e">
        <f>IF(INPUTS!$B$15="yes",T191,S191)</f>
        <v>#DIV/0!</v>
      </c>
      <c r="V191" s="536" t="e">
        <f t="shared" si="40"/>
        <v>#DIV/0!</v>
      </c>
      <c r="W191" s="537" t="e">
        <f t="shared" si="45"/>
        <v>#DIV/0!</v>
      </c>
      <c r="X191" s="538" t="e">
        <f>IF(INPUTS!$B$15="yes",W191,V191)</f>
        <v>#DIV/0!</v>
      </c>
      <c r="Y191" s="536" t="e">
        <f t="shared" si="41"/>
        <v>#DIV/0!</v>
      </c>
      <c r="Z191" s="537" t="e">
        <f t="shared" si="46"/>
        <v>#DIV/0!</v>
      </c>
      <c r="AA191" s="538" t="e">
        <f>IF(INPUTS!$B$15="yes",Z191,Y191)</f>
        <v>#DIV/0!</v>
      </c>
      <c r="AB191" s="536" t="e">
        <f t="shared" si="42"/>
        <v>#DIV/0!</v>
      </c>
      <c r="AC191" s="537" t="e">
        <f t="shared" si="47"/>
        <v>#DIV/0!</v>
      </c>
      <c r="AD191" s="538" t="e">
        <f>IF(INPUTS!$B$15="yes",AC191,AB191)</f>
        <v>#DIV/0!</v>
      </c>
      <c r="AE191" s="36" t="str">
        <f t="shared" si="48"/>
        <v>no</v>
      </c>
      <c r="AF191" s="36"/>
      <c r="AG191" s="389" t="e">
        <f>P191*('upper bound Kenaga'!$F$36/100)</f>
        <v>#DIV/0!</v>
      </c>
      <c r="AH191" s="36"/>
      <c r="AI191" s="389" t="e">
        <f>P191*('upper bound Kenaga'!$F$96/100)</f>
        <v>#DIV/0!</v>
      </c>
      <c r="AJ191" s="36"/>
      <c r="AK191" s="36"/>
      <c r="AL191" s="36"/>
      <c r="AM191" s="36"/>
      <c r="AN191" s="36"/>
      <c r="AO191" s="36"/>
    </row>
    <row r="192" spans="1:41">
      <c r="J192" s="6">
        <f>COUNTIF(K$21:K192,"=yes")</f>
        <v>1</v>
      </c>
      <c r="K192" s="533" t="str">
        <f>IF(LOOKUP(VALUE(M192),INPUTS!$G$6:$G$35)=M192,"yes","no")</f>
        <v>no</v>
      </c>
      <c r="L192" s="533">
        <f>IF(K192="yes",(LOOKUP(J192,INPUTS!$E$6:$E$35,INPUTS!$F$6:$F$35)),0)</f>
        <v>0</v>
      </c>
      <c r="M192" s="135">
        <f t="shared" si="36"/>
        <v>171</v>
      </c>
      <c r="N192" s="135">
        <f t="shared" si="37"/>
        <v>1</v>
      </c>
      <c r="O192" s="135">
        <f t="shared" si="38"/>
        <v>0</v>
      </c>
      <c r="P192" s="536" t="e">
        <f t="shared" si="49"/>
        <v>#DIV/0!</v>
      </c>
      <c r="Q192" s="537" t="e">
        <f t="shared" si="43"/>
        <v>#DIV/0!</v>
      </c>
      <c r="R192" s="538" t="e">
        <f>IF(INPUTS!$B$15="yes",Q192,P192)</f>
        <v>#DIV/0!</v>
      </c>
      <c r="S192" s="536" t="e">
        <f t="shared" si="39"/>
        <v>#DIV/0!</v>
      </c>
      <c r="T192" s="537" t="e">
        <f t="shared" si="44"/>
        <v>#DIV/0!</v>
      </c>
      <c r="U192" s="538" t="e">
        <f>IF(INPUTS!$B$15="yes",T192,S192)</f>
        <v>#DIV/0!</v>
      </c>
      <c r="V192" s="536" t="e">
        <f t="shared" si="40"/>
        <v>#DIV/0!</v>
      </c>
      <c r="W192" s="537" t="e">
        <f t="shared" si="45"/>
        <v>#DIV/0!</v>
      </c>
      <c r="X192" s="538" t="e">
        <f>IF(INPUTS!$B$15="yes",W192,V192)</f>
        <v>#DIV/0!</v>
      </c>
      <c r="Y192" s="536" t="e">
        <f t="shared" si="41"/>
        <v>#DIV/0!</v>
      </c>
      <c r="Z192" s="537" t="e">
        <f t="shared" si="46"/>
        <v>#DIV/0!</v>
      </c>
      <c r="AA192" s="538" t="e">
        <f>IF(INPUTS!$B$15="yes",Z192,Y192)</f>
        <v>#DIV/0!</v>
      </c>
      <c r="AB192" s="536" t="e">
        <f t="shared" si="42"/>
        <v>#DIV/0!</v>
      </c>
      <c r="AC192" s="537" t="e">
        <f t="shared" si="47"/>
        <v>#DIV/0!</v>
      </c>
      <c r="AD192" s="538" t="e">
        <f>IF(INPUTS!$B$15="yes",AC192,AB192)</f>
        <v>#DIV/0!</v>
      </c>
      <c r="AE192" s="36" t="str">
        <f t="shared" si="48"/>
        <v>no</v>
      </c>
      <c r="AF192" s="36"/>
      <c r="AG192" s="389" t="e">
        <f>P192*('upper bound Kenaga'!$F$36/100)</f>
        <v>#DIV/0!</v>
      </c>
      <c r="AH192" s="36"/>
      <c r="AI192" s="389" t="e">
        <f>P192*('upper bound Kenaga'!$F$96/100)</f>
        <v>#DIV/0!</v>
      </c>
      <c r="AJ192" s="36"/>
      <c r="AK192" s="36"/>
      <c r="AL192" s="36"/>
      <c r="AM192" s="36"/>
      <c r="AN192" s="36"/>
      <c r="AO192" s="36"/>
    </row>
    <row r="193" spans="10:41" s="1" customFormat="1">
      <c r="J193" s="6">
        <f>COUNTIF(K$21:K193,"=yes")</f>
        <v>1</v>
      </c>
      <c r="K193" s="533" t="str">
        <f>IF(LOOKUP(VALUE(M193),INPUTS!$G$6:$G$35)=M193,"yes","no")</f>
        <v>no</v>
      </c>
      <c r="L193" s="533">
        <f>IF(K193="yes",(LOOKUP(J193,INPUTS!$E$6:$E$35,INPUTS!$F$6:$F$35)),0)</f>
        <v>0</v>
      </c>
      <c r="M193" s="135">
        <f t="shared" si="36"/>
        <v>172</v>
      </c>
      <c r="N193" s="135">
        <f t="shared" si="37"/>
        <v>1</v>
      </c>
      <c r="O193" s="135">
        <f t="shared" si="38"/>
        <v>0</v>
      </c>
      <c r="P193" s="536" t="e">
        <f t="shared" si="49"/>
        <v>#DIV/0!</v>
      </c>
      <c r="Q193" s="537" t="e">
        <f t="shared" si="43"/>
        <v>#DIV/0!</v>
      </c>
      <c r="R193" s="538" t="e">
        <f>IF(INPUTS!$B$15="yes",Q193,P193)</f>
        <v>#DIV/0!</v>
      </c>
      <c r="S193" s="536" t="e">
        <f t="shared" si="39"/>
        <v>#DIV/0!</v>
      </c>
      <c r="T193" s="537" t="e">
        <f t="shared" si="44"/>
        <v>#DIV/0!</v>
      </c>
      <c r="U193" s="538" t="e">
        <f>IF(INPUTS!$B$15="yes",T193,S193)</f>
        <v>#DIV/0!</v>
      </c>
      <c r="V193" s="536" t="e">
        <f t="shared" si="40"/>
        <v>#DIV/0!</v>
      </c>
      <c r="W193" s="537" t="e">
        <f t="shared" si="45"/>
        <v>#DIV/0!</v>
      </c>
      <c r="X193" s="538" t="e">
        <f>IF(INPUTS!$B$15="yes",W193,V193)</f>
        <v>#DIV/0!</v>
      </c>
      <c r="Y193" s="536" t="e">
        <f t="shared" si="41"/>
        <v>#DIV/0!</v>
      </c>
      <c r="Z193" s="537" t="e">
        <f t="shared" si="46"/>
        <v>#DIV/0!</v>
      </c>
      <c r="AA193" s="538" t="e">
        <f>IF(INPUTS!$B$15="yes",Z193,Y193)</f>
        <v>#DIV/0!</v>
      </c>
      <c r="AB193" s="536" t="e">
        <f t="shared" si="42"/>
        <v>#DIV/0!</v>
      </c>
      <c r="AC193" s="537" t="e">
        <f t="shared" si="47"/>
        <v>#DIV/0!</v>
      </c>
      <c r="AD193" s="538" t="e">
        <f>IF(INPUTS!$B$15="yes",AC193,AB193)</f>
        <v>#DIV/0!</v>
      </c>
      <c r="AE193" s="36" t="str">
        <f t="shared" si="48"/>
        <v>no</v>
      </c>
      <c r="AF193" s="36"/>
      <c r="AG193" s="389" t="e">
        <f>P193*('upper bound Kenaga'!$F$36/100)</f>
        <v>#DIV/0!</v>
      </c>
      <c r="AH193" s="36"/>
      <c r="AI193" s="389" t="e">
        <f>P193*('upper bound Kenaga'!$F$96/100)</f>
        <v>#DIV/0!</v>
      </c>
      <c r="AJ193" s="36"/>
      <c r="AK193" s="36"/>
      <c r="AL193" s="36"/>
      <c r="AM193" s="36"/>
      <c r="AN193" s="36"/>
      <c r="AO193" s="36"/>
    </row>
    <row r="194" spans="10:41" s="1" customFormat="1">
      <c r="J194" s="6">
        <f>COUNTIF(K$21:K194,"=yes")</f>
        <v>1</v>
      </c>
      <c r="K194" s="533" t="str">
        <f>IF(LOOKUP(VALUE(M194),INPUTS!$G$6:$G$35)=M194,"yes","no")</f>
        <v>no</v>
      </c>
      <c r="L194" s="533">
        <f>IF(K194="yes",(LOOKUP(J194,INPUTS!$E$6:$E$35,INPUTS!$F$6:$F$35)),0)</f>
        <v>0</v>
      </c>
      <c r="M194" s="135">
        <f t="shared" si="36"/>
        <v>173</v>
      </c>
      <c r="N194" s="135">
        <f t="shared" si="37"/>
        <v>1</v>
      </c>
      <c r="O194" s="135">
        <f t="shared" si="38"/>
        <v>0</v>
      </c>
      <c r="P194" s="536" t="e">
        <f t="shared" si="49"/>
        <v>#DIV/0!</v>
      </c>
      <c r="Q194" s="537" t="e">
        <f t="shared" si="43"/>
        <v>#DIV/0!</v>
      </c>
      <c r="R194" s="538" t="e">
        <f>IF(INPUTS!$B$15="yes",Q194,P194)</f>
        <v>#DIV/0!</v>
      </c>
      <c r="S194" s="536" t="e">
        <f t="shared" si="39"/>
        <v>#DIV/0!</v>
      </c>
      <c r="T194" s="537" t="e">
        <f t="shared" si="44"/>
        <v>#DIV/0!</v>
      </c>
      <c r="U194" s="538" t="e">
        <f>IF(INPUTS!$B$15="yes",T194,S194)</f>
        <v>#DIV/0!</v>
      </c>
      <c r="V194" s="536" t="e">
        <f t="shared" si="40"/>
        <v>#DIV/0!</v>
      </c>
      <c r="W194" s="537" t="e">
        <f t="shared" si="45"/>
        <v>#DIV/0!</v>
      </c>
      <c r="X194" s="538" t="e">
        <f>IF(INPUTS!$B$15="yes",W194,V194)</f>
        <v>#DIV/0!</v>
      </c>
      <c r="Y194" s="536" t="e">
        <f t="shared" si="41"/>
        <v>#DIV/0!</v>
      </c>
      <c r="Z194" s="537" t="e">
        <f t="shared" si="46"/>
        <v>#DIV/0!</v>
      </c>
      <c r="AA194" s="538" t="e">
        <f>IF(INPUTS!$B$15="yes",Z194,Y194)</f>
        <v>#DIV/0!</v>
      </c>
      <c r="AB194" s="536" t="e">
        <f t="shared" si="42"/>
        <v>#DIV/0!</v>
      </c>
      <c r="AC194" s="537" t="e">
        <f t="shared" si="47"/>
        <v>#DIV/0!</v>
      </c>
      <c r="AD194" s="538" t="e">
        <f>IF(INPUTS!$B$15="yes",AC194,AB194)</f>
        <v>#DIV/0!</v>
      </c>
      <c r="AE194" s="36" t="str">
        <f t="shared" si="48"/>
        <v>no</v>
      </c>
      <c r="AF194" s="36"/>
      <c r="AG194" s="389" t="e">
        <f>P194*('upper bound Kenaga'!$F$36/100)</f>
        <v>#DIV/0!</v>
      </c>
      <c r="AH194" s="36"/>
      <c r="AI194" s="389" t="e">
        <f>P194*('upper bound Kenaga'!$F$96/100)</f>
        <v>#DIV/0!</v>
      </c>
      <c r="AJ194" s="36"/>
      <c r="AK194" s="36"/>
      <c r="AL194" s="36"/>
      <c r="AM194" s="36"/>
      <c r="AN194" s="36"/>
      <c r="AO194" s="36"/>
    </row>
    <row r="195" spans="10:41" s="1" customFormat="1">
      <c r="J195" s="6">
        <f>COUNTIF(K$21:K195,"=yes")</f>
        <v>1</v>
      </c>
      <c r="K195" s="533" t="str">
        <f>IF(LOOKUP(VALUE(M195),INPUTS!$G$6:$G$35)=M195,"yes","no")</f>
        <v>no</v>
      </c>
      <c r="L195" s="533">
        <f>IF(K195="yes",(LOOKUP(J195,INPUTS!$E$6:$E$35,INPUTS!$F$6:$F$35)),0)</f>
        <v>0</v>
      </c>
      <c r="M195" s="135">
        <f t="shared" si="36"/>
        <v>174</v>
      </c>
      <c r="N195" s="135">
        <f t="shared" si="37"/>
        <v>1</v>
      </c>
      <c r="O195" s="135">
        <f t="shared" si="38"/>
        <v>0</v>
      </c>
      <c r="P195" s="536" t="e">
        <f t="shared" si="49"/>
        <v>#DIV/0!</v>
      </c>
      <c r="Q195" s="537" t="e">
        <f t="shared" si="43"/>
        <v>#DIV/0!</v>
      </c>
      <c r="R195" s="538" t="e">
        <f>IF(INPUTS!$B$15="yes",Q195,P195)</f>
        <v>#DIV/0!</v>
      </c>
      <c r="S195" s="536" t="e">
        <f t="shared" si="39"/>
        <v>#DIV/0!</v>
      </c>
      <c r="T195" s="537" t="e">
        <f t="shared" si="44"/>
        <v>#DIV/0!</v>
      </c>
      <c r="U195" s="538" t="e">
        <f>IF(INPUTS!$B$15="yes",T195,S195)</f>
        <v>#DIV/0!</v>
      </c>
      <c r="V195" s="536" t="e">
        <f t="shared" si="40"/>
        <v>#DIV/0!</v>
      </c>
      <c r="W195" s="537" t="e">
        <f t="shared" si="45"/>
        <v>#DIV/0!</v>
      </c>
      <c r="X195" s="538" t="e">
        <f>IF(INPUTS!$B$15="yes",W195,V195)</f>
        <v>#DIV/0!</v>
      </c>
      <c r="Y195" s="536" t="e">
        <f t="shared" si="41"/>
        <v>#DIV/0!</v>
      </c>
      <c r="Z195" s="537" t="e">
        <f t="shared" si="46"/>
        <v>#DIV/0!</v>
      </c>
      <c r="AA195" s="538" t="e">
        <f>IF(INPUTS!$B$15="yes",Z195,Y195)</f>
        <v>#DIV/0!</v>
      </c>
      <c r="AB195" s="536" t="e">
        <f t="shared" si="42"/>
        <v>#DIV/0!</v>
      </c>
      <c r="AC195" s="537" t="e">
        <f t="shared" si="47"/>
        <v>#DIV/0!</v>
      </c>
      <c r="AD195" s="538" t="e">
        <f>IF(INPUTS!$B$15="yes",AC195,AB195)</f>
        <v>#DIV/0!</v>
      </c>
      <c r="AE195" s="36" t="str">
        <f t="shared" si="48"/>
        <v>no</v>
      </c>
      <c r="AF195" s="36"/>
      <c r="AG195" s="389" t="e">
        <f>P195*('upper bound Kenaga'!$F$36/100)</f>
        <v>#DIV/0!</v>
      </c>
      <c r="AH195" s="36"/>
      <c r="AI195" s="389" t="e">
        <f>P195*('upper bound Kenaga'!$F$96/100)</f>
        <v>#DIV/0!</v>
      </c>
      <c r="AJ195" s="36"/>
      <c r="AK195" s="36"/>
      <c r="AL195" s="36"/>
      <c r="AM195" s="36"/>
      <c r="AN195" s="36"/>
      <c r="AO195" s="36"/>
    </row>
    <row r="196" spans="10:41" s="1" customFormat="1">
      <c r="J196" s="6">
        <f>COUNTIF(K$21:K196,"=yes")</f>
        <v>1</v>
      </c>
      <c r="K196" s="533" t="str">
        <f>IF(LOOKUP(VALUE(M196),INPUTS!$G$6:$G$35)=M196,"yes","no")</f>
        <v>no</v>
      </c>
      <c r="L196" s="533">
        <f>IF(K196="yes",(LOOKUP(J196,INPUTS!$E$6:$E$35,INPUTS!$F$6:$F$35)),0)</f>
        <v>0</v>
      </c>
      <c r="M196" s="135">
        <f t="shared" si="36"/>
        <v>175</v>
      </c>
      <c r="N196" s="135">
        <f t="shared" si="37"/>
        <v>1</v>
      </c>
      <c r="O196" s="135">
        <f t="shared" si="38"/>
        <v>0</v>
      </c>
      <c r="P196" s="536" t="e">
        <f t="shared" si="49"/>
        <v>#DIV/0!</v>
      </c>
      <c r="Q196" s="537" t="e">
        <f t="shared" si="43"/>
        <v>#DIV/0!</v>
      </c>
      <c r="R196" s="538" t="e">
        <f>IF(INPUTS!$B$15="yes",Q196,P196)</f>
        <v>#DIV/0!</v>
      </c>
      <c r="S196" s="536" t="e">
        <f t="shared" si="39"/>
        <v>#DIV/0!</v>
      </c>
      <c r="T196" s="537" t="e">
        <f t="shared" si="44"/>
        <v>#DIV/0!</v>
      </c>
      <c r="U196" s="538" t="e">
        <f>IF(INPUTS!$B$15="yes",T196,S196)</f>
        <v>#DIV/0!</v>
      </c>
      <c r="V196" s="536" t="e">
        <f t="shared" si="40"/>
        <v>#DIV/0!</v>
      </c>
      <c r="W196" s="537" t="e">
        <f t="shared" si="45"/>
        <v>#DIV/0!</v>
      </c>
      <c r="X196" s="538" t="e">
        <f>IF(INPUTS!$B$15="yes",W196,V196)</f>
        <v>#DIV/0!</v>
      </c>
      <c r="Y196" s="536" t="e">
        <f t="shared" si="41"/>
        <v>#DIV/0!</v>
      </c>
      <c r="Z196" s="537" t="e">
        <f t="shared" si="46"/>
        <v>#DIV/0!</v>
      </c>
      <c r="AA196" s="538" t="e">
        <f>IF(INPUTS!$B$15="yes",Z196,Y196)</f>
        <v>#DIV/0!</v>
      </c>
      <c r="AB196" s="536" t="e">
        <f t="shared" si="42"/>
        <v>#DIV/0!</v>
      </c>
      <c r="AC196" s="537" t="e">
        <f t="shared" si="47"/>
        <v>#DIV/0!</v>
      </c>
      <c r="AD196" s="538" t="e">
        <f>IF(INPUTS!$B$15="yes",AC196,AB196)</f>
        <v>#DIV/0!</v>
      </c>
      <c r="AE196" s="36" t="str">
        <f t="shared" si="48"/>
        <v>no</v>
      </c>
      <c r="AF196" s="36"/>
      <c r="AG196" s="389" t="e">
        <f>P196*('upper bound Kenaga'!$F$36/100)</f>
        <v>#DIV/0!</v>
      </c>
      <c r="AH196" s="36"/>
      <c r="AI196" s="389" t="e">
        <f>P196*('upper bound Kenaga'!$F$96/100)</f>
        <v>#DIV/0!</v>
      </c>
      <c r="AJ196" s="36"/>
      <c r="AK196" s="36"/>
      <c r="AL196" s="36"/>
      <c r="AM196" s="36"/>
      <c r="AN196" s="36"/>
      <c r="AO196" s="36"/>
    </row>
    <row r="197" spans="10:41" s="1" customFormat="1">
      <c r="J197" s="6">
        <f>COUNTIF(K$21:K197,"=yes")</f>
        <v>1</v>
      </c>
      <c r="K197" s="533" t="str">
        <f>IF(LOOKUP(VALUE(M197),INPUTS!$G$6:$G$35)=M197,"yes","no")</f>
        <v>no</v>
      </c>
      <c r="L197" s="533">
        <f>IF(K197="yes",(LOOKUP(J197,INPUTS!$E$6:$E$35,INPUTS!$F$6:$F$35)),0)</f>
        <v>0</v>
      </c>
      <c r="M197" s="135">
        <f t="shared" si="36"/>
        <v>176</v>
      </c>
      <c r="N197" s="135">
        <f t="shared" si="37"/>
        <v>1</v>
      </c>
      <c r="O197" s="135">
        <f t="shared" si="38"/>
        <v>0</v>
      </c>
      <c r="P197" s="536" t="e">
        <f t="shared" si="49"/>
        <v>#DIV/0!</v>
      </c>
      <c r="Q197" s="537" t="e">
        <f t="shared" si="43"/>
        <v>#DIV/0!</v>
      </c>
      <c r="R197" s="538" t="e">
        <f>IF(INPUTS!$B$15="yes",Q197,P197)</f>
        <v>#DIV/0!</v>
      </c>
      <c r="S197" s="536" t="e">
        <f t="shared" si="39"/>
        <v>#DIV/0!</v>
      </c>
      <c r="T197" s="537" t="e">
        <f t="shared" si="44"/>
        <v>#DIV/0!</v>
      </c>
      <c r="U197" s="538" t="e">
        <f>IF(INPUTS!$B$15="yes",T197,S197)</f>
        <v>#DIV/0!</v>
      </c>
      <c r="V197" s="536" t="e">
        <f t="shared" si="40"/>
        <v>#DIV/0!</v>
      </c>
      <c r="W197" s="537" t="e">
        <f t="shared" si="45"/>
        <v>#DIV/0!</v>
      </c>
      <c r="X197" s="538" t="e">
        <f>IF(INPUTS!$B$15="yes",W197,V197)</f>
        <v>#DIV/0!</v>
      </c>
      <c r="Y197" s="536" t="e">
        <f t="shared" si="41"/>
        <v>#DIV/0!</v>
      </c>
      <c r="Z197" s="537" t="e">
        <f t="shared" si="46"/>
        <v>#DIV/0!</v>
      </c>
      <c r="AA197" s="538" t="e">
        <f>IF(INPUTS!$B$15="yes",Z197,Y197)</f>
        <v>#DIV/0!</v>
      </c>
      <c r="AB197" s="536" t="e">
        <f t="shared" si="42"/>
        <v>#DIV/0!</v>
      </c>
      <c r="AC197" s="537" t="e">
        <f t="shared" si="47"/>
        <v>#DIV/0!</v>
      </c>
      <c r="AD197" s="538" t="e">
        <f>IF(INPUTS!$B$15="yes",AC197,AB197)</f>
        <v>#DIV/0!</v>
      </c>
      <c r="AE197" s="36" t="str">
        <f t="shared" si="48"/>
        <v>no</v>
      </c>
      <c r="AF197" s="36"/>
      <c r="AG197" s="389" t="e">
        <f>P197*('upper bound Kenaga'!$F$36/100)</f>
        <v>#DIV/0!</v>
      </c>
      <c r="AH197" s="36"/>
      <c r="AI197" s="389" t="e">
        <f>P197*('upper bound Kenaga'!$F$96/100)</f>
        <v>#DIV/0!</v>
      </c>
      <c r="AJ197" s="36"/>
      <c r="AK197" s="36"/>
      <c r="AL197" s="36"/>
      <c r="AM197" s="36"/>
      <c r="AN197" s="36"/>
      <c r="AO197" s="36"/>
    </row>
    <row r="198" spans="10:41" s="1" customFormat="1">
      <c r="J198" s="6">
        <f>COUNTIF(K$21:K198,"=yes")</f>
        <v>1</v>
      </c>
      <c r="K198" s="533" t="str">
        <f>IF(LOOKUP(VALUE(M198),INPUTS!$G$6:$G$35)=M198,"yes","no")</f>
        <v>no</v>
      </c>
      <c r="L198" s="533">
        <f>IF(K198="yes",(LOOKUP(J198,INPUTS!$E$6:$E$35,INPUTS!$F$6:$F$35)),0)</f>
        <v>0</v>
      </c>
      <c r="M198" s="135">
        <f t="shared" si="36"/>
        <v>177</v>
      </c>
      <c r="N198" s="135">
        <f t="shared" si="37"/>
        <v>1</v>
      </c>
      <c r="O198" s="135">
        <f t="shared" si="38"/>
        <v>0</v>
      </c>
      <c r="P198" s="536" t="e">
        <f t="shared" si="49"/>
        <v>#DIV/0!</v>
      </c>
      <c r="Q198" s="537" t="e">
        <f t="shared" si="43"/>
        <v>#DIV/0!</v>
      </c>
      <c r="R198" s="538" t="e">
        <f>IF(INPUTS!$B$15="yes",Q198,P198)</f>
        <v>#DIV/0!</v>
      </c>
      <c r="S198" s="536" t="e">
        <f t="shared" si="39"/>
        <v>#DIV/0!</v>
      </c>
      <c r="T198" s="537" t="e">
        <f t="shared" si="44"/>
        <v>#DIV/0!</v>
      </c>
      <c r="U198" s="538" t="e">
        <f>IF(INPUTS!$B$15="yes",T198,S198)</f>
        <v>#DIV/0!</v>
      </c>
      <c r="V198" s="536" t="e">
        <f t="shared" si="40"/>
        <v>#DIV/0!</v>
      </c>
      <c r="W198" s="537" t="e">
        <f t="shared" si="45"/>
        <v>#DIV/0!</v>
      </c>
      <c r="X198" s="538" t="e">
        <f>IF(INPUTS!$B$15="yes",W198,V198)</f>
        <v>#DIV/0!</v>
      </c>
      <c r="Y198" s="536" t="e">
        <f t="shared" si="41"/>
        <v>#DIV/0!</v>
      </c>
      <c r="Z198" s="537" t="e">
        <f t="shared" si="46"/>
        <v>#DIV/0!</v>
      </c>
      <c r="AA198" s="538" t="e">
        <f>IF(INPUTS!$B$15="yes",Z198,Y198)</f>
        <v>#DIV/0!</v>
      </c>
      <c r="AB198" s="536" t="e">
        <f t="shared" si="42"/>
        <v>#DIV/0!</v>
      </c>
      <c r="AC198" s="537" t="e">
        <f t="shared" si="47"/>
        <v>#DIV/0!</v>
      </c>
      <c r="AD198" s="538" t="e">
        <f>IF(INPUTS!$B$15="yes",AC198,AB198)</f>
        <v>#DIV/0!</v>
      </c>
      <c r="AE198" s="36" t="str">
        <f t="shared" si="48"/>
        <v>no</v>
      </c>
      <c r="AF198" s="36"/>
      <c r="AG198" s="389" t="e">
        <f>P198*('upper bound Kenaga'!$F$36/100)</f>
        <v>#DIV/0!</v>
      </c>
      <c r="AH198" s="36"/>
      <c r="AI198" s="389" t="e">
        <f>P198*('upper bound Kenaga'!$F$96/100)</f>
        <v>#DIV/0!</v>
      </c>
      <c r="AJ198" s="36"/>
      <c r="AK198" s="36"/>
      <c r="AL198" s="36"/>
      <c r="AM198" s="36"/>
      <c r="AN198" s="36"/>
      <c r="AO198" s="36"/>
    </row>
    <row r="199" spans="10:41" s="1" customFormat="1">
      <c r="J199" s="6">
        <f>COUNTIF(K$21:K199,"=yes")</f>
        <v>1</v>
      </c>
      <c r="K199" s="533" t="str">
        <f>IF(LOOKUP(VALUE(M199),INPUTS!$G$6:$G$35)=M199,"yes","no")</f>
        <v>no</v>
      </c>
      <c r="L199" s="533">
        <f>IF(K199="yes",(LOOKUP(J199,INPUTS!$E$6:$E$35,INPUTS!$F$6:$F$35)),0)</f>
        <v>0</v>
      </c>
      <c r="M199" s="135">
        <f t="shared" si="36"/>
        <v>178</v>
      </c>
      <c r="N199" s="135">
        <f t="shared" si="37"/>
        <v>1</v>
      </c>
      <c r="O199" s="135">
        <f t="shared" si="38"/>
        <v>0</v>
      </c>
      <c r="P199" s="536" t="e">
        <f t="shared" si="49"/>
        <v>#DIV/0!</v>
      </c>
      <c r="Q199" s="537" t="e">
        <f t="shared" si="43"/>
        <v>#DIV/0!</v>
      </c>
      <c r="R199" s="538" t="e">
        <f>IF(INPUTS!$B$15="yes",Q199,P199)</f>
        <v>#DIV/0!</v>
      </c>
      <c r="S199" s="536" t="e">
        <f t="shared" si="39"/>
        <v>#DIV/0!</v>
      </c>
      <c r="T199" s="537" t="e">
        <f t="shared" si="44"/>
        <v>#DIV/0!</v>
      </c>
      <c r="U199" s="538" t="e">
        <f>IF(INPUTS!$B$15="yes",T199,S199)</f>
        <v>#DIV/0!</v>
      </c>
      <c r="V199" s="536" t="e">
        <f t="shared" si="40"/>
        <v>#DIV/0!</v>
      </c>
      <c r="W199" s="537" t="e">
        <f t="shared" si="45"/>
        <v>#DIV/0!</v>
      </c>
      <c r="X199" s="538" t="e">
        <f>IF(INPUTS!$B$15="yes",W199,V199)</f>
        <v>#DIV/0!</v>
      </c>
      <c r="Y199" s="536" t="e">
        <f t="shared" si="41"/>
        <v>#DIV/0!</v>
      </c>
      <c r="Z199" s="537" t="e">
        <f t="shared" si="46"/>
        <v>#DIV/0!</v>
      </c>
      <c r="AA199" s="538" t="e">
        <f>IF(INPUTS!$B$15="yes",Z199,Y199)</f>
        <v>#DIV/0!</v>
      </c>
      <c r="AB199" s="536" t="e">
        <f t="shared" si="42"/>
        <v>#DIV/0!</v>
      </c>
      <c r="AC199" s="537" t="e">
        <f t="shared" si="47"/>
        <v>#DIV/0!</v>
      </c>
      <c r="AD199" s="538" t="e">
        <f>IF(INPUTS!$B$15="yes",AC199,AB199)</f>
        <v>#DIV/0!</v>
      </c>
      <c r="AE199" s="36" t="str">
        <f t="shared" si="48"/>
        <v>no</v>
      </c>
      <c r="AF199" s="36"/>
      <c r="AG199" s="389" t="e">
        <f>P199*('upper bound Kenaga'!$F$36/100)</f>
        <v>#DIV/0!</v>
      </c>
      <c r="AH199" s="36"/>
      <c r="AI199" s="389" t="e">
        <f>P199*('upper bound Kenaga'!$F$96/100)</f>
        <v>#DIV/0!</v>
      </c>
      <c r="AJ199" s="36"/>
      <c r="AK199" s="36"/>
      <c r="AL199" s="36"/>
      <c r="AM199" s="36"/>
      <c r="AN199" s="36"/>
      <c r="AO199" s="36"/>
    </row>
    <row r="200" spans="10:41" s="1" customFormat="1">
      <c r="J200" s="6">
        <f>COUNTIF(K$21:K200,"=yes")</f>
        <v>1</v>
      </c>
      <c r="K200" s="533" t="str">
        <f>IF(LOOKUP(VALUE(M200),INPUTS!$G$6:$G$35)=M200,"yes","no")</f>
        <v>no</v>
      </c>
      <c r="L200" s="533">
        <f>IF(K200="yes",(LOOKUP(J200,INPUTS!$E$6:$E$35,INPUTS!$F$6:$F$35)),0)</f>
        <v>0</v>
      </c>
      <c r="M200" s="135">
        <f t="shared" si="36"/>
        <v>179</v>
      </c>
      <c r="N200" s="135">
        <f t="shared" si="37"/>
        <v>1</v>
      </c>
      <c r="O200" s="135">
        <f t="shared" si="38"/>
        <v>0</v>
      </c>
      <c r="P200" s="536" t="e">
        <f t="shared" si="49"/>
        <v>#DIV/0!</v>
      </c>
      <c r="Q200" s="537" t="e">
        <f t="shared" si="43"/>
        <v>#DIV/0!</v>
      </c>
      <c r="R200" s="538" t="e">
        <f>IF(INPUTS!$B$15="yes",Q200,P200)</f>
        <v>#DIV/0!</v>
      </c>
      <c r="S200" s="536" t="e">
        <f t="shared" si="39"/>
        <v>#DIV/0!</v>
      </c>
      <c r="T200" s="537" t="e">
        <f t="shared" si="44"/>
        <v>#DIV/0!</v>
      </c>
      <c r="U200" s="538" t="e">
        <f>IF(INPUTS!$B$15="yes",T200,S200)</f>
        <v>#DIV/0!</v>
      </c>
      <c r="V200" s="536" t="e">
        <f t="shared" si="40"/>
        <v>#DIV/0!</v>
      </c>
      <c r="W200" s="537" t="e">
        <f t="shared" si="45"/>
        <v>#DIV/0!</v>
      </c>
      <c r="X200" s="538" t="e">
        <f>IF(INPUTS!$B$15="yes",W200,V200)</f>
        <v>#DIV/0!</v>
      </c>
      <c r="Y200" s="536" t="e">
        <f t="shared" si="41"/>
        <v>#DIV/0!</v>
      </c>
      <c r="Z200" s="537" t="e">
        <f t="shared" si="46"/>
        <v>#DIV/0!</v>
      </c>
      <c r="AA200" s="538" t="e">
        <f>IF(INPUTS!$B$15="yes",Z200,Y200)</f>
        <v>#DIV/0!</v>
      </c>
      <c r="AB200" s="536" t="e">
        <f t="shared" si="42"/>
        <v>#DIV/0!</v>
      </c>
      <c r="AC200" s="537" t="e">
        <f t="shared" si="47"/>
        <v>#DIV/0!</v>
      </c>
      <c r="AD200" s="538" t="e">
        <f>IF(INPUTS!$B$15="yes",AC200,AB200)</f>
        <v>#DIV/0!</v>
      </c>
      <c r="AE200" s="36" t="str">
        <f t="shared" si="48"/>
        <v>no</v>
      </c>
      <c r="AF200" s="36"/>
      <c r="AG200" s="389" t="e">
        <f>P200*('upper bound Kenaga'!$F$36/100)</f>
        <v>#DIV/0!</v>
      </c>
      <c r="AH200" s="36"/>
      <c r="AI200" s="389" t="e">
        <f>P200*('upper bound Kenaga'!$F$96/100)</f>
        <v>#DIV/0!</v>
      </c>
      <c r="AJ200" s="36"/>
      <c r="AK200" s="36"/>
      <c r="AL200" s="36"/>
      <c r="AM200" s="36"/>
      <c r="AN200" s="36"/>
      <c r="AO200" s="36"/>
    </row>
    <row r="201" spans="10:41" s="1" customFormat="1">
      <c r="J201" s="6">
        <f>COUNTIF(K$21:K201,"=yes")</f>
        <v>1</v>
      </c>
      <c r="K201" s="533" t="str">
        <f>IF(LOOKUP(VALUE(M201),INPUTS!$G$6:$G$35)=M201,"yes","no")</f>
        <v>no</v>
      </c>
      <c r="L201" s="533">
        <f>IF(K201="yes",(LOOKUP(J201,INPUTS!$E$6:$E$35,INPUTS!$F$6:$F$35)),0)</f>
        <v>0</v>
      </c>
      <c r="M201" s="135">
        <f t="shared" si="36"/>
        <v>180</v>
      </c>
      <c r="N201" s="135">
        <f t="shared" si="37"/>
        <v>1</v>
      </c>
      <c r="O201" s="135">
        <f t="shared" si="38"/>
        <v>0</v>
      </c>
      <c r="P201" s="536" t="e">
        <f t="shared" si="49"/>
        <v>#DIV/0!</v>
      </c>
      <c r="Q201" s="537" t="e">
        <f t="shared" si="43"/>
        <v>#DIV/0!</v>
      </c>
      <c r="R201" s="538" t="e">
        <f>IF(INPUTS!$B$15="yes",Q201,P201)</f>
        <v>#DIV/0!</v>
      </c>
      <c r="S201" s="536" t="e">
        <f t="shared" si="39"/>
        <v>#DIV/0!</v>
      </c>
      <c r="T201" s="537" t="e">
        <f t="shared" si="44"/>
        <v>#DIV/0!</v>
      </c>
      <c r="U201" s="538" t="e">
        <f>IF(INPUTS!$B$15="yes",T201,S201)</f>
        <v>#DIV/0!</v>
      </c>
      <c r="V201" s="536" t="e">
        <f t="shared" si="40"/>
        <v>#DIV/0!</v>
      </c>
      <c r="W201" s="537" t="e">
        <f t="shared" si="45"/>
        <v>#DIV/0!</v>
      </c>
      <c r="X201" s="538" t="e">
        <f>IF(INPUTS!$B$15="yes",W201,V201)</f>
        <v>#DIV/0!</v>
      </c>
      <c r="Y201" s="536" t="e">
        <f t="shared" si="41"/>
        <v>#DIV/0!</v>
      </c>
      <c r="Z201" s="537" t="e">
        <f t="shared" si="46"/>
        <v>#DIV/0!</v>
      </c>
      <c r="AA201" s="538" t="e">
        <f>IF(INPUTS!$B$15="yes",Z201,Y201)</f>
        <v>#DIV/0!</v>
      </c>
      <c r="AB201" s="536" t="e">
        <f t="shared" si="42"/>
        <v>#DIV/0!</v>
      </c>
      <c r="AC201" s="537" t="e">
        <f t="shared" si="47"/>
        <v>#DIV/0!</v>
      </c>
      <c r="AD201" s="538" t="e">
        <f>IF(INPUTS!$B$15="yes",AC201,AB201)</f>
        <v>#DIV/0!</v>
      </c>
      <c r="AE201" s="36" t="str">
        <f t="shared" si="48"/>
        <v>no</v>
      </c>
      <c r="AF201" s="36"/>
      <c r="AG201" s="389" t="e">
        <f>P201*('upper bound Kenaga'!$F$36/100)</f>
        <v>#DIV/0!</v>
      </c>
      <c r="AH201" s="36"/>
      <c r="AI201" s="389" t="e">
        <f>P201*('upper bound Kenaga'!$F$96/100)</f>
        <v>#DIV/0!</v>
      </c>
      <c r="AJ201" s="36"/>
      <c r="AK201" s="36"/>
      <c r="AL201" s="36"/>
      <c r="AM201" s="36"/>
      <c r="AN201" s="36"/>
      <c r="AO201" s="36"/>
    </row>
    <row r="202" spans="10:41" s="1" customFormat="1">
      <c r="J202" s="6">
        <f>COUNTIF(K$21:K202,"=yes")</f>
        <v>1</v>
      </c>
      <c r="K202" s="533" t="str">
        <f>IF(LOOKUP(VALUE(M202),INPUTS!$G$6:$G$35)=M202,"yes","no")</f>
        <v>no</v>
      </c>
      <c r="L202" s="533">
        <f>IF(K202="yes",(LOOKUP(J202,INPUTS!$E$6:$E$35,INPUTS!$F$6:$F$35)),0)</f>
        <v>0</v>
      </c>
      <c r="M202" s="135">
        <f t="shared" si="36"/>
        <v>181</v>
      </c>
      <c r="N202" s="135">
        <f t="shared" si="37"/>
        <v>1</v>
      </c>
      <c r="O202" s="135">
        <f t="shared" si="38"/>
        <v>0</v>
      </c>
      <c r="P202" s="536" t="e">
        <f t="shared" si="49"/>
        <v>#DIV/0!</v>
      </c>
      <c r="Q202" s="537" t="e">
        <f t="shared" si="43"/>
        <v>#DIV/0!</v>
      </c>
      <c r="R202" s="538" t="e">
        <f>IF(INPUTS!$B$15="yes",Q202,P202)</f>
        <v>#DIV/0!</v>
      </c>
      <c r="S202" s="536" t="e">
        <f t="shared" si="39"/>
        <v>#DIV/0!</v>
      </c>
      <c r="T202" s="537" t="e">
        <f t="shared" si="44"/>
        <v>#DIV/0!</v>
      </c>
      <c r="U202" s="538" t="e">
        <f>IF(INPUTS!$B$15="yes",T202,S202)</f>
        <v>#DIV/0!</v>
      </c>
      <c r="V202" s="536" t="e">
        <f t="shared" si="40"/>
        <v>#DIV/0!</v>
      </c>
      <c r="W202" s="537" t="e">
        <f t="shared" si="45"/>
        <v>#DIV/0!</v>
      </c>
      <c r="X202" s="538" t="e">
        <f>IF(INPUTS!$B$15="yes",W202,V202)</f>
        <v>#DIV/0!</v>
      </c>
      <c r="Y202" s="536" t="e">
        <f t="shared" si="41"/>
        <v>#DIV/0!</v>
      </c>
      <c r="Z202" s="537" t="e">
        <f t="shared" si="46"/>
        <v>#DIV/0!</v>
      </c>
      <c r="AA202" s="538" t="e">
        <f>IF(INPUTS!$B$15="yes",Z202,Y202)</f>
        <v>#DIV/0!</v>
      </c>
      <c r="AB202" s="536" t="e">
        <f t="shared" si="42"/>
        <v>#DIV/0!</v>
      </c>
      <c r="AC202" s="537" t="e">
        <f t="shared" si="47"/>
        <v>#DIV/0!</v>
      </c>
      <c r="AD202" s="538" t="e">
        <f>IF(INPUTS!$B$15="yes",AC202,AB202)</f>
        <v>#DIV/0!</v>
      </c>
      <c r="AE202" s="36" t="str">
        <f t="shared" si="48"/>
        <v>no</v>
      </c>
      <c r="AF202" s="36"/>
      <c r="AG202" s="389" t="e">
        <f>P202*('upper bound Kenaga'!$F$36/100)</f>
        <v>#DIV/0!</v>
      </c>
      <c r="AH202" s="36"/>
      <c r="AI202" s="389" t="e">
        <f>P202*('upper bound Kenaga'!$F$96/100)</f>
        <v>#DIV/0!</v>
      </c>
      <c r="AJ202" s="36"/>
      <c r="AK202" s="36"/>
      <c r="AL202" s="36"/>
      <c r="AM202" s="36"/>
      <c r="AN202" s="36"/>
      <c r="AO202" s="36"/>
    </row>
    <row r="203" spans="10:41" s="1" customFormat="1">
      <c r="J203" s="6">
        <f>COUNTIF(K$21:K203,"=yes")</f>
        <v>1</v>
      </c>
      <c r="K203" s="533" t="str">
        <f>IF(LOOKUP(VALUE(M203),INPUTS!$G$6:$G$35)=M203,"yes","no")</f>
        <v>no</v>
      </c>
      <c r="L203" s="533">
        <f>IF(K203="yes",(LOOKUP(J203,INPUTS!$E$6:$E$35,INPUTS!$F$6:$F$35)),0)</f>
        <v>0</v>
      </c>
      <c r="M203" s="135">
        <f t="shared" si="36"/>
        <v>182</v>
      </c>
      <c r="N203" s="135">
        <f t="shared" si="37"/>
        <v>1</v>
      </c>
      <c r="O203" s="135">
        <f t="shared" si="38"/>
        <v>0</v>
      </c>
      <c r="P203" s="536" t="e">
        <f t="shared" si="49"/>
        <v>#DIV/0!</v>
      </c>
      <c r="Q203" s="537" t="e">
        <f t="shared" si="43"/>
        <v>#DIV/0!</v>
      </c>
      <c r="R203" s="538" t="e">
        <f>IF(INPUTS!$B$15="yes",Q203,P203)</f>
        <v>#DIV/0!</v>
      </c>
      <c r="S203" s="536" t="e">
        <f t="shared" si="39"/>
        <v>#DIV/0!</v>
      </c>
      <c r="T203" s="537" t="e">
        <f t="shared" si="44"/>
        <v>#DIV/0!</v>
      </c>
      <c r="U203" s="538" t="e">
        <f>IF(INPUTS!$B$15="yes",T203,S203)</f>
        <v>#DIV/0!</v>
      </c>
      <c r="V203" s="536" t="e">
        <f t="shared" si="40"/>
        <v>#DIV/0!</v>
      </c>
      <c r="W203" s="537" t="e">
        <f t="shared" si="45"/>
        <v>#DIV/0!</v>
      </c>
      <c r="X203" s="538" t="e">
        <f>IF(INPUTS!$B$15="yes",W203,V203)</f>
        <v>#DIV/0!</v>
      </c>
      <c r="Y203" s="536" t="e">
        <f t="shared" si="41"/>
        <v>#DIV/0!</v>
      </c>
      <c r="Z203" s="537" t="e">
        <f t="shared" si="46"/>
        <v>#DIV/0!</v>
      </c>
      <c r="AA203" s="538" t="e">
        <f>IF(INPUTS!$B$15="yes",Z203,Y203)</f>
        <v>#DIV/0!</v>
      </c>
      <c r="AB203" s="536" t="e">
        <f t="shared" si="42"/>
        <v>#DIV/0!</v>
      </c>
      <c r="AC203" s="537" t="e">
        <f t="shared" si="47"/>
        <v>#DIV/0!</v>
      </c>
      <c r="AD203" s="538" t="e">
        <f>IF(INPUTS!$B$15="yes",AC203,AB203)</f>
        <v>#DIV/0!</v>
      </c>
      <c r="AE203" s="36" t="str">
        <f t="shared" si="48"/>
        <v>no</v>
      </c>
      <c r="AF203" s="36"/>
      <c r="AG203" s="389" t="e">
        <f>P203*('upper bound Kenaga'!$F$36/100)</f>
        <v>#DIV/0!</v>
      </c>
      <c r="AH203" s="36"/>
      <c r="AI203" s="389" t="e">
        <f>P203*('upper bound Kenaga'!$F$96/100)</f>
        <v>#DIV/0!</v>
      </c>
      <c r="AJ203" s="36"/>
      <c r="AK203" s="36"/>
      <c r="AL203" s="36"/>
      <c r="AM203" s="36"/>
      <c r="AN203" s="36"/>
      <c r="AO203" s="36"/>
    </row>
    <row r="204" spans="10:41" s="1" customFormat="1">
      <c r="J204" s="6">
        <f>COUNTIF(K$21:K204,"=yes")</f>
        <v>1</v>
      </c>
      <c r="K204" s="533" t="str">
        <f>IF(LOOKUP(VALUE(M204),INPUTS!$G$6:$G$35)=M204,"yes","no")</f>
        <v>no</v>
      </c>
      <c r="L204" s="533">
        <f>IF(K204="yes",(LOOKUP(J204,INPUTS!$E$6:$E$35,INPUTS!$F$6:$F$35)),0)</f>
        <v>0</v>
      </c>
      <c r="M204" s="135">
        <f t="shared" si="36"/>
        <v>183</v>
      </c>
      <c r="N204" s="135">
        <f t="shared" si="37"/>
        <v>1</v>
      </c>
      <c r="O204" s="135">
        <f t="shared" si="38"/>
        <v>0</v>
      </c>
      <c r="P204" s="536" t="e">
        <f t="shared" si="49"/>
        <v>#DIV/0!</v>
      </c>
      <c r="Q204" s="537" t="e">
        <f t="shared" si="43"/>
        <v>#DIV/0!</v>
      </c>
      <c r="R204" s="538" t="e">
        <f>IF(INPUTS!$B$15="yes",Q204,P204)</f>
        <v>#DIV/0!</v>
      </c>
      <c r="S204" s="536" t="e">
        <f t="shared" si="39"/>
        <v>#DIV/0!</v>
      </c>
      <c r="T204" s="537" t="e">
        <f t="shared" si="44"/>
        <v>#DIV/0!</v>
      </c>
      <c r="U204" s="538" t="e">
        <f>IF(INPUTS!$B$15="yes",T204,S204)</f>
        <v>#DIV/0!</v>
      </c>
      <c r="V204" s="536" t="e">
        <f t="shared" si="40"/>
        <v>#DIV/0!</v>
      </c>
      <c r="W204" s="537" t="e">
        <f t="shared" si="45"/>
        <v>#DIV/0!</v>
      </c>
      <c r="X204" s="538" t="e">
        <f>IF(INPUTS!$B$15="yes",W204,V204)</f>
        <v>#DIV/0!</v>
      </c>
      <c r="Y204" s="536" t="e">
        <f t="shared" si="41"/>
        <v>#DIV/0!</v>
      </c>
      <c r="Z204" s="537" t="e">
        <f t="shared" si="46"/>
        <v>#DIV/0!</v>
      </c>
      <c r="AA204" s="538" t="e">
        <f>IF(INPUTS!$B$15="yes",Z204,Y204)</f>
        <v>#DIV/0!</v>
      </c>
      <c r="AB204" s="536" t="e">
        <f t="shared" si="42"/>
        <v>#DIV/0!</v>
      </c>
      <c r="AC204" s="537" t="e">
        <f t="shared" si="47"/>
        <v>#DIV/0!</v>
      </c>
      <c r="AD204" s="538" t="e">
        <f>IF(INPUTS!$B$15="yes",AC204,AB204)</f>
        <v>#DIV/0!</v>
      </c>
      <c r="AE204" s="36" t="str">
        <f t="shared" si="48"/>
        <v>no</v>
      </c>
      <c r="AF204" s="36"/>
      <c r="AG204" s="389" t="e">
        <f>P204*('upper bound Kenaga'!$F$36/100)</f>
        <v>#DIV/0!</v>
      </c>
      <c r="AH204" s="36"/>
      <c r="AI204" s="389" t="e">
        <f>P204*('upper bound Kenaga'!$F$96/100)</f>
        <v>#DIV/0!</v>
      </c>
      <c r="AJ204" s="36"/>
      <c r="AK204" s="36"/>
      <c r="AL204" s="36"/>
      <c r="AM204" s="36"/>
      <c r="AN204" s="36"/>
      <c r="AO204" s="36"/>
    </row>
    <row r="205" spans="10:41" s="1" customFormat="1">
      <c r="J205" s="6">
        <f>COUNTIF(K$21:K205,"=yes")</f>
        <v>1</v>
      </c>
      <c r="K205" s="533" t="str">
        <f>IF(LOOKUP(VALUE(M205),INPUTS!$G$6:$G$35)=M205,"yes","no")</f>
        <v>no</v>
      </c>
      <c r="L205" s="533">
        <f>IF(K205="yes",(LOOKUP(J205,INPUTS!$E$6:$E$35,INPUTS!$F$6:$F$35)),0)</f>
        <v>0</v>
      </c>
      <c r="M205" s="135">
        <f t="shared" si="36"/>
        <v>184</v>
      </c>
      <c r="N205" s="135">
        <f t="shared" si="37"/>
        <v>1</v>
      </c>
      <c r="O205" s="135">
        <f t="shared" si="38"/>
        <v>0</v>
      </c>
      <c r="P205" s="536" t="e">
        <f t="shared" si="49"/>
        <v>#DIV/0!</v>
      </c>
      <c r="Q205" s="537" t="e">
        <f t="shared" si="43"/>
        <v>#DIV/0!</v>
      </c>
      <c r="R205" s="538" t="e">
        <f>IF(INPUTS!$B$15="yes",Q205,P205)</f>
        <v>#DIV/0!</v>
      </c>
      <c r="S205" s="536" t="e">
        <f t="shared" si="39"/>
        <v>#DIV/0!</v>
      </c>
      <c r="T205" s="537" t="e">
        <f t="shared" si="44"/>
        <v>#DIV/0!</v>
      </c>
      <c r="U205" s="538" t="e">
        <f>IF(INPUTS!$B$15="yes",T205,S205)</f>
        <v>#DIV/0!</v>
      </c>
      <c r="V205" s="536" t="e">
        <f t="shared" si="40"/>
        <v>#DIV/0!</v>
      </c>
      <c r="W205" s="537" t="e">
        <f t="shared" si="45"/>
        <v>#DIV/0!</v>
      </c>
      <c r="X205" s="538" t="e">
        <f>IF(INPUTS!$B$15="yes",W205,V205)</f>
        <v>#DIV/0!</v>
      </c>
      <c r="Y205" s="536" t="e">
        <f t="shared" si="41"/>
        <v>#DIV/0!</v>
      </c>
      <c r="Z205" s="537" t="e">
        <f t="shared" si="46"/>
        <v>#DIV/0!</v>
      </c>
      <c r="AA205" s="538" t="e">
        <f>IF(INPUTS!$B$15="yes",Z205,Y205)</f>
        <v>#DIV/0!</v>
      </c>
      <c r="AB205" s="536" t="e">
        <f t="shared" si="42"/>
        <v>#DIV/0!</v>
      </c>
      <c r="AC205" s="537" t="e">
        <f t="shared" si="47"/>
        <v>#DIV/0!</v>
      </c>
      <c r="AD205" s="538" t="e">
        <f>IF(INPUTS!$B$15="yes",AC205,AB205)</f>
        <v>#DIV/0!</v>
      </c>
      <c r="AE205" s="36" t="str">
        <f t="shared" si="48"/>
        <v>no</v>
      </c>
      <c r="AF205" s="36"/>
      <c r="AG205" s="389" t="e">
        <f>P205*('upper bound Kenaga'!$F$36/100)</f>
        <v>#DIV/0!</v>
      </c>
      <c r="AH205" s="36"/>
      <c r="AI205" s="389" t="e">
        <f>P205*('upper bound Kenaga'!$F$96/100)</f>
        <v>#DIV/0!</v>
      </c>
      <c r="AJ205" s="36"/>
      <c r="AK205" s="36"/>
      <c r="AL205" s="36"/>
      <c r="AM205" s="36"/>
      <c r="AN205" s="36"/>
      <c r="AO205" s="36"/>
    </row>
    <row r="206" spans="10:41" s="1" customFormat="1">
      <c r="J206" s="6">
        <f>COUNTIF(K$21:K206,"=yes")</f>
        <v>1</v>
      </c>
      <c r="K206" s="533" t="str">
        <f>IF(LOOKUP(VALUE(M206),INPUTS!$G$6:$G$35)=M206,"yes","no")</f>
        <v>no</v>
      </c>
      <c r="L206" s="533">
        <f>IF(K206="yes",(LOOKUP(J206,INPUTS!$E$6:$E$35,INPUTS!$F$6:$F$35)),0)</f>
        <v>0</v>
      </c>
      <c r="M206" s="135">
        <f t="shared" si="36"/>
        <v>185</v>
      </c>
      <c r="N206" s="135">
        <f t="shared" si="37"/>
        <v>1</v>
      </c>
      <c r="O206" s="135">
        <f t="shared" si="38"/>
        <v>0</v>
      </c>
      <c r="P206" s="536" t="e">
        <f t="shared" si="49"/>
        <v>#DIV/0!</v>
      </c>
      <c r="Q206" s="537" t="e">
        <f t="shared" si="43"/>
        <v>#DIV/0!</v>
      </c>
      <c r="R206" s="538" t="e">
        <f>IF(INPUTS!$B$15="yes",Q206,P206)</f>
        <v>#DIV/0!</v>
      </c>
      <c r="S206" s="536" t="e">
        <f t="shared" si="39"/>
        <v>#DIV/0!</v>
      </c>
      <c r="T206" s="537" t="e">
        <f t="shared" si="44"/>
        <v>#DIV/0!</v>
      </c>
      <c r="U206" s="538" t="e">
        <f>IF(INPUTS!$B$15="yes",T206,S206)</f>
        <v>#DIV/0!</v>
      </c>
      <c r="V206" s="536" t="e">
        <f t="shared" si="40"/>
        <v>#DIV/0!</v>
      </c>
      <c r="W206" s="537" t="e">
        <f t="shared" si="45"/>
        <v>#DIV/0!</v>
      </c>
      <c r="X206" s="538" t="e">
        <f>IF(INPUTS!$B$15="yes",W206,V206)</f>
        <v>#DIV/0!</v>
      </c>
      <c r="Y206" s="536" t="e">
        <f t="shared" si="41"/>
        <v>#DIV/0!</v>
      </c>
      <c r="Z206" s="537" t="e">
        <f t="shared" si="46"/>
        <v>#DIV/0!</v>
      </c>
      <c r="AA206" s="538" t="e">
        <f>IF(INPUTS!$B$15="yes",Z206,Y206)</f>
        <v>#DIV/0!</v>
      </c>
      <c r="AB206" s="536" t="e">
        <f t="shared" si="42"/>
        <v>#DIV/0!</v>
      </c>
      <c r="AC206" s="537" t="e">
        <f t="shared" si="47"/>
        <v>#DIV/0!</v>
      </c>
      <c r="AD206" s="538" t="e">
        <f>IF(INPUTS!$B$15="yes",AC206,AB206)</f>
        <v>#DIV/0!</v>
      </c>
      <c r="AE206" s="36" t="str">
        <f t="shared" si="48"/>
        <v>no</v>
      </c>
      <c r="AF206" s="36"/>
      <c r="AG206" s="389" t="e">
        <f>P206*('upper bound Kenaga'!$F$36/100)</f>
        <v>#DIV/0!</v>
      </c>
      <c r="AH206" s="36"/>
      <c r="AI206" s="389" t="e">
        <f>P206*('upper bound Kenaga'!$F$96/100)</f>
        <v>#DIV/0!</v>
      </c>
      <c r="AJ206" s="36"/>
      <c r="AK206" s="36"/>
      <c r="AL206" s="36"/>
      <c r="AM206" s="36"/>
      <c r="AN206" s="36"/>
      <c r="AO206" s="36"/>
    </row>
    <row r="207" spans="10:41" s="1" customFormat="1">
      <c r="J207" s="6">
        <f>COUNTIF(K$21:K207,"=yes")</f>
        <v>1</v>
      </c>
      <c r="K207" s="533" t="str">
        <f>IF(LOOKUP(VALUE(M207),INPUTS!$G$6:$G$35)=M207,"yes","no")</f>
        <v>no</v>
      </c>
      <c r="L207" s="533">
        <f>IF(K207="yes",(LOOKUP(J207,INPUTS!$E$6:$E$35,INPUTS!$F$6:$F$35)),0)</f>
        <v>0</v>
      </c>
      <c r="M207" s="135">
        <f t="shared" si="36"/>
        <v>186</v>
      </c>
      <c r="N207" s="135">
        <f t="shared" si="37"/>
        <v>1</v>
      </c>
      <c r="O207" s="135">
        <f t="shared" si="38"/>
        <v>0</v>
      </c>
      <c r="P207" s="536" t="e">
        <f t="shared" si="49"/>
        <v>#DIV/0!</v>
      </c>
      <c r="Q207" s="537" t="e">
        <f t="shared" si="43"/>
        <v>#DIV/0!</v>
      </c>
      <c r="R207" s="538" t="e">
        <f>IF(INPUTS!$B$15="yes",Q207,P207)</f>
        <v>#DIV/0!</v>
      </c>
      <c r="S207" s="536" t="e">
        <f t="shared" si="39"/>
        <v>#DIV/0!</v>
      </c>
      <c r="T207" s="537" t="e">
        <f t="shared" si="44"/>
        <v>#DIV/0!</v>
      </c>
      <c r="U207" s="538" t="e">
        <f>IF(INPUTS!$B$15="yes",T207,S207)</f>
        <v>#DIV/0!</v>
      </c>
      <c r="V207" s="536" t="e">
        <f t="shared" si="40"/>
        <v>#DIV/0!</v>
      </c>
      <c r="W207" s="537" t="e">
        <f t="shared" si="45"/>
        <v>#DIV/0!</v>
      </c>
      <c r="X207" s="538" t="e">
        <f>IF(INPUTS!$B$15="yes",W207,V207)</f>
        <v>#DIV/0!</v>
      </c>
      <c r="Y207" s="536" t="e">
        <f t="shared" si="41"/>
        <v>#DIV/0!</v>
      </c>
      <c r="Z207" s="537" t="e">
        <f t="shared" si="46"/>
        <v>#DIV/0!</v>
      </c>
      <c r="AA207" s="538" t="e">
        <f>IF(INPUTS!$B$15="yes",Z207,Y207)</f>
        <v>#DIV/0!</v>
      </c>
      <c r="AB207" s="536" t="e">
        <f t="shared" si="42"/>
        <v>#DIV/0!</v>
      </c>
      <c r="AC207" s="537" t="e">
        <f t="shared" si="47"/>
        <v>#DIV/0!</v>
      </c>
      <c r="AD207" s="538" t="e">
        <f>IF(INPUTS!$B$15="yes",AC207,AB207)</f>
        <v>#DIV/0!</v>
      </c>
      <c r="AE207" s="36" t="str">
        <f t="shared" si="48"/>
        <v>no</v>
      </c>
      <c r="AF207" s="36"/>
      <c r="AG207" s="389" t="e">
        <f>P207*('upper bound Kenaga'!$F$36/100)</f>
        <v>#DIV/0!</v>
      </c>
      <c r="AH207" s="36"/>
      <c r="AI207" s="389" t="e">
        <f>P207*('upper bound Kenaga'!$F$96/100)</f>
        <v>#DIV/0!</v>
      </c>
      <c r="AJ207" s="36"/>
      <c r="AK207" s="36"/>
      <c r="AL207" s="36"/>
      <c r="AM207" s="36"/>
      <c r="AN207" s="36"/>
      <c r="AO207" s="36"/>
    </row>
    <row r="208" spans="10:41" s="1" customFormat="1">
      <c r="J208" s="6">
        <f>COUNTIF(K$21:K208,"=yes")</f>
        <v>1</v>
      </c>
      <c r="K208" s="533" t="str">
        <f>IF(LOOKUP(VALUE(M208),INPUTS!$G$6:$G$35)=M208,"yes","no")</f>
        <v>no</v>
      </c>
      <c r="L208" s="533">
        <f>IF(K208="yes",(LOOKUP(J208,INPUTS!$E$6:$E$35,INPUTS!$F$6:$F$35)),0)</f>
        <v>0</v>
      </c>
      <c r="M208" s="135">
        <f t="shared" si="36"/>
        <v>187</v>
      </c>
      <c r="N208" s="135">
        <f t="shared" si="37"/>
        <v>1</v>
      </c>
      <c r="O208" s="135">
        <f t="shared" si="38"/>
        <v>0</v>
      </c>
      <c r="P208" s="536" t="e">
        <f t="shared" si="49"/>
        <v>#DIV/0!</v>
      </c>
      <c r="Q208" s="537" t="e">
        <f t="shared" si="43"/>
        <v>#DIV/0!</v>
      </c>
      <c r="R208" s="538" t="e">
        <f>IF(INPUTS!$B$15="yes",Q208,P208)</f>
        <v>#DIV/0!</v>
      </c>
      <c r="S208" s="536" t="e">
        <f t="shared" si="39"/>
        <v>#DIV/0!</v>
      </c>
      <c r="T208" s="537" t="e">
        <f t="shared" si="44"/>
        <v>#DIV/0!</v>
      </c>
      <c r="U208" s="538" t="e">
        <f>IF(INPUTS!$B$15="yes",T208,S208)</f>
        <v>#DIV/0!</v>
      </c>
      <c r="V208" s="536" t="e">
        <f t="shared" si="40"/>
        <v>#DIV/0!</v>
      </c>
      <c r="W208" s="537" t="e">
        <f t="shared" si="45"/>
        <v>#DIV/0!</v>
      </c>
      <c r="X208" s="538" t="e">
        <f>IF(INPUTS!$B$15="yes",W208,V208)</f>
        <v>#DIV/0!</v>
      </c>
      <c r="Y208" s="536" t="e">
        <f t="shared" si="41"/>
        <v>#DIV/0!</v>
      </c>
      <c r="Z208" s="537" t="e">
        <f t="shared" si="46"/>
        <v>#DIV/0!</v>
      </c>
      <c r="AA208" s="538" t="e">
        <f>IF(INPUTS!$B$15="yes",Z208,Y208)</f>
        <v>#DIV/0!</v>
      </c>
      <c r="AB208" s="536" t="e">
        <f t="shared" si="42"/>
        <v>#DIV/0!</v>
      </c>
      <c r="AC208" s="537" t="e">
        <f t="shared" si="47"/>
        <v>#DIV/0!</v>
      </c>
      <c r="AD208" s="538" t="e">
        <f>IF(INPUTS!$B$15="yes",AC208,AB208)</f>
        <v>#DIV/0!</v>
      </c>
      <c r="AE208" s="36" t="str">
        <f t="shared" si="48"/>
        <v>no</v>
      </c>
      <c r="AF208" s="36"/>
      <c r="AG208" s="389" t="e">
        <f>P208*('upper bound Kenaga'!$F$36/100)</f>
        <v>#DIV/0!</v>
      </c>
      <c r="AH208" s="36"/>
      <c r="AI208" s="389" t="e">
        <f>P208*('upper bound Kenaga'!$F$96/100)</f>
        <v>#DIV/0!</v>
      </c>
      <c r="AJ208" s="36"/>
      <c r="AK208" s="36"/>
      <c r="AL208" s="36"/>
      <c r="AM208" s="36"/>
      <c r="AN208" s="36"/>
      <c r="AO208" s="36"/>
    </row>
    <row r="209" spans="10:41" s="1" customFormat="1">
      <c r="J209" s="6">
        <f>COUNTIF(K$21:K209,"=yes")</f>
        <v>1</v>
      </c>
      <c r="K209" s="533" t="str">
        <f>IF(LOOKUP(VALUE(M209),INPUTS!$G$6:$G$35)=M209,"yes","no")</f>
        <v>no</v>
      </c>
      <c r="L209" s="533">
        <f>IF(K209="yes",(LOOKUP(J209,INPUTS!$E$6:$E$35,INPUTS!$F$6:$F$35)),0)</f>
        <v>0</v>
      </c>
      <c r="M209" s="135">
        <f t="shared" si="36"/>
        <v>188</v>
      </c>
      <c r="N209" s="135">
        <f t="shared" si="37"/>
        <v>1</v>
      </c>
      <c r="O209" s="135">
        <f t="shared" si="38"/>
        <v>0</v>
      </c>
      <c r="P209" s="536" t="e">
        <f t="shared" si="49"/>
        <v>#DIV/0!</v>
      </c>
      <c r="Q209" s="537" t="e">
        <f t="shared" si="43"/>
        <v>#DIV/0!</v>
      </c>
      <c r="R209" s="538" t="e">
        <f>IF(INPUTS!$B$15="yes",Q209,P209)</f>
        <v>#DIV/0!</v>
      </c>
      <c r="S209" s="536" t="e">
        <f t="shared" si="39"/>
        <v>#DIV/0!</v>
      </c>
      <c r="T209" s="537" t="e">
        <f t="shared" si="44"/>
        <v>#DIV/0!</v>
      </c>
      <c r="U209" s="538" t="e">
        <f>IF(INPUTS!$B$15="yes",T209,S209)</f>
        <v>#DIV/0!</v>
      </c>
      <c r="V209" s="536" t="e">
        <f t="shared" si="40"/>
        <v>#DIV/0!</v>
      </c>
      <c r="W209" s="537" t="e">
        <f t="shared" si="45"/>
        <v>#DIV/0!</v>
      </c>
      <c r="X209" s="538" t="e">
        <f>IF(INPUTS!$B$15="yes",W209,V209)</f>
        <v>#DIV/0!</v>
      </c>
      <c r="Y209" s="536" t="e">
        <f t="shared" si="41"/>
        <v>#DIV/0!</v>
      </c>
      <c r="Z209" s="537" t="e">
        <f t="shared" si="46"/>
        <v>#DIV/0!</v>
      </c>
      <c r="AA209" s="538" t="e">
        <f>IF(INPUTS!$B$15="yes",Z209,Y209)</f>
        <v>#DIV/0!</v>
      </c>
      <c r="AB209" s="536" t="e">
        <f t="shared" si="42"/>
        <v>#DIV/0!</v>
      </c>
      <c r="AC209" s="537" t="e">
        <f t="shared" si="47"/>
        <v>#DIV/0!</v>
      </c>
      <c r="AD209" s="538" t="e">
        <f>IF(INPUTS!$B$15="yes",AC209,AB209)</f>
        <v>#DIV/0!</v>
      </c>
      <c r="AE209" s="36" t="str">
        <f t="shared" si="48"/>
        <v>no</v>
      </c>
      <c r="AF209" s="36"/>
      <c r="AG209" s="389" t="e">
        <f>P209*('upper bound Kenaga'!$F$36/100)</f>
        <v>#DIV/0!</v>
      </c>
      <c r="AH209" s="36"/>
      <c r="AI209" s="389" t="e">
        <f>P209*('upper bound Kenaga'!$F$96/100)</f>
        <v>#DIV/0!</v>
      </c>
      <c r="AJ209" s="36"/>
      <c r="AK209" s="36"/>
      <c r="AL209" s="36"/>
      <c r="AM209" s="36"/>
      <c r="AN209" s="36"/>
      <c r="AO209" s="36"/>
    </row>
    <row r="210" spans="10:41" s="1" customFormat="1">
      <c r="J210" s="6">
        <f>COUNTIF(K$21:K210,"=yes")</f>
        <v>1</v>
      </c>
      <c r="K210" s="533" t="str">
        <f>IF(LOOKUP(VALUE(M210),INPUTS!$G$6:$G$35)=M210,"yes","no")</f>
        <v>no</v>
      </c>
      <c r="L210" s="533">
        <f>IF(K210="yes",(LOOKUP(J210,INPUTS!$E$6:$E$35,INPUTS!$F$6:$F$35)),0)</f>
        <v>0</v>
      </c>
      <c r="M210" s="135">
        <f t="shared" si="36"/>
        <v>189</v>
      </c>
      <c r="N210" s="135">
        <f t="shared" si="37"/>
        <v>1</v>
      </c>
      <c r="O210" s="135">
        <f t="shared" si="38"/>
        <v>0</v>
      </c>
      <c r="P210" s="536" t="e">
        <f t="shared" si="49"/>
        <v>#DIV/0!</v>
      </c>
      <c r="Q210" s="537" t="e">
        <f t="shared" si="43"/>
        <v>#DIV/0!</v>
      </c>
      <c r="R210" s="538" t="e">
        <f>IF(INPUTS!$B$15="yes",Q210,P210)</f>
        <v>#DIV/0!</v>
      </c>
      <c r="S210" s="536" t="e">
        <f t="shared" si="39"/>
        <v>#DIV/0!</v>
      </c>
      <c r="T210" s="537" t="e">
        <f t="shared" si="44"/>
        <v>#DIV/0!</v>
      </c>
      <c r="U210" s="538" t="e">
        <f>IF(INPUTS!$B$15="yes",T210,S210)</f>
        <v>#DIV/0!</v>
      </c>
      <c r="V210" s="536" t="e">
        <f t="shared" si="40"/>
        <v>#DIV/0!</v>
      </c>
      <c r="W210" s="537" t="e">
        <f t="shared" si="45"/>
        <v>#DIV/0!</v>
      </c>
      <c r="X210" s="538" t="e">
        <f>IF(INPUTS!$B$15="yes",W210,V210)</f>
        <v>#DIV/0!</v>
      </c>
      <c r="Y210" s="536" t="e">
        <f t="shared" si="41"/>
        <v>#DIV/0!</v>
      </c>
      <c r="Z210" s="537" t="e">
        <f t="shared" si="46"/>
        <v>#DIV/0!</v>
      </c>
      <c r="AA210" s="538" t="e">
        <f>IF(INPUTS!$B$15="yes",Z210,Y210)</f>
        <v>#DIV/0!</v>
      </c>
      <c r="AB210" s="536" t="e">
        <f t="shared" si="42"/>
        <v>#DIV/0!</v>
      </c>
      <c r="AC210" s="537" t="e">
        <f t="shared" si="47"/>
        <v>#DIV/0!</v>
      </c>
      <c r="AD210" s="538" t="e">
        <f>IF(INPUTS!$B$15="yes",AC210,AB210)</f>
        <v>#DIV/0!</v>
      </c>
      <c r="AE210" s="36" t="str">
        <f t="shared" si="48"/>
        <v>no</v>
      </c>
      <c r="AF210" s="36"/>
      <c r="AG210" s="389" t="e">
        <f>P210*('upper bound Kenaga'!$F$36/100)</f>
        <v>#DIV/0!</v>
      </c>
      <c r="AH210" s="36"/>
      <c r="AI210" s="389" t="e">
        <f>P210*('upper bound Kenaga'!$F$96/100)</f>
        <v>#DIV/0!</v>
      </c>
      <c r="AJ210" s="36"/>
      <c r="AK210" s="36"/>
      <c r="AL210" s="36"/>
      <c r="AM210" s="36"/>
      <c r="AN210" s="36"/>
      <c r="AO210" s="36"/>
    </row>
    <row r="211" spans="10:41" s="1" customFormat="1">
      <c r="J211" s="6">
        <f>COUNTIF(K$21:K211,"=yes")</f>
        <v>1</v>
      </c>
      <c r="K211" s="533" t="str">
        <f>IF(LOOKUP(VALUE(M211),INPUTS!$G$6:$G$35)=M211,"yes","no")</f>
        <v>no</v>
      </c>
      <c r="L211" s="533">
        <f>IF(K211="yes",(LOOKUP(J211,INPUTS!$E$6:$E$35,INPUTS!$F$6:$F$35)),0)</f>
        <v>0</v>
      </c>
      <c r="M211" s="135">
        <f t="shared" si="36"/>
        <v>190</v>
      </c>
      <c r="N211" s="135">
        <f t="shared" si="37"/>
        <v>1</v>
      </c>
      <c r="O211" s="135">
        <f t="shared" si="38"/>
        <v>0</v>
      </c>
      <c r="P211" s="536" t="e">
        <f t="shared" si="49"/>
        <v>#DIV/0!</v>
      </c>
      <c r="Q211" s="537" t="e">
        <f t="shared" si="43"/>
        <v>#DIV/0!</v>
      </c>
      <c r="R211" s="538" t="e">
        <f>IF(INPUTS!$B$15="yes",Q211,P211)</f>
        <v>#DIV/0!</v>
      </c>
      <c r="S211" s="536" t="e">
        <f t="shared" si="39"/>
        <v>#DIV/0!</v>
      </c>
      <c r="T211" s="537" t="e">
        <f t="shared" si="44"/>
        <v>#DIV/0!</v>
      </c>
      <c r="U211" s="538" t="e">
        <f>IF(INPUTS!$B$15="yes",T211,S211)</f>
        <v>#DIV/0!</v>
      </c>
      <c r="V211" s="536" t="e">
        <f t="shared" si="40"/>
        <v>#DIV/0!</v>
      </c>
      <c r="W211" s="537" t="e">
        <f t="shared" si="45"/>
        <v>#DIV/0!</v>
      </c>
      <c r="X211" s="538" t="e">
        <f>IF(INPUTS!$B$15="yes",W211,V211)</f>
        <v>#DIV/0!</v>
      </c>
      <c r="Y211" s="536" t="e">
        <f t="shared" si="41"/>
        <v>#DIV/0!</v>
      </c>
      <c r="Z211" s="537" t="e">
        <f t="shared" si="46"/>
        <v>#DIV/0!</v>
      </c>
      <c r="AA211" s="538" t="e">
        <f>IF(INPUTS!$B$15="yes",Z211,Y211)</f>
        <v>#DIV/0!</v>
      </c>
      <c r="AB211" s="536" t="e">
        <f t="shared" si="42"/>
        <v>#DIV/0!</v>
      </c>
      <c r="AC211" s="537" t="e">
        <f t="shared" si="47"/>
        <v>#DIV/0!</v>
      </c>
      <c r="AD211" s="538" t="e">
        <f>IF(INPUTS!$B$15="yes",AC211,AB211)</f>
        <v>#DIV/0!</v>
      </c>
      <c r="AE211" s="36" t="str">
        <f t="shared" si="48"/>
        <v>no</v>
      </c>
      <c r="AF211" s="36"/>
      <c r="AG211" s="389" t="e">
        <f>P211*('upper bound Kenaga'!$F$36/100)</f>
        <v>#DIV/0!</v>
      </c>
      <c r="AH211" s="36"/>
      <c r="AI211" s="389" t="e">
        <f>P211*('upper bound Kenaga'!$F$96/100)</f>
        <v>#DIV/0!</v>
      </c>
      <c r="AJ211" s="36"/>
      <c r="AK211" s="36"/>
      <c r="AL211" s="36"/>
      <c r="AM211" s="36"/>
      <c r="AN211" s="36"/>
      <c r="AO211" s="36"/>
    </row>
    <row r="212" spans="10:41" s="1" customFormat="1">
      <c r="J212" s="6">
        <f>COUNTIF(K$21:K212,"=yes")</f>
        <v>1</v>
      </c>
      <c r="K212" s="533" t="str">
        <f>IF(LOOKUP(VALUE(M212),INPUTS!$G$6:$G$35)=M212,"yes","no")</f>
        <v>no</v>
      </c>
      <c r="L212" s="533">
        <f>IF(K212="yes",(LOOKUP(J212,INPUTS!$E$6:$E$35,INPUTS!$F$6:$F$35)),0)</f>
        <v>0</v>
      </c>
      <c r="M212" s="135">
        <f t="shared" si="36"/>
        <v>191</v>
      </c>
      <c r="N212" s="135">
        <f t="shared" si="37"/>
        <v>1</v>
      </c>
      <c r="O212" s="135">
        <f t="shared" si="38"/>
        <v>0</v>
      </c>
      <c r="P212" s="536" t="e">
        <f t="shared" si="49"/>
        <v>#DIV/0!</v>
      </c>
      <c r="Q212" s="537" t="e">
        <f t="shared" si="43"/>
        <v>#DIV/0!</v>
      </c>
      <c r="R212" s="538" t="e">
        <f>IF(INPUTS!$B$15="yes",Q212,P212)</f>
        <v>#DIV/0!</v>
      </c>
      <c r="S212" s="536" t="e">
        <f t="shared" si="39"/>
        <v>#DIV/0!</v>
      </c>
      <c r="T212" s="537" t="e">
        <f t="shared" si="44"/>
        <v>#DIV/0!</v>
      </c>
      <c r="U212" s="538" t="e">
        <f>IF(INPUTS!$B$15="yes",T212,S212)</f>
        <v>#DIV/0!</v>
      </c>
      <c r="V212" s="536" t="e">
        <f t="shared" si="40"/>
        <v>#DIV/0!</v>
      </c>
      <c r="W212" s="537" t="e">
        <f t="shared" si="45"/>
        <v>#DIV/0!</v>
      </c>
      <c r="X212" s="538" t="e">
        <f>IF(INPUTS!$B$15="yes",W212,V212)</f>
        <v>#DIV/0!</v>
      </c>
      <c r="Y212" s="536" t="e">
        <f t="shared" si="41"/>
        <v>#DIV/0!</v>
      </c>
      <c r="Z212" s="537" t="e">
        <f t="shared" si="46"/>
        <v>#DIV/0!</v>
      </c>
      <c r="AA212" s="538" t="e">
        <f>IF(INPUTS!$B$15="yes",Z212,Y212)</f>
        <v>#DIV/0!</v>
      </c>
      <c r="AB212" s="536" t="e">
        <f t="shared" si="42"/>
        <v>#DIV/0!</v>
      </c>
      <c r="AC212" s="537" t="e">
        <f t="shared" si="47"/>
        <v>#DIV/0!</v>
      </c>
      <c r="AD212" s="538" t="e">
        <f>IF(INPUTS!$B$15="yes",AC212,AB212)</f>
        <v>#DIV/0!</v>
      </c>
      <c r="AE212" s="36" t="str">
        <f t="shared" si="48"/>
        <v>no</v>
      </c>
      <c r="AF212" s="36"/>
      <c r="AG212" s="389" t="e">
        <f>P212*('upper bound Kenaga'!$F$36/100)</f>
        <v>#DIV/0!</v>
      </c>
      <c r="AH212" s="36"/>
      <c r="AI212" s="389" t="e">
        <f>P212*('upper bound Kenaga'!$F$96/100)</f>
        <v>#DIV/0!</v>
      </c>
      <c r="AJ212" s="36"/>
      <c r="AK212" s="36"/>
      <c r="AL212" s="36"/>
      <c r="AM212" s="36"/>
      <c r="AN212" s="36"/>
      <c r="AO212" s="36"/>
    </row>
    <row r="213" spans="10:41" s="1" customFormat="1">
      <c r="J213" s="6">
        <f>COUNTIF(K$21:K213,"=yes")</f>
        <v>1</v>
      </c>
      <c r="K213" s="533" t="str">
        <f>IF(LOOKUP(VALUE(M213),INPUTS!$G$6:$G$35)=M213,"yes","no")</f>
        <v>no</v>
      </c>
      <c r="L213" s="533">
        <f>IF(K213="yes",(LOOKUP(J213,INPUTS!$E$6:$E$35,INPUTS!$F$6:$F$35)),0)</f>
        <v>0</v>
      </c>
      <c r="M213" s="135">
        <f t="shared" si="36"/>
        <v>192</v>
      </c>
      <c r="N213" s="135">
        <f t="shared" si="37"/>
        <v>1</v>
      </c>
      <c r="O213" s="135">
        <f t="shared" si="38"/>
        <v>0</v>
      </c>
      <c r="P213" s="536" t="e">
        <f t="shared" si="49"/>
        <v>#DIV/0!</v>
      </c>
      <c r="Q213" s="537" t="e">
        <f t="shared" si="43"/>
        <v>#DIV/0!</v>
      </c>
      <c r="R213" s="538" t="e">
        <f>IF(INPUTS!$B$15="yes",Q213,P213)</f>
        <v>#DIV/0!</v>
      </c>
      <c r="S213" s="536" t="e">
        <f t="shared" si="39"/>
        <v>#DIV/0!</v>
      </c>
      <c r="T213" s="537" t="e">
        <f t="shared" si="44"/>
        <v>#DIV/0!</v>
      </c>
      <c r="U213" s="538" t="e">
        <f>IF(INPUTS!$B$15="yes",T213,S213)</f>
        <v>#DIV/0!</v>
      </c>
      <c r="V213" s="536" t="e">
        <f t="shared" si="40"/>
        <v>#DIV/0!</v>
      </c>
      <c r="W213" s="537" t="e">
        <f t="shared" si="45"/>
        <v>#DIV/0!</v>
      </c>
      <c r="X213" s="538" t="e">
        <f>IF(INPUTS!$B$15="yes",W213,V213)</f>
        <v>#DIV/0!</v>
      </c>
      <c r="Y213" s="536" t="e">
        <f t="shared" si="41"/>
        <v>#DIV/0!</v>
      </c>
      <c r="Z213" s="537" t="e">
        <f t="shared" si="46"/>
        <v>#DIV/0!</v>
      </c>
      <c r="AA213" s="538" t="e">
        <f>IF(INPUTS!$B$15="yes",Z213,Y213)</f>
        <v>#DIV/0!</v>
      </c>
      <c r="AB213" s="536" t="e">
        <f t="shared" si="42"/>
        <v>#DIV/0!</v>
      </c>
      <c r="AC213" s="537" t="e">
        <f t="shared" si="47"/>
        <v>#DIV/0!</v>
      </c>
      <c r="AD213" s="538" t="e">
        <f>IF(INPUTS!$B$15="yes",AC213,AB213)</f>
        <v>#DIV/0!</v>
      </c>
      <c r="AE213" s="36" t="str">
        <f t="shared" si="48"/>
        <v>no</v>
      </c>
      <c r="AF213" s="36"/>
      <c r="AG213" s="389" t="e">
        <f>P213*('upper bound Kenaga'!$F$36/100)</f>
        <v>#DIV/0!</v>
      </c>
      <c r="AH213" s="36"/>
      <c r="AI213" s="389" t="e">
        <f>P213*('upper bound Kenaga'!$F$96/100)</f>
        <v>#DIV/0!</v>
      </c>
      <c r="AJ213" s="36"/>
      <c r="AK213" s="36"/>
      <c r="AL213" s="36"/>
      <c r="AM213" s="36"/>
      <c r="AN213" s="36"/>
      <c r="AO213" s="36"/>
    </row>
    <row r="214" spans="10:41" s="1" customFormat="1">
      <c r="J214" s="6">
        <f>COUNTIF(K$21:K214,"=yes")</f>
        <v>1</v>
      </c>
      <c r="K214" s="533" t="str">
        <f>IF(LOOKUP(VALUE(M214),INPUTS!$G$6:$G$35)=M214,"yes","no")</f>
        <v>no</v>
      </c>
      <c r="L214" s="533">
        <f>IF(K214="yes",(LOOKUP(J214,INPUTS!$E$6:$E$35,INPUTS!$F$6:$F$35)),0)</f>
        <v>0</v>
      </c>
      <c r="M214" s="135">
        <f t="shared" ref="M214:M277" si="50">(M213+1)</f>
        <v>193</v>
      </c>
      <c r="N214" s="135">
        <f t="shared" ref="N214:N277" si="51">IF($B$9&gt;N213,IF(O213=($B$8-1),(N213+1),(N213)),(N213))</f>
        <v>1</v>
      </c>
      <c r="O214" s="135">
        <f t="shared" ref="O214:O277" si="52">IF(O213&lt;($B$8-1),(1+O213),0)</f>
        <v>0</v>
      </c>
      <c r="P214" s="536" t="e">
        <f t="shared" si="49"/>
        <v>#DIV/0!</v>
      </c>
      <c r="Q214" s="537" t="e">
        <f t="shared" si="43"/>
        <v>#DIV/0!</v>
      </c>
      <c r="R214" s="538" t="e">
        <f>IF(INPUTS!$B$15="yes",Q214,P214)</f>
        <v>#DIV/0!</v>
      </c>
      <c r="S214" s="536" t="e">
        <f t="shared" ref="S214:S277" si="53">IF(($N214&gt;$N213),(EXP(-$R$16)*(S213)+$R$12),((EXP(-$R$16)*(S213))))</f>
        <v>#DIV/0!</v>
      </c>
      <c r="T214" s="537" t="e">
        <f t="shared" si="44"/>
        <v>#DIV/0!</v>
      </c>
      <c r="U214" s="538" t="e">
        <f>IF(INPUTS!$B$15="yes",T214,S214)</f>
        <v>#DIV/0!</v>
      </c>
      <c r="V214" s="536" t="e">
        <f t="shared" ref="V214:V277" si="54">IF(($N214&gt;$N213),(EXP(-$R$16)*(V213)+$R$13),((EXP(-$R$16)*(V213))))</f>
        <v>#DIV/0!</v>
      </c>
      <c r="W214" s="537" t="e">
        <f t="shared" si="45"/>
        <v>#DIV/0!</v>
      </c>
      <c r="X214" s="538" t="e">
        <f>IF(INPUTS!$B$15="yes",W214,V214)</f>
        <v>#DIV/0!</v>
      </c>
      <c r="Y214" s="536" t="e">
        <f t="shared" ref="Y214:Y277" si="55">IF(($N214&gt;$N213),(EXP(-$R$16)*(Y213)+$R$14),((EXP(-$R$16)*(Y213))))</f>
        <v>#DIV/0!</v>
      </c>
      <c r="Z214" s="537" t="e">
        <f t="shared" si="46"/>
        <v>#DIV/0!</v>
      </c>
      <c r="AA214" s="538" t="e">
        <f>IF(INPUTS!$B$15="yes",Z214,Y214)</f>
        <v>#DIV/0!</v>
      </c>
      <c r="AB214" s="536" t="e">
        <f t="shared" ref="AB214:AB277" si="56">IF(($N214&gt;$N213),(EXP(-$R$16)*(AB213)+$R$15),((EXP(-$R$16)*(AB213))))</f>
        <v>#DIV/0!</v>
      </c>
      <c r="AC214" s="537" t="e">
        <f t="shared" si="47"/>
        <v>#DIV/0!</v>
      </c>
      <c r="AD214" s="538" t="e">
        <f>IF(INPUTS!$B$15="yes",AC214,AB214)</f>
        <v>#DIV/0!</v>
      </c>
      <c r="AE214" s="36" t="str">
        <f t="shared" si="48"/>
        <v>no</v>
      </c>
      <c r="AF214" s="36"/>
      <c r="AG214" s="389" t="e">
        <f>P214*('upper bound Kenaga'!$F$36/100)</f>
        <v>#DIV/0!</v>
      </c>
      <c r="AH214" s="36"/>
      <c r="AI214" s="389" t="e">
        <f>P214*('upper bound Kenaga'!$F$96/100)</f>
        <v>#DIV/0!</v>
      </c>
      <c r="AJ214" s="36"/>
      <c r="AK214" s="36"/>
      <c r="AL214" s="36"/>
      <c r="AM214" s="36"/>
      <c r="AN214" s="36"/>
      <c r="AO214" s="36"/>
    </row>
    <row r="215" spans="10:41" s="1" customFormat="1">
      <c r="J215" s="6">
        <f>COUNTIF(K$21:K215,"=yes")</f>
        <v>1</v>
      </c>
      <c r="K215" s="533" t="str">
        <f>IF(LOOKUP(VALUE(M215),INPUTS!$G$6:$G$35)=M215,"yes","no")</f>
        <v>no</v>
      </c>
      <c r="L215" s="533">
        <f>IF(K215="yes",(LOOKUP(J215,INPUTS!$E$6:$E$35,INPUTS!$F$6:$F$35)),0)</f>
        <v>0</v>
      </c>
      <c r="M215" s="135">
        <f t="shared" si="50"/>
        <v>194</v>
      </c>
      <c r="N215" s="135">
        <f t="shared" si="51"/>
        <v>1</v>
      </c>
      <c r="O215" s="135">
        <f t="shared" si="52"/>
        <v>0</v>
      </c>
      <c r="P215" s="536" t="e">
        <f t="shared" si="49"/>
        <v>#DIV/0!</v>
      </c>
      <c r="Q215" s="537" t="e">
        <f t="shared" ref="Q215:Q278" si="57">IF($K215="yes",(EXP(-$R$16)*(Q214)+(Q$11*$L215)),((EXP(-$R$16)*(Q214))))</f>
        <v>#DIV/0!</v>
      </c>
      <c r="R215" s="538" t="e">
        <f>IF(INPUTS!$B$15="yes",Q215,P215)</f>
        <v>#DIV/0!</v>
      </c>
      <c r="S215" s="536" t="e">
        <f t="shared" si="53"/>
        <v>#DIV/0!</v>
      </c>
      <c r="T215" s="537" t="e">
        <f t="shared" ref="T215:T278" si="58">IF($K215="yes",(EXP(-$R$16)*(T214)+(Q$12*$L215)),((EXP(-$R$16)*(T214))))</f>
        <v>#DIV/0!</v>
      </c>
      <c r="U215" s="538" t="e">
        <f>IF(INPUTS!$B$15="yes",T215,S215)</f>
        <v>#DIV/0!</v>
      </c>
      <c r="V215" s="536" t="e">
        <f t="shared" si="54"/>
        <v>#DIV/0!</v>
      </c>
      <c r="W215" s="537" t="e">
        <f t="shared" ref="W215:W278" si="59">IF($K215="yes",(EXP(-$R$16)*(W214)+(Q$13*$L215)),((EXP(-$R$16)*(W214))))</f>
        <v>#DIV/0!</v>
      </c>
      <c r="X215" s="538" t="e">
        <f>IF(INPUTS!$B$15="yes",W215,V215)</f>
        <v>#DIV/0!</v>
      </c>
      <c r="Y215" s="536" t="e">
        <f t="shared" si="55"/>
        <v>#DIV/0!</v>
      </c>
      <c r="Z215" s="537" t="e">
        <f t="shared" ref="Z215:Z278" si="60">IF($K215="yes",(EXP(-$R$16)*(Z214)+(Q$14*$L215)),((EXP(-$R$16)*(Z214))))</f>
        <v>#DIV/0!</v>
      </c>
      <c r="AA215" s="538" t="e">
        <f>IF(INPUTS!$B$15="yes",Z215,Y215)</f>
        <v>#DIV/0!</v>
      </c>
      <c r="AB215" s="536" t="e">
        <f t="shared" si="56"/>
        <v>#DIV/0!</v>
      </c>
      <c r="AC215" s="537" t="e">
        <f t="shared" ref="AC215:AC278" si="61">IF($K215="yes",(EXP(-$R$16)*(AC214)+(Q$15*$L215)),((EXP(-$R$16)*(AC214))))</f>
        <v>#DIV/0!</v>
      </c>
      <c r="AD215" s="538" t="e">
        <f>IF(INPUTS!$B$15="yes",AC215,AB215)</f>
        <v>#DIV/0!</v>
      </c>
      <c r="AE215" s="36" t="str">
        <f t="shared" si="48"/>
        <v>no</v>
      </c>
      <c r="AF215" s="36"/>
      <c r="AG215" s="389" t="e">
        <f>P215*('upper bound Kenaga'!$F$36/100)</f>
        <v>#DIV/0!</v>
      </c>
      <c r="AH215" s="36"/>
      <c r="AI215" s="389" t="e">
        <f>P215*('upper bound Kenaga'!$F$96/100)</f>
        <v>#DIV/0!</v>
      </c>
      <c r="AJ215" s="36"/>
      <c r="AK215" s="36"/>
      <c r="AL215" s="36"/>
      <c r="AM215" s="36"/>
      <c r="AN215" s="36"/>
      <c r="AO215" s="36"/>
    </row>
    <row r="216" spans="10:41" s="1" customFormat="1">
      <c r="J216" s="6">
        <f>COUNTIF(K$21:K216,"=yes")</f>
        <v>1</v>
      </c>
      <c r="K216" s="533" t="str">
        <f>IF(LOOKUP(VALUE(M216),INPUTS!$G$6:$G$35)=M216,"yes","no")</f>
        <v>no</v>
      </c>
      <c r="L216" s="533">
        <f>IF(K216="yes",(LOOKUP(J216,INPUTS!$E$6:$E$35,INPUTS!$F$6:$F$35)),0)</f>
        <v>0</v>
      </c>
      <c r="M216" s="135">
        <f t="shared" si="50"/>
        <v>195</v>
      </c>
      <c r="N216" s="135">
        <f t="shared" si="51"/>
        <v>1</v>
      </c>
      <c r="O216" s="135">
        <f t="shared" si="52"/>
        <v>0</v>
      </c>
      <c r="P216" s="536" t="e">
        <f t="shared" si="49"/>
        <v>#DIV/0!</v>
      </c>
      <c r="Q216" s="537" t="e">
        <f t="shared" si="57"/>
        <v>#DIV/0!</v>
      </c>
      <c r="R216" s="538" t="e">
        <f>IF(INPUTS!$B$15="yes",Q216,P216)</f>
        <v>#DIV/0!</v>
      </c>
      <c r="S216" s="536" t="e">
        <f t="shared" si="53"/>
        <v>#DIV/0!</v>
      </c>
      <c r="T216" s="537" t="e">
        <f t="shared" si="58"/>
        <v>#DIV/0!</v>
      </c>
      <c r="U216" s="538" t="e">
        <f>IF(INPUTS!$B$15="yes",T216,S216)</f>
        <v>#DIV/0!</v>
      </c>
      <c r="V216" s="536" t="e">
        <f t="shared" si="54"/>
        <v>#DIV/0!</v>
      </c>
      <c r="W216" s="537" t="e">
        <f t="shared" si="59"/>
        <v>#DIV/0!</v>
      </c>
      <c r="X216" s="538" t="e">
        <f>IF(INPUTS!$B$15="yes",W216,V216)</f>
        <v>#DIV/0!</v>
      </c>
      <c r="Y216" s="536" t="e">
        <f t="shared" si="55"/>
        <v>#DIV/0!</v>
      </c>
      <c r="Z216" s="537" t="e">
        <f t="shared" si="60"/>
        <v>#DIV/0!</v>
      </c>
      <c r="AA216" s="538" t="e">
        <f>IF(INPUTS!$B$15="yes",Z216,Y216)</f>
        <v>#DIV/0!</v>
      </c>
      <c r="AB216" s="536" t="e">
        <f t="shared" si="56"/>
        <v>#DIV/0!</v>
      </c>
      <c r="AC216" s="537" t="e">
        <f t="shared" si="61"/>
        <v>#DIV/0!</v>
      </c>
      <c r="AD216" s="538" t="e">
        <f>IF(INPUTS!$B$15="yes",AC216,AB216)</f>
        <v>#DIV/0!</v>
      </c>
      <c r="AE216" s="36" t="str">
        <f t="shared" si="48"/>
        <v>no</v>
      </c>
      <c r="AF216" s="36"/>
      <c r="AG216" s="389" t="e">
        <f>P216*('upper bound Kenaga'!$F$36/100)</f>
        <v>#DIV/0!</v>
      </c>
      <c r="AH216" s="36"/>
      <c r="AI216" s="389" t="e">
        <f>P216*('upper bound Kenaga'!$F$96/100)</f>
        <v>#DIV/0!</v>
      </c>
      <c r="AJ216" s="36"/>
      <c r="AK216" s="36"/>
      <c r="AL216" s="36"/>
      <c r="AM216" s="36"/>
      <c r="AN216" s="36"/>
      <c r="AO216" s="36"/>
    </row>
    <row r="217" spans="10:41" s="1" customFormat="1">
      <c r="J217" s="6">
        <f>COUNTIF(K$21:K217,"=yes")</f>
        <v>1</v>
      </c>
      <c r="K217" s="533" t="str">
        <f>IF(LOOKUP(VALUE(M217),INPUTS!$G$6:$G$35)=M217,"yes","no")</f>
        <v>no</v>
      </c>
      <c r="L217" s="533">
        <f>IF(K217="yes",(LOOKUP(J217,INPUTS!$E$6:$E$35,INPUTS!$F$6:$F$35)),0)</f>
        <v>0</v>
      </c>
      <c r="M217" s="135">
        <f t="shared" si="50"/>
        <v>196</v>
      </c>
      <c r="N217" s="135">
        <f t="shared" si="51"/>
        <v>1</v>
      </c>
      <c r="O217" s="135">
        <f t="shared" si="52"/>
        <v>0</v>
      </c>
      <c r="P217" s="536" t="e">
        <f t="shared" si="49"/>
        <v>#DIV/0!</v>
      </c>
      <c r="Q217" s="537" t="e">
        <f t="shared" si="57"/>
        <v>#DIV/0!</v>
      </c>
      <c r="R217" s="538" t="e">
        <f>IF(INPUTS!$B$15="yes",Q217,P217)</f>
        <v>#DIV/0!</v>
      </c>
      <c r="S217" s="536" t="e">
        <f t="shared" si="53"/>
        <v>#DIV/0!</v>
      </c>
      <c r="T217" s="537" t="e">
        <f t="shared" si="58"/>
        <v>#DIV/0!</v>
      </c>
      <c r="U217" s="538" t="e">
        <f>IF(INPUTS!$B$15="yes",T217,S217)</f>
        <v>#DIV/0!</v>
      </c>
      <c r="V217" s="536" t="e">
        <f t="shared" si="54"/>
        <v>#DIV/0!</v>
      </c>
      <c r="W217" s="537" t="e">
        <f t="shared" si="59"/>
        <v>#DIV/0!</v>
      </c>
      <c r="X217" s="538" t="e">
        <f>IF(INPUTS!$B$15="yes",W217,V217)</f>
        <v>#DIV/0!</v>
      </c>
      <c r="Y217" s="536" t="e">
        <f t="shared" si="55"/>
        <v>#DIV/0!</v>
      </c>
      <c r="Z217" s="537" t="e">
        <f t="shared" si="60"/>
        <v>#DIV/0!</v>
      </c>
      <c r="AA217" s="538" t="e">
        <f>IF(INPUTS!$B$15="yes",Z217,Y217)</f>
        <v>#DIV/0!</v>
      </c>
      <c r="AB217" s="536" t="e">
        <f t="shared" si="56"/>
        <v>#DIV/0!</v>
      </c>
      <c r="AC217" s="537" t="e">
        <f t="shared" si="61"/>
        <v>#DIV/0!</v>
      </c>
      <c r="AD217" s="538" t="e">
        <f>IF(INPUTS!$B$15="yes",AC217,AB217)</f>
        <v>#DIV/0!</v>
      </c>
      <c r="AE217" s="36" t="str">
        <f t="shared" si="48"/>
        <v>no</v>
      </c>
      <c r="AF217" s="36"/>
      <c r="AG217" s="389" t="e">
        <f>P217*('upper bound Kenaga'!$F$36/100)</f>
        <v>#DIV/0!</v>
      </c>
      <c r="AH217" s="36"/>
      <c r="AI217" s="389" t="e">
        <f>P217*('upper bound Kenaga'!$F$96/100)</f>
        <v>#DIV/0!</v>
      </c>
      <c r="AJ217" s="36"/>
      <c r="AK217" s="36"/>
      <c r="AL217" s="36"/>
      <c r="AM217" s="36"/>
      <c r="AN217" s="36"/>
      <c r="AO217" s="36"/>
    </row>
    <row r="218" spans="10:41" s="1" customFormat="1">
      <c r="J218" s="6">
        <f>COUNTIF(K$21:K218,"=yes")</f>
        <v>1</v>
      </c>
      <c r="K218" s="533" t="str">
        <f>IF(LOOKUP(VALUE(M218),INPUTS!$G$6:$G$35)=M218,"yes","no")</f>
        <v>no</v>
      </c>
      <c r="L218" s="533">
        <f>IF(K218="yes",(LOOKUP(J218,INPUTS!$E$6:$E$35,INPUTS!$F$6:$F$35)),0)</f>
        <v>0</v>
      </c>
      <c r="M218" s="135">
        <f t="shared" si="50"/>
        <v>197</v>
      </c>
      <c r="N218" s="135">
        <f t="shared" si="51"/>
        <v>1</v>
      </c>
      <c r="O218" s="135">
        <f t="shared" si="52"/>
        <v>0</v>
      </c>
      <c r="P218" s="536" t="e">
        <f t="shared" si="49"/>
        <v>#DIV/0!</v>
      </c>
      <c r="Q218" s="537" t="e">
        <f t="shared" si="57"/>
        <v>#DIV/0!</v>
      </c>
      <c r="R218" s="538" t="e">
        <f>IF(INPUTS!$B$15="yes",Q218,P218)</f>
        <v>#DIV/0!</v>
      </c>
      <c r="S218" s="536" t="e">
        <f t="shared" si="53"/>
        <v>#DIV/0!</v>
      </c>
      <c r="T218" s="537" t="e">
        <f t="shared" si="58"/>
        <v>#DIV/0!</v>
      </c>
      <c r="U218" s="538" t="e">
        <f>IF(INPUTS!$B$15="yes",T218,S218)</f>
        <v>#DIV/0!</v>
      </c>
      <c r="V218" s="536" t="e">
        <f t="shared" si="54"/>
        <v>#DIV/0!</v>
      </c>
      <c r="W218" s="537" t="e">
        <f t="shared" si="59"/>
        <v>#DIV/0!</v>
      </c>
      <c r="X218" s="538" t="e">
        <f>IF(INPUTS!$B$15="yes",W218,V218)</f>
        <v>#DIV/0!</v>
      </c>
      <c r="Y218" s="536" t="e">
        <f t="shared" si="55"/>
        <v>#DIV/0!</v>
      </c>
      <c r="Z218" s="537" t="e">
        <f t="shared" si="60"/>
        <v>#DIV/0!</v>
      </c>
      <c r="AA218" s="538" t="e">
        <f>IF(INPUTS!$B$15="yes",Z218,Y218)</f>
        <v>#DIV/0!</v>
      </c>
      <c r="AB218" s="536" t="e">
        <f t="shared" si="56"/>
        <v>#DIV/0!</v>
      </c>
      <c r="AC218" s="537" t="e">
        <f t="shared" si="61"/>
        <v>#DIV/0!</v>
      </c>
      <c r="AD218" s="538" t="e">
        <f>IF(INPUTS!$B$15="yes",AC218,AB218)</f>
        <v>#DIV/0!</v>
      </c>
      <c r="AE218" s="36" t="str">
        <f t="shared" ref="AE218:AE281" si="62">$B$11</f>
        <v>no</v>
      </c>
      <c r="AF218" s="36"/>
      <c r="AG218" s="389" t="e">
        <f>P218*('upper bound Kenaga'!$F$36/100)</f>
        <v>#DIV/0!</v>
      </c>
      <c r="AH218" s="36"/>
      <c r="AI218" s="389" t="e">
        <f>P218*('upper bound Kenaga'!$F$96/100)</f>
        <v>#DIV/0!</v>
      </c>
      <c r="AJ218" s="36"/>
      <c r="AK218" s="36"/>
      <c r="AL218" s="36"/>
      <c r="AM218" s="36"/>
      <c r="AN218" s="36"/>
      <c r="AO218" s="36"/>
    </row>
    <row r="219" spans="10:41" s="1" customFormat="1">
      <c r="J219" s="6">
        <f>COUNTIF(K$21:K219,"=yes")</f>
        <v>1</v>
      </c>
      <c r="K219" s="533" t="str">
        <f>IF(LOOKUP(VALUE(M219),INPUTS!$G$6:$G$35)=M219,"yes","no")</f>
        <v>no</v>
      </c>
      <c r="L219" s="533">
        <f>IF(K219="yes",(LOOKUP(J219,INPUTS!$E$6:$E$35,INPUTS!$F$6:$F$35)),0)</f>
        <v>0</v>
      </c>
      <c r="M219" s="135">
        <f t="shared" si="50"/>
        <v>198</v>
      </c>
      <c r="N219" s="135">
        <f t="shared" si="51"/>
        <v>1</v>
      </c>
      <c r="O219" s="135">
        <f t="shared" si="52"/>
        <v>0</v>
      </c>
      <c r="P219" s="536" t="e">
        <f t="shared" si="49"/>
        <v>#DIV/0!</v>
      </c>
      <c r="Q219" s="537" t="e">
        <f t="shared" si="57"/>
        <v>#DIV/0!</v>
      </c>
      <c r="R219" s="538" t="e">
        <f>IF(INPUTS!$B$15="yes",Q219,P219)</f>
        <v>#DIV/0!</v>
      </c>
      <c r="S219" s="536" t="e">
        <f t="shared" si="53"/>
        <v>#DIV/0!</v>
      </c>
      <c r="T219" s="537" t="e">
        <f t="shared" si="58"/>
        <v>#DIV/0!</v>
      </c>
      <c r="U219" s="538" t="e">
        <f>IF(INPUTS!$B$15="yes",T219,S219)</f>
        <v>#DIV/0!</v>
      </c>
      <c r="V219" s="536" t="e">
        <f t="shared" si="54"/>
        <v>#DIV/0!</v>
      </c>
      <c r="W219" s="537" t="e">
        <f t="shared" si="59"/>
        <v>#DIV/0!</v>
      </c>
      <c r="X219" s="538" t="e">
        <f>IF(INPUTS!$B$15="yes",W219,V219)</f>
        <v>#DIV/0!</v>
      </c>
      <c r="Y219" s="536" t="e">
        <f t="shared" si="55"/>
        <v>#DIV/0!</v>
      </c>
      <c r="Z219" s="537" t="e">
        <f t="shared" si="60"/>
        <v>#DIV/0!</v>
      </c>
      <c r="AA219" s="538" t="e">
        <f>IF(INPUTS!$B$15="yes",Z219,Y219)</f>
        <v>#DIV/0!</v>
      </c>
      <c r="AB219" s="536" t="e">
        <f t="shared" si="56"/>
        <v>#DIV/0!</v>
      </c>
      <c r="AC219" s="537" t="e">
        <f t="shared" si="61"/>
        <v>#DIV/0!</v>
      </c>
      <c r="AD219" s="538" t="e">
        <f>IF(INPUTS!$B$15="yes",AC219,AB219)</f>
        <v>#DIV/0!</v>
      </c>
      <c r="AE219" s="36" t="str">
        <f t="shared" si="62"/>
        <v>no</v>
      </c>
      <c r="AF219" s="36"/>
      <c r="AG219" s="389" t="e">
        <f>P219*('upper bound Kenaga'!$F$36/100)</f>
        <v>#DIV/0!</v>
      </c>
      <c r="AH219" s="36"/>
      <c r="AI219" s="389" t="e">
        <f>P219*('upper bound Kenaga'!$F$96/100)</f>
        <v>#DIV/0!</v>
      </c>
      <c r="AJ219" s="36"/>
      <c r="AK219" s="36"/>
      <c r="AL219" s="36"/>
      <c r="AM219" s="36"/>
      <c r="AN219" s="36"/>
      <c r="AO219" s="36"/>
    </row>
    <row r="220" spans="10:41" s="1" customFormat="1">
      <c r="J220" s="6">
        <f>COUNTIF(K$21:K220,"=yes")</f>
        <v>1</v>
      </c>
      <c r="K220" s="533" t="str">
        <f>IF(LOOKUP(VALUE(M220),INPUTS!$G$6:$G$35)=M220,"yes","no")</f>
        <v>no</v>
      </c>
      <c r="L220" s="533">
        <f>IF(K220="yes",(LOOKUP(J220,INPUTS!$E$6:$E$35,INPUTS!$F$6:$F$35)),0)</f>
        <v>0</v>
      </c>
      <c r="M220" s="135">
        <f t="shared" si="50"/>
        <v>199</v>
      </c>
      <c r="N220" s="135">
        <f t="shared" si="51"/>
        <v>1</v>
      </c>
      <c r="O220" s="135">
        <f t="shared" si="52"/>
        <v>0</v>
      </c>
      <c r="P220" s="536" t="e">
        <f t="shared" si="49"/>
        <v>#DIV/0!</v>
      </c>
      <c r="Q220" s="537" t="e">
        <f t="shared" si="57"/>
        <v>#DIV/0!</v>
      </c>
      <c r="R220" s="538" t="e">
        <f>IF(INPUTS!$B$15="yes",Q220,P220)</f>
        <v>#DIV/0!</v>
      </c>
      <c r="S220" s="536" t="e">
        <f t="shared" si="53"/>
        <v>#DIV/0!</v>
      </c>
      <c r="T220" s="537" t="e">
        <f t="shared" si="58"/>
        <v>#DIV/0!</v>
      </c>
      <c r="U220" s="538" t="e">
        <f>IF(INPUTS!$B$15="yes",T220,S220)</f>
        <v>#DIV/0!</v>
      </c>
      <c r="V220" s="536" t="e">
        <f t="shared" si="54"/>
        <v>#DIV/0!</v>
      </c>
      <c r="W220" s="537" t="e">
        <f t="shared" si="59"/>
        <v>#DIV/0!</v>
      </c>
      <c r="X220" s="538" t="e">
        <f>IF(INPUTS!$B$15="yes",W220,V220)</f>
        <v>#DIV/0!</v>
      </c>
      <c r="Y220" s="536" t="e">
        <f t="shared" si="55"/>
        <v>#DIV/0!</v>
      </c>
      <c r="Z220" s="537" t="e">
        <f t="shared" si="60"/>
        <v>#DIV/0!</v>
      </c>
      <c r="AA220" s="538" t="e">
        <f>IF(INPUTS!$B$15="yes",Z220,Y220)</f>
        <v>#DIV/0!</v>
      </c>
      <c r="AB220" s="536" t="e">
        <f t="shared" si="56"/>
        <v>#DIV/0!</v>
      </c>
      <c r="AC220" s="537" t="e">
        <f t="shared" si="61"/>
        <v>#DIV/0!</v>
      </c>
      <c r="AD220" s="538" t="e">
        <f>IF(INPUTS!$B$15="yes",AC220,AB220)</f>
        <v>#DIV/0!</v>
      </c>
      <c r="AE220" s="36" t="str">
        <f t="shared" si="62"/>
        <v>no</v>
      </c>
      <c r="AF220" s="36"/>
      <c r="AG220" s="389" t="e">
        <f>P220*('upper bound Kenaga'!$F$36/100)</f>
        <v>#DIV/0!</v>
      </c>
      <c r="AH220" s="36"/>
      <c r="AI220" s="389" t="e">
        <f>P220*('upper bound Kenaga'!$F$96/100)</f>
        <v>#DIV/0!</v>
      </c>
      <c r="AJ220" s="36"/>
      <c r="AK220" s="36"/>
      <c r="AL220" s="36"/>
      <c r="AM220" s="36"/>
      <c r="AN220" s="36"/>
      <c r="AO220" s="36"/>
    </row>
    <row r="221" spans="10:41" s="1" customFormat="1">
      <c r="J221" s="6">
        <f>COUNTIF(K$21:K221,"=yes")</f>
        <v>1</v>
      </c>
      <c r="K221" s="533" t="str">
        <f>IF(LOOKUP(VALUE(M221),INPUTS!$G$6:$G$35)=M221,"yes","no")</f>
        <v>no</v>
      </c>
      <c r="L221" s="533">
        <f>IF(K221="yes",(LOOKUP(J221,INPUTS!$E$6:$E$35,INPUTS!$F$6:$F$35)),0)</f>
        <v>0</v>
      </c>
      <c r="M221" s="135">
        <f t="shared" si="50"/>
        <v>200</v>
      </c>
      <c r="N221" s="135">
        <f t="shared" si="51"/>
        <v>1</v>
      </c>
      <c r="O221" s="135">
        <f t="shared" si="52"/>
        <v>0</v>
      </c>
      <c r="P221" s="536" t="e">
        <f t="shared" si="49"/>
        <v>#DIV/0!</v>
      </c>
      <c r="Q221" s="537" t="e">
        <f t="shared" si="57"/>
        <v>#DIV/0!</v>
      </c>
      <c r="R221" s="538" t="e">
        <f>IF(INPUTS!$B$15="yes",Q221,P221)</f>
        <v>#DIV/0!</v>
      </c>
      <c r="S221" s="536" t="e">
        <f t="shared" si="53"/>
        <v>#DIV/0!</v>
      </c>
      <c r="T221" s="537" t="e">
        <f t="shared" si="58"/>
        <v>#DIV/0!</v>
      </c>
      <c r="U221" s="538" t="e">
        <f>IF(INPUTS!$B$15="yes",T221,S221)</f>
        <v>#DIV/0!</v>
      </c>
      <c r="V221" s="536" t="e">
        <f t="shared" si="54"/>
        <v>#DIV/0!</v>
      </c>
      <c r="W221" s="537" t="e">
        <f t="shared" si="59"/>
        <v>#DIV/0!</v>
      </c>
      <c r="X221" s="538" t="e">
        <f>IF(INPUTS!$B$15="yes",W221,V221)</f>
        <v>#DIV/0!</v>
      </c>
      <c r="Y221" s="536" t="e">
        <f t="shared" si="55"/>
        <v>#DIV/0!</v>
      </c>
      <c r="Z221" s="537" t="e">
        <f t="shared" si="60"/>
        <v>#DIV/0!</v>
      </c>
      <c r="AA221" s="538" t="e">
        <f>IF(INPUTS!$B$15="yes",Z221,Y221)</f>
        <v>#DIV/0!</v>
      </c>
      <c r="AB221" s="536" t="e">
        <f t="shared" si="56"/>
        <v>#DIV/0!</v>
      </c>
      <c r="AC221" s="537" t="e">
        <f t="shared" si="61"/>
        <v>#DIV/0!</v>
      </c>
      <c r="AD221" s="538" t="e">
        <f>IF(INPUTS!$B$15="yes",AC221,AB221)</f>
        <v>#DIV/0!</v>
      </c>
      <c r="AE221" s="36" t="str">
        <f t="shared" si="62"/>
        <v>no</v>
      </c>
      <c r="AF221" s="36"/>
      <c r="AG221" s="389" t="e">
        <f>P221*('upper bound Kenaga'!$F$36/100)</f>
        <v>#DIV/0!</v>
      </c>
      <c r="AH221" s="36"/>
      <c r="AI221" s="389" t="e">
        <f>P221*('upper bound Kenaga'!$F$96/100)</f>
        <v>#DIV/0!</v>
      </c>
      <c r="AJ221" s="36"/>
      <c r="AK221" s="36"/>
      <c r="AL221" s="36"/>
      <c r="AM221" s="36"/>
      <c r="AN221" s="36"/>
      <c r="AO221" s="36"/>
    </row>
    <row r="222" spans="10:41" s="1" customFormat="1">
      <c r="J222" s="6">
        <f>COUNTIF(K$21:K222,"=yes")</f>
        <v>1</v>
      </c>
      <c r="K222" s="533" t="str">
        <f>IF(LOOKUP(VALUE(M222),INPUTS!$G$6:$G$35)=M222,"yes","no")</f>
        <v>no</v>
      </c>
      <c r="L222" s="533">
        <f>IF(K222="yes",(LOOKUP(J222,INPUTS!$E$6:$E$35,INPUTS!$F$6:$F$35)),0)</f>
        <v>0</v>
      </c>
      <c r="M222" s="135">
        <f t="shared" si="50"/>
        <v>201</v>
      </c>
      <c r="N222" s="135">
        <f t="shared" si="51"/>
        <v>1</v>
      </c>
      <c r="O222" s="135">
        <f t="shared" si="52"/>
        <v>0</v>
      </c>
      <c r="P222" s="536" t="e">
        <f t="shared" si="49"/>
        <v>#DIV/0!</v>
      </c>
      <c r="Q222" s="537" t="e">
        <f t="shared" si="57"/>
        <v>#DIV/0!</v>
      </c>
      <c r="R222" s="538" t="e">
        <f>IF(INPUTS!$B$15="yes",Q222,P222)</f>
        <v>#DIV/0!</v>
      </c>
      <c r="S222" s="536" t="e">
        <f t="shared" si="53"/>
        <v>#DIV/0!</v>
      </c>
      <c r="T222" s="537" t="e">
        <f t="shared" si="58"/>
        <v>#DIV/0!</v>
      </c>
      <c r="U222" s="538" t="e">
        <f>IF(INPUTS!$B$15="yes",T222,S222)</f>
        <v>#DIV/0!</v>
      </c>
      <c r="V222" s="536" t="e">
        <f t="shared" si="54"/>
        <v>#DIV/0!</v>
      </c>
      <c r="W222" s="537" t="e">
        <f t="shared" si="59"/>
        <v>#DIV/0!</v>
      </c>
      <c r="X222" s="538" t="e">
        <f>IF(INPUTS!$B$15="yes",W222,V222)</f>
        <v>#DIV/0!</v>
      </c>
      <c r="Y222" s="536" t="e">
        <f t="shared" si="55"/>
        <v>#DIV/0!</v>
      </c>
      <c r="Z222" s="537" t="e">
        <f t="shared" si="60"/>
        <v>#DIV/0!</v>
      </c>
      <c r="AA222" s="538" t="e">
        <f>IF(INPUTS!$B$15="yes",Z222,Y222)</f>
        <v>#DIV/0!</v>
      </c>
      <c r="AB222" s="536" t="e">
        <f t="shared" si="56"/>
        <v>#DIV/0!</v>
      </c>
      <c r="AC222" s="537" t="e">
        <f t="shared" si="61"/>
        <v>#DIV/0!</v>
      </c>
      <c r="AD222" s="538" t="e">
        <f>IF(INPUTS!$B$15="yes",AC222,AB222)</f>
        <v>#DIV/0!</v>
      </c>
      <c r="AE222" s="36" t="str">
        <f t="shared" si="62"/>
        <v>no</v>
      </c>
      <c r="AF222" s="36"/>
      <c r="AG222" s="389" t="e">
        <f>P222*('upper bound Kenaga'!$F$36/100)</f>
        <v>#DIV/0!</v>
      </c>
      <c r="AH222" s="36"/>
      <c r="AI222" s="389" t="e">
        <f>P222*('upper bound Kenaga'!$F$96/100)</f>
        <v>#DIV/0!</v>
      </c>
      <c r="AJ222" s="36"/>
      <c r="AK222" s="36"/>
      <c r="AL222" s="36"/>
      <c r="AM222" s="36"/>
      <c r="AN222" s="36"/>
      <c r="AO222" s="36"/>
    </row>
    <row r="223" spans="10:41" s="1" customFormat="1">
      <c r="J223" s="6">
        <f>COUNTIF(K$21:K223,"=yes")</f>
        <v>1</v>
      </c>
      <c r="K223" s="533" t="str">
        <f>IF(LOOKUP(VALUE(M223),INPUTS!$G$6:$G$35)=M223,"yes","no")</f>
        <v>no</v>
      </c>
      <c r="L223" s="533">
        <f>IF(K223="yes",(LOOKUP(J223,INPUTS!$E$6:$E$35,INPUTS!$F$6:$F$35)),0)</f>
        <v>0</v>
      </c>
      <c r="M223" s="135">
        <f t="shared" si="50"/>
        <v>202</v>
      </c>
      <c r="N223" s="135">
        <f t="shared" si="51"/>
        <v>1</v>
      </c>
      <c r="O223" s="135">
        <f t="shared" si="52"/>
        <v>0</v>
      </c>
      <c r="P223" s="536" t="e">
        <f t="shared" ref="P223:P286" si="63">IF((N223&gt;N222),(EXP(-$R$16)*(P222)+$R$11),((EXP(-$R$16)*(P222))))</f>
        <v>#DIV/0!</v>
      </c>
      <c r="Q223" s="537" t="e">
        <f t="shared" si="57"/>
        <v>#DIV/0!</v>
      </c>
      <c r="R223" s="538" t="e">
        <f>IF(INPUTS!$B$15="yes",Q223,P223)</f>
        <v>#DIV/0!</v>
      </c>
      <c r="S223" s="536" t="e">
        <f t="shared" si="53"/>
        <v>#DIV/0!</v>
      </c>
      <c r="T223" s="537" t="e">
        <f t="shared" si="58"/>
        <v>#DIV/0!</v>
      </c>
      <c r="U223" s="538" t="e">
        <f>IF(INPUTS!$B$15="yes",T223,S223)</f>
        <v>#DIV/0!</v>
      </c>
      <c r="V223" s="536" t="e">
        <f t="shared" si="54"/>
        <v>#DIV/0!</v>
      </c>
      <c r="W223" s="537" t="e">
        <f t="shared" si="59"/>
        <v>#DIV/0!</v>
      </c>
      <c r="X223" s="538" t="e">
        <f>IF(INPUTS!$B$15="yes",W223,V223)</f>
        <v>#DIV/0!</v>
      </c>
      <c r="Y223" s="536" t="e">
        <f t="shared" si="55"/>
        <v>#DIV/0!</v>
      </c>
      <c r="Z223" s="537" t="e">
        <f t="shared" si="60"/>
        <v>#DIV/0!</v>
      </c>
      <c r="AA223" s="538" t="e">
        <f>IF(INPUTS!$B$15="yes",Z223,Y223)</f>
        <v>#DIV/0!</v>
      </c>
      <c r="AB223" s="536" t="e">
        <f t="shared" si="56"/>
        <v>#DIV/0!</v>
      </c>
      <c r="AC223" s="537" t="e">
        <f t="shared" si="61"/>
        <v>#DIV/0!</v>
      </c>
      <c r="AD223" s="538" t="e">
        <f>IF(INPUTS!$B$15="yes",AC223,AB223)</f>
        <v>#DIV/0!</v>
      </c>
      <c r="AE223" s="36" t="str">
        <f t="shared" si="62"/>
        <v>no</v>
      </c>
      <c r="AF223" s="36"/>
      <c r="AG223" s="389" t="e">
        <f>P223*('upper bound Kenaga'!$F$36/100)</f>
        <v>#DIV/0!</v>
      </c>
      <c r="AH223" s="36"/>
      <c r="AI223" s="389" t="e">
        <f>P223*('upper bound Kenaga'!$F$96/100)</f>
        <v>#DIV/0!</v>
      </c>
      <c r="AJ223" s="36"/>
      <c r="AK223" s="36"/>
      <c r="AL223" s="36"/>
      <c r="AM223" s="36"/>
      <c r="AN223" s="36"/>
      <c r="AO223" s="36"/>
    </row>
    <row r="224" spans="10:41" s="1" customFormat="1">
      <c r="J224" s="6">
        <f>COUNTIF(K$21:K224,"=yes")</f>
        <v>1</v>
      </c>
      <c r="K224" s="533" t="str">
        <f>IF(LOOKUP(VALUE(M224),INPUTS!$G$6:$G$35)=M224,"yes","no")</f>
        <v>no</v>
      </c>
      <c r="L224" s="533">
        <f>IF(K224="yes",(LOOKUP(J224,INPUTS!$E$6:$E$35,INPUTS!$F$6:$F$35)),0)</f>
        <v>0</v>
      </c>
      <c r="M224" s="135">
        <f t="shared" si="50"/>
        <v>203</v>
      </c>
      <c r="N224" s="135">
        <f t="shared" si="51"/>
        <v>1</v>
      </c>
      <c r="O224" s="135">
        <f t="shared" si="52"/>
        <v>0</v>
      </c>
      <c r="P224" s="536" t="e">
        <f t="shared" si="63"/>
        <v>#DIV/0!</v>
      </c>
      <c r="Q224" s="537" t="e">
        <f t="shared" si="57"/>
        <v>#DIV/0!</v>
      </c>
      <c r="R224" s="538" t="e">
        <f>IF(INPUTS!$B$15="yes",Q224,P224)</f>
        <v>#DIV/0!</v>
      </c>
      <c r="S224" s="536" t="e">
        <f t="shared" si="53"/>
        <v>#DIV/0!</v>
      </c>
      <c r="T224" s="537" t="e">
        <f t="shared" si="58"/>
        <v>#DIV/0!</v>
      </c>
      <c r="U224" s="538" t="e">
        <f>IF(INPUTS!$B$15="yes",T224,S224)</f>
        <v>#DIV/0!</v>
      </c>
      <c r="V224" s="536" t="e">
        <f t="shared" si="54"/>
        <v>#DIV/0!</v>
      </c>
      <c r="W224" s="537" t="e">
        <f t="shared" si="59"/>
        <v>#DIV/0!</v>
      </c>
      <c r="X224" s="538" t="e">
        <f>IF(INPUTS!$B$15="yes",W224,V224)</f>
        <v>#DIV/0!</v>
      </c>
      <c r="Y224" s="536" t="e">
        <f t="shared" si="55"/>
        <v>#DIV/0!</v>
      </c>
      <c r="Z224" s="537" t="e">
        <f t="shared" si="60"/>
        <v>#DIV/0!</v>
      </c>
      <c r="AA224" s="538" t="e">
        <f>IF(INPUTS!$B$15="yes",Z224,Y224)</f>
        <v>#DIV/0!</v>
      </c>
      <c r="AB224" s="536" t="e">
        <f t="shared" si="56"/>
        <v>#DIV/0!</v>
      </c>
      <c r="AC224" s="537" t="e">
        <f t="shared" si="61"/>
        <v>#DIV/0!</v>
      </c>
      <c r="AD224" s="538" t="e">
        <f>IF(INPUTS!$B$15="yes",AC224,AB224)</f>
        <v>#DIV/0!</v>
      </c>
      <c r="AE224" s="36" t="str">
        <f t="shared" si="62"/>
        <v>no</v>
      </c>
      <c r="AF224" s="36"/>
      <c r="AG224" s="389" t="e">
        <f>P224*('upper bound Kenaga'!$F$36/100)</f>
        <v>#DIV/0!</v>
      </c>
      <c r="AH224" s="36"/>
      <c r="AI224" s="389" t="e">
        <f>P224*('upper bound Kenaga'!$F$96/100)</f>
        <v>#DIV/0!</v>
      </c>
      <c r="AJ224" s="36"/>
      <c r="AK224" s="36"/>
      <c r="AL224" s="36"/>
      <c r="AM224" s="36"/>
      <c r="AN224" s="36"/>
      <c r="AO224" s="36"/>
    </row>
    <row r="225" spans="10:41" s="1" customFormat="1">
      <c r="J225" s="6">
        <f>COUNTIF(K$21:K225,"=yes")</f>
        <v>1</v>
      </c>
      <c r="K225" s="533" t="str">
        <f>IF(LOOKUP(VALUE(M225),INPUTS!$G$6:$G$35)=M225,"yes","no")</f>
        <v>no</v>
      </c>
      <c r="L225" s="533">
        <f>IF(K225="yes",(LOOKUP(J225,INPUTS!$E$6:$E$35,INPUTS!$F$6:$F$35)),0)</f>
        <v>0</v>
      </c>
      <c r="M225" s="135">
        <f t="shared" si="50"/>
        <v>204</v>
      </c>
      <c r="N225" s="135">
        <f t="shared" si="51"/>
        <v>1</v>
      </c>
      <c r="O225" s="135">
        <f t="shared" si="52"/>
        <v>0</v>
      </c>
      <c r="P225" s="536" t="e">
        <f t="shared" si="63"/>
        <v>#DIV/0!</v>
      </c>
      <c r="Q225" s="537" t="e">
        <f t="shared" si="57"/>
        <v>#DIV/0!</v>
      </c>
      <c r="R225" s="538" t="e">
        <f>IF(INPUTS!$B$15="yes",Q225,P225)</f>
        <v>#DIV/0!</v>
      </c>
      <c r="S225" s="536" t="e">
        <f t="shared" si="53"/>
        <v>#DIV/0!</v>
      </c>
      <c r="T225" s="537" t="e">
        <f t="shared" si="58"/>
        <v>#DIV/0!</v>
      </c>
      <c r="U225" s="538" t="e">
        <f>IF(INPUTS!$B$15="yes",T225,S225)</f>
        <v>#DIV/0!</v>
      </c>
      <c r="V225" s="536" t="e">
        <f t="shared" si="54"/>
        <v>#DIV/0!</v>
      </c>
      <c r="W225" s="537" t="e">
        <f t="shared" si="59"/>
        <v>#DIV/0!</v>
      </c>
      <c r="X225" s="538" t="e">
        <f>IF(INPUTS!$B$15="yes",W225,V225)</f>
        <v>#DIV/0!</v>
      </c>
      <c r="Y225" s="536" t="e">
        <f t="shared" si="55"/>
        <v>#DIV/0!</v>
      </c>
      <c r="Z225" s="537" t="e">
        <f t="shared" si="60"/>
        <v>#DIV/0!</v>
      </c>
      <c r="AA225" s="538" t="e">
        <f>IF(INPUTS!$B$15="yes",Z225,Y225)</f>
        <v>#DIV/0!</v>
      </c>
      <c r="AB225" s="536" t="e">
        <f t="shared" si="56"/>
        <v>#DIV/0!</v>
      </c>
      <c r="AC225" s="537" t="e">
        <f t="shared" si="61"/>
        <v>#DIV/0!</v>
      </c>
      <c r="AD225" s="538" t="e">
        <f>IF(INPUTS!$B$15="yes",AC225,AB225)</f>
        <v>#DIV/0!</v>
      </c>
      <c r="AE225" s="36" t="str">
        <f t="shared" si="62"/>
        <v>no</v>
      </c>
      <c r="AF225" s="36"/>
      <c r="AG225" s="389" t="e">
        <f>P225*('upper bound Kenaga'!$F$36/100)</f>
        <v>#DIV/0!</v>
      </c>
      <c r="AH225" s="36"/>
      <c r="AI225" s="389" t="e">
        <f>P225*('upper bound Kenaga'!$F$96/100)</f>
        <v>#DIV/0!</v>
      </c>
      <c r="AJ225" s="36"/>
      <c r="AK225" s="36"/>
      <c r="AL225" s="36"/>
      <c r="AM225" s="36"/>
      <c r="AN225" s="36"/>
      <c r="AO225" s="36"/>
    </row>
    <row r="226" spans="10:41" s="1" customFormat="1">
      <c r="J226" s="6">
        <f>COUNTIF(K$21:K226,"=yes")</f>
        <v>1</v>
      </c>
      <c r="K226" s="533" t="str">
        <f>IF(LOOKUP(VALUE(M226),INPUTS!$G$6:$G$35)=M226,"yes","no")</f>
        <v>no</v>
      </c>
      <c r="L226" s="533">
        <f>IF(K226="yes",(LOOKUP(J226,INPUTS!$E$6:$E$35,INPUTS!$F$6:$F$35)),0)</f>
        <v>0</v>
      </c>
      <c r="M226" s="135">
        <f t="shared" si="50"/>
        <v>205</v>
      </c>
      <c r="N226" s="135">
        <f t="shared" si="51"/>
        <v>1</v>
      </c>
      <c r="O226" s="135">
        <f t="shared" si="52"/>
        <v>0</v>
      </c>
      <c r="P226" s="536" t="e">
        <f t="shared" si="63"/>
        <v>#DIV/0!</v>
      </c>
      <c r="Q226" s="537" t="e">
        <f t="shared" si="57"/>
        <v>#DIV/0!</v>
      </c>
      <c r="R226" s="538" t="e">
        <f>IF(INPUTS!$B$15="yes",Q226,P226)</f>
        <v>#DIV/0!</v>
      </c>
      <c r="S226" s="536" t="e">
        <f t="shared" si="53"/>
        <v>#DIV/0!</v>
      </c>
      <c r="T226" s="537" t="e">
        <f t="shared" si="58"/>
        <v>#DIV/0!</v>
      </c>
      <c r="U226" s="538" t="e">
        <f>IF(INPUTS!$B$15="yes",T226,S226)</f>
        <v>#DIV/0!</v>
      </c>
      <c r="V226" s="536" t="e">
        <f t="shared" si="54"/>
        <v>#DIV/0!</v>
      </c>
      <c r="W226" s="537" t="e">
        <f t="shared" si="59"/>
        <v>#DIV/0!</v>
      </c>
      <c r="X226" s="538" t="e">
        <f>IF(INPUTS!$B$15="yes",W226,V226)</f>
        <v>#DIV/0!</v>
      </c>
      <c r="Y226" s="536" t="e">
        <f t="shared" si="55"/>
        <v>#DIV/0!</v>
      </c>
      <c r="Z226" s="537" t="e">
        <f t="shared" si="60"/>
        <v>#DIV/0!</v>
      </c>
      <c r="AA226" s="538" t="e">
        <f>IF(INPUTS!$B$15="yes",Z226,Y226)</f>
        <v>#DIV/0!</v>
      </c>
      <c r="AB226" s="536" t="e">
        <f t="shared" si="56"/>
        <v>#DIV/0!</v>
      </c>
      <c r="AC226" s="537" t="e">
        <f t="shared" si="61"/>
        <v>#DIV/0!</v>
      </c>
      <c r="AD226" s="538" t="e">
        <f>IF(INPUTS!$B$15="yes",AC226,AB226)</f>
        <v>#DIV/0!</v>
      </c>
      <c r="AE226" s="36" t="str">
        <f t="shared" si="62"/>
        <v>no</v>
      </c>
      <c r="AF226" s="36"/>
      <c r="AG226" s="389" t="e">
        <f>P226*('upper bound Kenaga'!$F$36/100)</f>
        <v>#DIV/0!</v>
      </c>
      <c r="AH226" s="36"/>
      <c r="AI226" s="389" t="e">
        <f>P226*('upper bound Kenaga'!$F$96/100)</f>
        <v>#DIV/0!</v>
      </c>
      <c r="AJ226" s="36"/>
      <c r="AK226" s="36"/>
      <c r="AL226" s="36"/>
      <c r="AM226" s="36"/>
      <c r="AN226" s="36"/>
      <c r="AO226" s="36"/>
    </row>
    <row r="227" spans="10:41" s="1" customFormat="1">
      <c r="J227" s="6">
        <f>COUNTIF(K$21:K227,"=yes")</f>
        <v>1</v>
      </c>
      <c r="K227" s="533" t="str">
        <f>IF(LOOKUP(VALUE(M227),INPUTS!$G$6:$G$35)=M227,"yes","no")</f>
        <v>no</v>
      </c>
      <c r="L227" s="533">
        <f>IF(K227="yes",(LOOKUP(J227,INPUTS!$E$6:$E$35,INPUTS!$F$6:$F$35)),0)</f>
        <v>0</v>
      </c>
      <c r="M227" s="135">
        <f t="shared" si="50"/>
        <v>206</v>
      </c>
      <c r="N227" s="135">
        <f t="shared" si="51"/>
        <v>1</v>
      </c>
      <c r="O227" s="135">
        <f t="shared" si="52"/>
        <v>0</v>
      </c>
      <c r="P227" s="536" t="e">
        <f t="shared" si="63"/>
        <v>#DIV/0!</v>
      </c>
      <c r="Q227" s="537" t="e">
        <f t="shared" si="57"/>
        <v>#DIV/0!</v>
      </c>
      <c r="R227" s="538" t="e">
        <f>IF(INPUTS!$B$15="yes",Q227,P227)</f>
        <v>#DIV/0!</v>
      </c>
      <c r="S227" s="536" t="e">
        <f t="shared" si="53"/>
        <v>#DIV/0!</v>
      </c>
      <c r="T227" s="537" t="e">
        <f t="shared" si="58"/>
        <v>#DIV/0!</v>
      </c>
      <c r="U227" s="538" t="e">
        <f>IF(INPUTS!$B$15="yes",T227,S227)</f>
        <v>#DIV/0!</v>
      </c>
      <c r="V227" s="536" t="e">
        <f t="shared" si="54"/>
        <v>#DIV/0!</v>
      </c>
      <c r="W227" s="537" t="e">
        <f t="shared" si="59"/>
        <v>#DIV/0!</v>
      </c>
      <c r="X227" s="538" t="e">
        <f>IF(INPUTS!$B$15="yes",W227,V227)</f>
        <v>#DIV/0!</v>
      </c>
      <c r="Y227" s="536" t="e">
        <f t="shared" si="55"/>
        <v>#DIV/0!</v>
      </c>
      <c r="Z227" s="537" t="e">
        <f t="shared" si="60"/>
        <v>#DIV/0!</v>
      </c>
      <c r="AA227" s="538" t="e">
        <f>IF(INPUTS!$B$15="yes",Z227,Y227)</f>
        <v>#DIV/0!</v>
      </c>
      <c r="AB227" s="536" t="e">
        <f t="shared" si="56"/>
        <v>#DIV/0!</v>
      </c>
      <c r="AC227" s="537" t="e">
        <f t="shared" si="61"/>
        <v>#DIV/0!</v>
      </c>
      <c r="AD227" s="538" t="e">
        <f>IF(INPUTS!$B$15="yes",AC227,AB227)</f>
        <v>#DIV/0!</v>
      </c>
      <c r="AE227" s="36" t="str">
        <f t="shared" si="62"/>
        <v>no</v>
      </c>
      <c r="AF227" s="36"/>
      <c r="AG227" s="389" t="e">
        <f>P227*('upper bound Kenaga'!$F$36/100)</f>
        <v>#DIV/0!</v>
      </c>
      <c r="AH227" s="36"/>
      <c r="AI227" s="389" t="e">
        <f>P227*('upper bound Kenaga'!$F$96/100)</f>
        <v>#DIV/0!</v>
      </c>
      <c r="AJ227" s="36"/>
      <c r="AK227" s="36"/>
      <c r="AL227" s="36"/>
      <c r="AM227" s="36"/>
      <c r="AN227" s="36"/>
      <c r="AO227" s="36"/>
    </row>
    <row r="228" spans="10:41" s="1" customFormat="1">
      <c r="J228" s="6">
        <f>COUNTIF(K$21:K228,"=yes")</f>
        <v>1</v>
      </c>
      <c r="K228" s="533" t="str">
        <f>IF(LOOKUP(VALUE(M228),INPUTS!$G$6:$G$35)=M228,"yes","no")</f>
        <v>no</v>
      </c>
      <c r="L228" s="533">
        <f>IF(K228="yes",(LOOKUP(J228,INPUTS!$E$6:$E$35,INPUTS!$F$6:$F$35)),0)</f>
        <v>0</v>
      </c>
      <c r="M228" s="135">
        <f t="shared" si="50"/>
        <v>207</v>
      </c>
      <c r="N228" s="135">
        <f t="shared" si="51"/>
        <v>1</v>
      </c>
      <c r="O228" s="135">
        <f t="shared" si="52"/>
        <v>0</v>
      </c>
      <c r="P228" s="536" t="e">
        <f t="shared" si="63"/>
        <v>#DIV/0!</v>
      </c>
      <c r="Q228" s="537" t="e">
        <f t="shared" si="57"/>
        <v>#DIV/0!</v>
      </c>
      <c r="R228" s="538" t="e">
        <f>IF(INPUTS!$B$15="yes",Q228,P228)</f>
        <v>#DIV/0!</v>
      </c>
      <c r="S228" s="536" t="e">
        <f t="shared" si="53"/>
        <v>#DIV/0!</v>
      </c>
      <c r="T228" s="537" t="e">
        <f t="shared" si="58"/>
        <v>#DIV/0!</v>
      </c>
      <c r="U228" s="538" t="e">
        <f>IF(INPUTS!$B$15="yes",T228,S228)</f>
        <v>#DIV/0!</v>
      </c>
      <c r="V228" s="536" t="e">
        <f t="shared" si="54"/>
        <v>#DIV/0!</v>
      </c>
      <c r="W228" s="537" t="e">
        <f t="shared" si="59"/>
        <v>#DIV/0!</v>
      </c>
      <c r="X228" s="538" t="e">
        <f>IF(INPUTS!$B$15="yes",W228,V228)</f>
        <v>#DIV/0!</v>
      </c>
      <c r="Y228" s="536" t="e">
        <f t="shared" si="55"/>
        <v>#DIV/0!</v>
      </c>
      <c r="Z228" s="537" t="e">
        <f t="shared" si="60"/>
        <v>#DIV/0!</v>
      </c>
      <c r="AA228" s="538" t="e">
        <f>IF(INPUTS!$B$15="yes",Z228,Y228)</f>
        <v>#DIV/0!</v>
      </c>
      <c r="AB228" s="536" t="e">
        <f t="shared" si="56"/>
        <v>#DIV/0!</v>
      </c>
      <c r="AC228" s="537" t="e">
        <f t="shared" si="61"/>
        <v>#DIV/0!</v>
      </c>
      <c r="AD228" s="538" t="e">
        <f>IF(INPUTS!$B$15="yes",AC228,AB228)</f>
        <v>#DIV/0!</v>
      </c>
      <c r="AE228" s="36" t="str">
        <f t="shared" si="62"/>
        <v>no</v>
      </c>
      <c r="AF228" s="36"/>
      <c r="AG228" s="389" t="e">
        <f>P228*('upper bound Kenaga'!$F$36/100)</f>
        <v>#DIV/0!</v>
      </c>
      <c r="AH228" s="36"/>
      <c r="AI228" s="389" t="e">
        <f>P228*('upper bound Kenaga'!$F$96/100)</f>
        <v>#DIV/0!</v>
      </c>
      <c r="AJ228" s="36"/>
      <c r="AK228" s="36"/>
      <c r="AL228" s="36"/>
      <c r="AM228" s="36"/>
      <c r="AN228" s="36"/>
      <c r="AO228" s="36"/>
    </row>
    <row r="229" spans="10:41" s="1" customFormat="1">
      <c r="J229" s="6">
        <f>COUNTIF(K$21:K229,"=yes")</f>
        <v>1</v>
      </c>
      <c r="K229" s="533" t="str">
        <f>IF(LOOKUP(VALUE(M229),INPUTS!$G$6:$G$35)=M229,"yes","no")</f>
        <v>no</v>
      </c>
      <c r="L229" s="533">
        <f>IF(K229="yes",(LOOKUP(J229,INPUTS!$E$6:$E$35,INPUTS!$F$6:$F$35)),0)</f>
        <v>0</v>
      </c>
      <c r="M229" s="135">
        <f t="shared" si="50"/>
        <v>208</v>
      </c>
      <c r="N229" s="135">
        <f t="shared" si="51"/>
        <v>1</v>
      </c>
      <c r="O229" s="135">
        <f t="shared" si="52"/>
        <v>0</v>
      </c>
      <c r="P229" s="536" t="e">
        <f t="shared" si="63"/>
        <v>#DIV/0!</v>
      </c>
      <c r="Q229" s="537" t="e">
        <f t="shared" si="57"/>
        <v>#DIV/0!</v>
      </c>
      <c r="R229" s="538" t="e">
        <f>IF(INPUTS!$B$15="yes",Q229,P229)</f>
        <v>#DIV/0!</v>
      </c>
      <c r="S229" s="536" t="e">
        <f t="shared" si="53"/>
        <v>#DIV/0!</v>
      </c>
      <c r="T229" s="537" t="e">
        <f t="shared" si="58"/>
        <v>#DIV/0!</v>
      </c>
      <c r="U229" s="538" t="e">
        <f>IF(INPUTS!$B$15="yes",T229,S229)</f>
        <v>#DIV/0!</v>
      </c>
      <c r="V229" s="536" t="e">
        <f t="shared" si="54"/>
        <v>#DIV/0!</v>
      </c>
      <c r="W229" s="537" t="e">
        <f t="shared" si="59"/>
        <v>#DIV/0!</v>
      </c>
      <c r="X229" s="538" t="e">
        <f>IF(INPUTS!$B$15="yes",W229,V229)</f>
        <v>#DIV/0!</v>
      </c>
      <c r="Y229" s="536" t="e">
        <f t="shared" si="55"/>
        <v>#DIV/0!</v>
      </c>
      <c r="Z229" s="537" t="e">
        <f t="shared" si="60"/>
        <v>#DIV/0!</v>
      </c>
      <c r="AA229" s="538" t="e">
        <f>IF(INPUTS!$B$15="yes",Z229,Y229)</f>
        <v>#DIV/0!</v>
      </c>
      <c r="AB229" s="536" t="e">
        <f t="shared" si="56"/>
        <v>#DIV/0!</v>
      </c>
      <c r="AC229" s="537" t="e">
        <f t="shared" si="61"/>
        <v>#DIV/0!</v>
      </c>
      <c r="AD229" s="538" t="e">
        <f>IF(INPUTS!$B$15="yes",AC229,AB229)</f>
        <v>#DIV/0!</v>
      </c>
      <c r="AE229" s="36" t="str">
        <f t="shared" si="62"/>
        <v>no</v>
      </c>
      <c r="AF229" s="36"/>
      <c r="AG229" s="389" t="e">
        <f>P229*('upper bound Kenaga'!$F$36/100)</f>
        <v>#DIV/0!</v>
      </c>
      <c r="AH229" s="36"/>
      <c r="AI229" s="389" t="e">
        <f>P229*('upper bound Kenaga'!$F$96/100)</f>
        <v>#DIV/0!</v>
      </c>
      <c r="AJ229" s="36"/>
      <c r="AK229" s="36"/>
      <c r="AL229" s="36"/>
      <c r="AM229" s="36"/>
      <c r="AN229" s="36"/>
      <c r="AO229" s="36"/>
    </row>
    <row r="230" spans="10:41" s="1" customFormat="1">
      <c r="J230" s="6">
        <f>COUNTIF(K$21:K230,"=yes")</f>
        <v>1</v>
      </c>
      <c r="K230" s="533" t="str">
        <f>IF(LOOKUP(VALUE(M230),INPUTS!$G$6:$G$35)=M230,"yes","no")</f>
        <v>no</v>
      </c>
      <c r="L230" s="533">
        <f>IF(K230="yes",(LOOKUP(J230,INPUTS!$E$6:$E$35,INPUTS!$F$6:$F$35)),0)</f>
        <v>0</v>
      </c>
      <c r="M230" s="135">
        <f t="shared" si="50"/>
        <v>209</v>
      </c>
      <c r="N230" s="135">
        <f t="shared" si="51"/>
        <v>1</v>
      </c>
      <c r="O230" s="135">
        <f t="shared" si="52"/>
        <v>0</v>
      </c>
      <c r="P230" s="536" t="e">
        <f t="shared" si="63"/>
        <v>#DIV/0!</v>
      </c>
      <c r="Q230" s="537" t="e">
        <f t="shared" si="57"/>
        <v>#DIV/0!</v>
      </c>
      <c r="R230" s="538" t="e">
        <f>IF(INPUTS!$B$15="yes",Q230,P230)</f>
        <v>#DIV/0!</v>
      </c>
      <c r="S230" s="536" t="e">
        <f t="shared" si="53"/>
        <v>#DIV/0!</v>
      </c>
      <c r="T230" s="537" t="e">
        <f t="shared" si="58"/>
        <v>#DIV/0!</v>
      </c>
      <c r="U230" s="538" t="e">
        <f>IF(INPUTS!$B$15="yes",T230,S230)</f>
        <v>#DIV/0!</v>
      </c>
      <c r="V230" s="536" t="e">
        <f t="shared" si="54"/>
        <v>#DIV/0!</v>
      </c>
      <c r="W230" s="537" t="e">
        <f t="shared" si="59"/>
        <v>#DIV/0!</v>
      </c>
      <c r="X230" s="538" t="e">
        <f>IF(INPUTS!$B$15="yes",W230,V230)</f>
        <v>#DIV/0!</v>
      </c>
      <c r="Y230" s="536" t="e">
        <f t="shared" si="55"/>
        <v>#DIV/0!</v>
      </c>
      <c r="Z230" s="537" t="e">
        <f t="shared" si="60"/>
        <v>#DIV/0!</v>
      </c>
      <c r="AA230" s="538" t="e">
        <f>IF(INPUTS!$B$15="yes",Z230,Y230)</f>
        <v>#DIV/0!</v>
      </c>
      <c r="AB230" s="536" t="e">
        <f t="shared" si="56"/>
        <v>#DIV/0!</v>
      </c>
      <c r="AC230" s="537" t="e">
        <f t="shared" si="61"/>
        <v>#DIV/0!</v>
      </c>
      <c r="AD230" s="538" t="e">
        <f>IF(INPUTS!$B$15="yes",AC230,AB230)</f>
        <v>#DIV/0!</v>
      </c>
      <c r="AE230" s="36" t="str">
        <f t="shared" si="62"/>
        <v>no</v>
      </c>
      <c r="AF230" s="36"/>
      <c r="AG230" s="389" t="e">
        <f>P230*('upper bound Kenaga'!$F$36/100)</f>
        <v>#DIV/0!</v>
      </c>
      <c r="AH230" s="36"/>
      <c r="AI230" s="389" t="e">
        <f>P230*('upper bound Kenaga'!$F$96/100)</f>
        <v>#DIV/0!</v>
      </c>
      <c r="AJ230" s="36"/>
      <c r="AK230" s="36"/>
      <c r="AL230" s="36"/>
      <c r="AM230" s="36"/>
      <c r="AN230" s="36"/>
      <c r="AO230" s="36"/>
    </row>
    <row r="231" spans="10:41" s="1" customFormat="1">
      <c r="J231" s="6">
        <f>COUNTIF(K$21:K231,"=yes")</f>
        <v>1</v>
      </c>
      <c r="K231" s="533" t="str">
        <f>IF(LOOKUP(VALUE(M231),INPUTS!$G$6:$G$35)=M231,"yes","no")</f>
        <v>no</v>
      </c>
      <c r="L231" s="533">
        <f>IF(K231="yes",(LOOKUP(J231,INPUTS!$E$6:$E$35,INPUTS!$F$6:$F$35)),0)</f>
        <v>0</v>
      </c>
      <c r="M231" s="135">
        <f t="shared" si="50"/>
        <v>210</v>
      </c>
      <c r="N231" s="135">
        <f t="shared" si="51"/>
        <v>1</v>
      </c>
      <c r="O231" s="135">
        <f t="shared" si="52"/>
        <v>0</v>
      </c>
      <c r="P231" s="536" t="e">
        <f t="shared" si="63"/>
        <v>#DIV/0!</v>
      </c>
      <c r="Q231" s="537" t="e">
        <f t="shared" si="57"/>
        <v>#DIV/0!</v>
      </c>
      <c r="R231" s="538" t="e">
        <f>IF(INPUTS!$B$15="yes",Q231,P231)</f>
        <v>#DIV/0!</v>
      </c>
      <c r="S231" s="536" t="e">
        <f t="shared" si="53"/>
        <v>#DIV/0!</v>
      </c>
      <c r="T231" s="537" t="e">
        <f t="shared" si="58"/>
        <v>#DIV/0!</v>
      </c>
      <c r="U231" s="538" t="e">
        <f>IF(INPUTS!$B$15="yes",T231,S231)</f>
        <v>#DIV/0!</v>
      </c>
      <c r="V231" s="536" t="e">
        <f t="shared" si="54"/>
        <v>#DIV/0!</v>
      </c>
      <c r="W231" s="537" t="e">
        <f t="shared" si="59"/>
        <v>#DIV/0!</v>
      </c>
      <c r="X231" s="538" t="e">
        <f>IF(INPUTS!$B$15="yes",W231,V231)</f>
        <v>#DIV/0!</v>
      </c>
      <c r="Y231" s="536" t="e">
        <f t="shared" si="55"/>
        <v>#DIV/0!</v>
      </c>
      <c r="Z231" s="537" t="e">
        <f t="shared" si="60"/>
        <v>#DIV/0!</v>
      </c>
      <c r="AA231" s="538" t="e">
        <f>IF(INPUTS!$B$15="yes",Z231,Y231)</f>
        <v>#DIV/0!</v>
      </c>
      <c r="AB231" s="536" t="e">
        <f t="shared" si="56"/>
        <v>#DIV/0!</v>
      </c>
      <c r="AC231" s="537" t="e">
        <f t="shared" si="61"/>
        <v>#DIV/0!</v>
      </c>
      <c r="AD231" s="538" t="e">
        <f>IF(INPUTS!$B$15="yes",AC231,AB231)</f>
        <v>#DIV/0!</v>
      </c>
      <c r="AE231" s="36" t="str">
        <f t="shared" si="62"/>
        <v>no</v>
      </c>
      <c r="AF231" s="36"/>
      <c r="AG231" s="389" t="e">
        <f>P231*('upper bound Kenaga'!$F$36/100)</f>
        <v>#DIV/0!</v>
      </c>
      <c r="AH231" s="36"/>
      <c r="AI231" s="389" t="e">
        <f>P231*('upper bound Kenaga'!$F$96/100)</f>
        <v>#DIV/0!</v>
      </c>
      <c r="AJ231" s="36"/>
      <c r="AK231" s="36"/>
      <c r="AL231" s="36"/>
      <c r="AM231" s="36"/>
      <c r="AN231" s="36"/>
      <c r="AO231" s="36"/>
    </row>
    <row r="232" spans="10:41" s="1" customFormat="1">
      <c r="J232" s="6">
        <f>COUNTIF(K$21:K232,"=yes")</f>
        <v>1</v>
      </c>
      <c r="K232" s="533" t="str">
        <f>IF(LOOKUP(VALUE(M232),INPUTS!$G$6:$G$35)=M232,"yes","no")</f>
        <v>no</v>
      </c>
      <c r="L232" s="533">
        <f>IF(K232="yes",(LOOKUP(J232,INPUTS!$E$6:$E$35,INPUTS!$F$6:$F$35)),0)</f>
        <v>0</v>
      </c>
      <c r="M232" s="135">
        <f t="shared" si="50"/>
        <v>211</v>
      </c>
      <c r="N232" s="135">
        <f t="shared" si="51"/>
        <v>1</v>
      </c>
      <c r="O232" s="135">
        <f t="shared" si="52"/>
        <v>0</v>
      </c>
      <c r="P232" s="536" t="e">
        <f t="shared" si="63"/>
        <v>#DIV/0!</v>
      </c>
      <c r="Q232" s="537" t="e">
        <f t="shared" si="57"/>
        <v>#DIV/0!</v>
      </c>
      <c r="R232" s="538" t="e">
        <f>IF(INPUTS!$B$15="yes",Q232,P232)</f>
        <v>#DIV/0!</v>
      </c>
      <c r="S232" s="536" t="e">
        <f t="shared" si="53"/>
        <v>#DIV/0!</v>
      </c>
      <c r="T232" s="537" t="e">
        <f t="shared" si="58"/>
        <v>#DIV/0!</v>
      </c>
      <c r="U232" s="538" t="e">
        <f>IF(INPUTS!$B$15="yes",T232,S232)</f>
        <v>#DIV/0!</v>
      </c>
      <c r="V232" s="536" t="e">
        <f t="shared" si="54"/>
        <v>#DIV/0!</v>
      </c>
      <c r="W232" s="537" t="e">
        <f t="shared" si="59"/>
        <v>#DIV/0!</v>
      </c>
      <c r="X232" s="538" t="e">
        <f>IF(INPUTS!$B$15="yes",W232,V232)</f>
        <v>#DIV/0!</v>
      </c>
      <c r="Y232" s="536" t="e">
        <f t="shared" si="55"/>
        <v>#DIV/0!</v>
      </c>
      <c r="Z232" s="537" t="e">
        <f t="shared" si="60"/>
        <v>#DIV/0!</v>
      </c>
      <c r="AA232" s="538" t="e">
        <f>IF(INPUTS!$B$15="yes",Z232,Y232)</f>
        <v>#DIV/0!</v>
      </c>
      <c r="AB232" s="536" t="e">
        <f t="shared" si="56"/>
        <v>#DIV/0!</v>
      </c>
      <c r="AC232" s="537" t="e">
        <f t="shared" si="61"/>
        <v>#DIV/0!</v>
      </c>
      <c r="AD232" s="538" t="e">
        <f>IF(INPUTS!$B$15="yes",AC232,AB232)</f>
        <v>#DIV/0!</v>
      </c>
      <c r="AE232" s="36" t="str">
        <f t="shared" si="62"/>
        <v>no</v>
      </c>
      <c r="AF232" s="36"/>
      <c r="AG232" s="389" t="e">
        <f>P232*('upper bound Kenaga'!$F$36/100)</f>
        <v>#DIV/0!</v>
      </c>
      <c r="AH232" s="36"/>
      <c r="AI232" s="389" t="e">
        <f>P232*('upper bound Kenaga'!$F$96/100)</f>
        <v>#DIV/0!</v>
      </c>
      <c r="AJ232" s="36"/>
      <c r="AK232" s="36"/>
      <c r="AL232" s="36"/>
      <c r="AM232" s="36"/>
      <c r="AN232" s="36"/>
      <c r="AO232" s="36"/>
    </row>
    <row r="233" spans="10:41" s="1" customFormat="1">
      <c r="J233" s="6">
        <f>COUNTIF(K$21:K233,"=yes")</f>
        <v>1</v>
      </c>
      <c r="K233" s="533" t="str">
        <f>IF(LOOKUP(VALUE(M233),INPUTS!$G$6:$G$35)=M233,"yes","no")</f>
        <v>no</v>
      </c>
      <c r="L233" s="533">
        <f>IF(K233="yes",(LOOKUP(J233,INPUTS!$E$6:$E$35,INPUTS!$F$6:$F$35)),0)</f>
        <v>0</v>
      </c>
      <c r="M233" s="135">
        <f t="shared" si="50"/>
        <v>212</v>
      </c>
      <c r="N233" s="135">
        <f t="shared" si="51"/>
        <v>1</v>
      </c>
      <c r="O233" s="135">
        <f t="shared" si="52"/>
        <v>0</v>
      </c>
      <c r="P233" s="536" t="e">
        <f t="shared" si="63"/>
        <v>#DIV/0!</v>
      </c>
      <c r="Q233" s="537" t="e">
        <f t="shared" si="57"/>
        <v>#DIV/0!</v>
      </c>
      <c r="R233" s="538" t="e">
        <f>IF(INPUTS!$B$15="yes",Q233,P233)</f>
        <v>#DIV/0!</v>
      </c>
      <c r="S233" s="536" t="e">
        <f t="shared" si="53"/>
        <v>#DIV/0!</v>
      </c>
      <c r="T233" s="537" t="e">
        <f t="shared" si="58"/>
        <v>#DIV/0!</v>
      </c>
      <c r="U233" s="538" t="e">
        <f>IF(INPUTS!$B$15="yes",T233,S233)</f>
        <v>#DIV/0!</v>
      </c>
      <c r="V233" s="536" t="e">
        <f t="shared" si="54"/>
        <v>#DIV/0!</v>
      </c>
      <c r="W233" s="537" t="e">
        <f t="shared" si="59"/>
        <v>#DIV/0!</v>
      </c>
      <c r="X233" s="538" t="e">
        <f>IF(INPUTS!$B$15="yes",W233,V233)</f>
        <v>#DIV/0!</v>
      </c>
      <c r="Y233" s="536" t="e">
        <f t="shared" si="55"/>
        <v>#DIV/0!</v>
      </c>
      <c r="Z233" s="537" t="e">
        <f t="shared" si="60"/>
        <v>#DIV/0!</v>
      </c>
      <c r="AA233" s="538" t="e">
        <f>IF(INPUTS!$B$15="yes",Z233,Y233)</f>
        <v>#DIV/0!</v>
      </c>
      <c r="AB233" s="536" t="e">
        <f t="shared" si="56"/>
        <v>#DIV/0!</v>
      </c>
      <c r="AC233" s="537" t="e">
        <f t="shared" si="61"/>
        <v>#DIV/0!</v>
      </c>
      <c r="AD233" s="538" t="e">
        <f>IF(INPUTS!$B$15="yes",AC233,AB233)</f>
        <v>#DIV/0!</v>
      </c>
      <c r="AE233" s="36" t="str">
        <f t="shared" si="62"/>
        <v>no</v>
      </c>
      <c r="AF233" s="36"/>
      <c r="AG233" s="389" t="e">
        <f>P233*('upper bound Kenaga'!$F$36/100)</f>
        <v>#DIV/0!</v>
      </c>
      <c r="AH233" s="36"/>
      <c r="AI233" s="389" t="e">
        <f>P233*('upper bound Kenaga'!$F$96/100)</f>
        <v>#DIV/0!</v>
      </c>
      <c r="AJ233" s="36"/>
      <c r="AK233" s="36"/>
      <c r="AL233" s="36"/>
      <c r="AM233" s="36"/>
      <c r="AN233" s="36"/>
      <c r="AO233" s="36"/>
    </row>
    <row r="234" spans="10:41" s="1" customFormat="1">
      <c r="J234" s="6">
        <f>COUNTIF(K$21:K234,"=yes")</f>
        <v>1</v>
      </c>
      <c r="K234" s="533" t="str">
        <f>IF(LOOKUP(VALUE(M234),INPUTS!$G$6:$G$35)=M234,"yes","no")</f>
        <v>no</v>
      </c>
      <c r="L234" s="533">
        <f>IF(K234="yes",(LOOKUP(J234,INPUTS!$E$6:$E$35,INPUTS!$F$6:$F$35)),0)</f>
        <v>0</v>
      </c>
      <c r="M234" s="135">
        <f t="shared" si="50"/>
        <v>213</v>
      </c>
      <c r="N234" s="135">
        <f t="shared" si="51"/>
        <v>1</v>
      </c>
      <c r="O234" s="135">
        <f t="shared" si="52"/>
        <v>0</v>
      </c>
      <c r="P234" s="536" t="e">
        <f t="shared" si="63"/>
        <v>#DIV/0!</v>
      </c>
      <c r="Q234" s="537" t="e">
        <f t="shared" si="57"/>
        <v>#DIV/0!</v>
      </c>
      <c r="R234" s="538" t="e">
        <f>IF(INPUTS!$B$15="yes",Q234,P234)</f>
        <v>#DIV/0!</v>
      </c>
      <c r="S234" s="536" t="e">
        <f t="shared" si="53"/>
        <v>#DIV/0!</v>
      </c>
      <c r="T234" s="537" t="e">
        <f t="shared" si="58"/>
        <v>#DIV/0!</v>
      </c>
      <c r="U234" s="538" t="e">
        <f>IF(INPUTS!$B$15="yes",T234,S234)</f>
        <v>#DIV/0!</v>
      </c>
      <c r="V234" s="536" t="e">
        <f t="shared" si="54"/>
        <v>#DIV/0!</v>
      </c>
      <c r="W234" s="537" t="e">
        <f t="shared" si="59"/>
        <v>#DIV/0!</v>
      </c>
      <c r="X234" s="538" t="e">
        <f>IF(INPUTS!$B$15="yes",W234,V234)</f>
        <v>#DIV/0!</v>
      </c>
      <c r="Y234" s="536" t="e">
        <f t="shared" si="55"/>
        <v>#DIV/0!</v>
      </c>
      <c r="Z234" s="537" t="e">
        <f t="shared" si="60"/>
        <v>#DIV/0!</v>
      </c>
      <c r="AA234" s="538" t="e">
        <f>IF(INPUTS!$B$15="yes",Z234,Y234)</f>
        <v>#DIV/0!</v>
      </c>
      <c r="AB234" s="536" t="e">
        <f t="shared" si="56"/>
        <v>#DIV/0!</v>
      </c>
      <c r="AC234" s="537" t="e">
        <f t="shared" si="61"/>
        <v>#DIV/0!</v>
      </c>
      <c r="AD234" s="538" t="e">
        <f>IF(INPUTS!$B$15="yes",AC234,AB234)</f>
        <v>#DIV/0!</v>
      </c>
      <c r="AE234" s="36" t="str">
        <f t="shared" si="62"/>
        <v>no</v>
      </c>
      <c r="AF234" s="36"/>
      <c r="AG234" s="389" t="e">
        <f>P234*('upper bound Kenaga'!$F$36/100)</f>
        <v>#DIV/0!</v>
      </c>
      <c r="AH234" s="36"/>
      <c r="AI234" s="389" t="e">
        <f>P234*('upper bound Kenaga'!$F$96/100)</f>
        <v>#DIV/0!</v>
      </c>
      <c r="AJ234" s="36"/>
      <c r="AK234" s="36"/>
      <c r="AL234" s="36"/>
      <c r="AM234" s="36"/>
      <c r="AN234" s="36"/>
      <c r="AO234" s="36"/>
    </row>
    <row r="235" spans="10:41" s="1" customFormat="1">
      <c r="J235" s="6">
        <f>COUNTIF(K$21:K235,"=yes")</f>
        <v>1</v>
      </c>
      <c r="K235" s="533" t="str">
        <f>IF(LOOKUP(VALUE(M235),INPUTS!$G$6:$G$35)=M235,"yes","no")</f>
        <v>no</v>
      </c>
      <c r="L235" s="533">
        <f>IF(K235="yes",(LOOKUP(J235,INPUTS!$E$6:$E$35,INPUTS!$F$6:$F$35)),0)</f>
        <v>0</v>
      </c>
      <c r="M235" s="135">
        <f t="shared" si="50"/>
        <v>214</v>
      </c>
      <c r="N235" s="135">
        <f t="shared" si="51"/>
        <v>1</v>
      </c>
      <c r="O235" s="135">
        <f t="shared" si="52"/>
        <v>0</v>
      </c>
      <c r="P235" s="536" t="e">
        <f t="shared" si="63"/>
        <v>#DIV/0!</v>
      </c>
      <c r="Q235" s="537" t="e">
        <f t="shared" si="57"/>
        <v>#DIV/0!</v>
      </c>
      <c r="R235" s="538" t="e">
        <f>IF(INPUTS!$B$15="yes",Q235,P235)</f>
        <v>#DIV/0!</v>
      </c>
      <c r="S235" s="536" t="e">
        <f t="shared" si="53"/>
        <v>#DIV/0!</v>
      </c>
      <c r="T235" s="537" t="e">
        <f t="shared" si="58"/>
        <v>#DIV/0!</v>
      </c>
      <c r="U235" s="538" t="e">
        <f>IF(INPUTS!$B$15="yes",T235,S235)</f>
        <v>#DIV/0!</v>
      </c>
      <c r="V235" s="536" t="e">
        <f t="shared" si="54"/>
        <v>#DIV/0!</v>
      </c>
      <c r="W235" s="537" t="e">
        <f t="shared" si="59"/>
        <v>#DIV/0!</v>
      </c>
      <c r="X235" s="538" t="e">
        <f>IF(INPUTS!$B$15="yes",W235,V235)</f>
        <v>#DIV/0!</v>
      </c>
      <c r="Y235" s="536" t="e">
        <f t="shared" si="55"/>
        <v>#DIV/0!</v>
      </c>
      <c r="Z235" s="537" t="e">
        <f t="shared" si="60"/>
        <v>#DIV/0!</v>
      </c>
      <c r="AA235" s="538" t="e">
        <f>IF(INPUTS!$B$15="yes",Z235,Y235)</f>
        <v>#DIV/0!</v>
      </c>
      <c r="AB235" s="536" t="e">
        <f t="shared" si="56"/>
        <v>#DIV/0!</v>
      </c>
      <c r="AC235" s="537" t="e">
        <f t="shared" si="61"/>
        <v>#DIV/0!</v>
      </c>
      <c r="AD235" s="538" t="e">
        <f>IF(INPUTS!$B$15="yes",AC235,AB235)</f>
        <v>#DIV/0!</v>
      </c>
      <c r="AE235" s="36" t="str">
        <f t="shared" si="62"/>
        <v>no</v>
      </c>
      <c r="AF235" s="36"/>
      <c r="AG235" s="389" t="e">
        <f>P235*('upper bound Kenaga'!$F$36/100)</f>
        <v>#DIV/0!</v>
      </c>
      <c r="AH235" s="36"/>
      <c r="AI235" s="389" t="e">
        <f>P235*('upper bound Kenaga'!$F$96/100)</f>
        <v>#DIV/0!</v>
      </c>
      <c r="AJ235" s="36"/>
      <c r="AK235" s="36"/>
      <c r="AL235" s="36"/>
      <c r="AM235" s="36"/>
      <c r="AN235" s="36"/>
      <c r="AO235" s="36"/>
    </row>
    <row r="236" spans="10:41" s="1" customFormat="1">
      <c r="J236" s="6">
        <f>COUNTIF(K$21:K236,"=yes")</f>
        <v>1</v>
      </c>
      <c r="K236" s="533" t="str">
        <f>IF(LOOKUP(VALUE(M236),INPUTS!$G$6:$G$35)=M236,"yes","no")</f>
        <v>no</v>
      </c>
      <c r="L236" s="533">
        <f>IF(K236="yes",(LOOKUP(J236,INPUTS!$E$6:$E$35,INPUTS!$F$6:$F$35)),0)</f>
        <v>0</v>
      </c>
      <c r="M236" s="135">
        <f t="shared" si="50"/>
        <v>215</v>
      </c>
      <c r="N236" s="135">
        <f t="shared" si="51"/>
        <v>1</v>
      </c>
      <c r="O236" s="135">
        <f t="shared" si="52"/>
        <v>0</v>
      </c>
      <c r="P236" s="536" t="e">
        <f t="shared" si="63"/>
        <v>#DIV/0!</v>
      </c>
      <c r="Q236" s="537" t="e">
        <f t="shared" si="57"/>
        <v>#DIV/0!</v>
      </c>
      <c r="R236" s="538" t="e">
        <f>IF(INPUTS!$B$15="yes",Q236,P236)</f>
        <v>#DIV/0!</v>
      </c>
      <c r="S236" s="536" t="e">
        <f t="shared" si="53"/>
        <v>#DIV/0!</v>
      </c>
      <c r="T236" s="537" t="e">
        <f t="shared" si="58"/>
        <v>#DIV/0!</v>
      </c>
      <c r="U236" s="538" t="e">
        <f>IF(INPUTS!$B$15="yes",T236,S236)</f>
        <v>#DIV/0!</v>
      </c>
      <c r="V236" s="536" t="e">
        <f t="shared" si="54"/>
        <v>#DIV/0!</v>
      </c>
      <c r="W236" s="537" t="e">
        <f t="shared" si="59"/>
        <v>#DIV/0!</v>
      </c>
      <c r="X236" s="538" t="e">
        <f>IF(INPUTS!$B$15="yes",W236,V236)</f>
        <v>#DIV/0!</v>
      </c>
      <c r="Y236" s="536" t="e">
        <f t="shared" si="55"/>
        <v>#DIV/0!</v>
      </c>
      <c r="Z236" s="537" t="e">
        <f t="shared" si="60"/>
        <v>#DIV/0!</v>
      </c>
      <c r="AA236" s="538" t="e">
        <f>IF(INPUTS!$B$15="yes",Z236,Y236)</f>
        <v>#DIV/0!</v>
      </c>
      <c r="AB236" s="536" t="e">
        <f t="shared" si="56"/>
        <v>#DIV/0!</v>
      </c>
      <c r="AC236" s="537" t="e">
        <f t="shared" si="61"/>
        <v>#DIV/0!</v>
      </c>
      <c r="AD236" s="538" t="e">
        <f>IF(INPUTS!$B$15="yes",AC236,AB236)</f>
        <v>#DIV/0!</v>
      </c>
      <c r="AE236" s="36" t="str">
        <f t="shared" si="62"/>
        <v>no</v>
      </c>
      <c r="AF236" s="36"/>
      <c r="AG236" s="389" t="e">
        <f>P236*('upper bound Kenaga'!$F$36/100)</f>
        <v>#DIV/0!</v>
      </c>
      <c r="AH236" s="36"/>
      <c r="AI236" s="389" t="e">
        <f>P236*('upper bound Kenaga'!$F$96/100)</f>
        <v>#DIV/0!</v>
      </c>
      <c r="AJ236" s="36"/>
      <c r="AK236" s="36"/>
      <c r="AL236" s="36"/>
      <c r="AM236" s="36"/>
      <c r="AN236" s="36"/>
      <c r="AO236" s="36"/>
    </row>
    <row r="237" spans="10:41" s="1" customFormat="1">
      <c r="J237" s="6">
        <f>COUNTIF(K$21:K237,"=yes")</f>
        <v>1</v>
      </c>
      <c r="K237" s="533" t="str">
        <f>IF(LOOKUP(VALUE(M237),INPUTS!$G$6:$G$35)=M237,"yes","no")</f>
        <v>no</v>
      </c>
      <c r="L237" s="533">
        <f>IF(K237="yes",(LOOKUP(J237,INPUTS!$E$6:$E$35,INPUTS!$F$6:$F$35)),0)</f>
        <v>0</v>
      </c>
      <c r="M237" s="135">
        <f t="shared" si="50"/>
        <v>216</v>
      </c>
      <c r="N237" s="135">
        <f t="shared" si="51"/>
        <v>1</v>
      </c>
      <c r="O237" s="135">
        <f t="shared" si="52"/>
        <v>0</v>
      </c>
      <c r="P237" s="536" t="e">
        <f t="shared" si="63"/>
        <v>#DIV/0!</v>
      </c>
      <c r="Q237" s="537" t="e">
        <f t="shared" si="57"/>
        <v>#DIV/0!</v>
      </c>
      <c r="R237" s="538" t="e">
        <f>IF(INPUTS!$B$15="yes",Q237,P237)</f>
        <v>#DIV/0!</v>
      </c>
      <c r="S237" s="536" t="e">
        <f t="shared" si="53"/>
        <v>#DIV/0!</v>
      </c>
      <c r="T237" s="537" t="e">
        <f t="shared" si="58"/>
        <v>#DIV/0!</v>
      </c>
      <c r="U237" s="538" t="e">
        <f>IF(INPUTS!$B$15="yes",T237,S237)</f>
        <v>#DIV/0!</v>
      </c>
      <c r="V237" s="536" t="e">
        <f t="shared" si="54"/>
        <v>#DIV/0!</v>
      </c>
      <c r="W237" s="537" t="e">
        <f t="shared" si="59"/>
        <v>#DIV/0!</v>
      </c>
      <c r="X237" s="538" t="e">
        <f>IF(INPUTS!$B$15="yes",W237,V237)</f>
        <v>#DIV/0!</v>
      </c>
      <c r="Y237" s="536" t="e">
        <f t="shared" si="55"/>
        <v>#DIV/0!</v>
      </c>
      <c r="Z237" s="537" t="e">
        <f t="shared" si="60"/>
        <v>#DIV/0!</v>
      </c>
      <c r="AA237" s="538" t="e">
        <f>IF(INPUTS!$B$15="yes",Z237,Y237)</f>
        <v>#DIV/0!</v>
      </c>
      <c r="AB237" s="536" t="e">
        <f t="shared" si="56"/>
        <v>#DIV/0!</v>
      </c>
      <c r="AC237" s="537" t="e">
        <f t="shared" si="61"/>
        <v>#DIV/0!</v>
      </c>
      <c r="AD237" s="538" t="e">
        <f>IF(INPUTS!$B$15="yes",AC237,AB237)</f>
        <v>#DIV/0!</v>
      </c>
      <c r="AE237" s="36" t="str">
        <f t="shared" si="62"/>
        <v>no</v>
      </c>
      <c r="AF237" s="36"/>
      <c r="AG237" s="389" t="e">
        <f>P237*('upper bound Kenaga'!$F$36/100)</f>
        <v>#DIV/0!</v>
      </c>
      <c r="AH237" s="36"/>
      <c r="AI237" s="389" t="e">
        <f>P237*('upper bound Kenaga'!$F$96/100)</f>
        <v>#DIV/0!</v>
      </c>
      <c r="AJ237" s="36"/>
      <c r="AK237" s="36"/>
      <c r="AL237" s="36"/>
      <c r="AM237" s="36"/>
      <c r="AN237" s="36"/>
      <c r="AO237" s="36"/>
    </row>
    <row r="238" spans="10:41" s="1" customFormat="1">
      <c r="J238" s="6">
        <f>COUNTIF(K$21:K238,"=yes")</f>
        <v>1</v>
      </c>
      <c r="K238" s="533" t="str">
        <f>IF(LOOKUP(VALUE(M238),INPUTS!$G$6:$G$35)=M238,"yes","no")</f>
        <v>no</v>
      </c>
      <c r="L238" s="533">
        <f>IF(K238="yes",(LOOKUP(J238,INPUTS!$E$6:$E$35,INPUTS!$F$6:$F$35)),0)</f>
        <v>0</v>
      </c>
      <c r="M238" s="135">
        <f t="shared" si="50"/>
        <v>217</v>
      </c>
      <c r="N238" s="135">
        <f t="shared" si="51"/>
        <v>1</v>
      </c>
      <c r="O238" s="135">
        <f t="shared" si="52"/>
        <v>0</v>
      </c>
      <c r="P238" s="536" t="e">
        <f t="shared" si="63"/>
        <v>#DIV/0!</v>
      </c>
      <c r="Q238" s="537" t="e">
        <f t="shared" si="57"/>
        <v>#DIV/0!</v>
      </c>
      <c r="R238" s="538" t="e">
        <f>IF(INPUTS!$B$15="yes",Q238,P238)</f>
        <v>#DIV/0!</v>
      </c>
      <c r="S238" s="536" t="e">
        <f t="shared" si="53"/>
        <v>#DIV/0!</v>
      </c>
      <c r="T238" s="537" t="e">
        <f t="shared" si="58"/>
        <v>#DIV/0!</v>
      </c>
      <c r="U238" s="538" t="e">
        <f>IF(INPUTS!$B$15="yes",T238,S238)</f>
        <v>#DIV/0!</v>
      </c>
      <c r="V238" s="536" t="e">
        <f t="shared" si="54"/>
        <v>#DIV/0!</v>
      </c>
      <c r="W238" s="537" t="e">
        <f t="shared" si="59"/>
        <v>#DIV/0!</v>
      </c>
      <c r="X238" s="538" t="e">
        <f>IF(INPUTS!$B$15="yes",W238,V238)</f>
        <v>#DIV/0!</v>
      </c>
      <c r="Y238" s="536" t="e">
        <f t="shared" si="55"/>
        <v>#DIV/0!</v>
      </c>
      <c r="Z238" s="537" t="e">
        <f t="shared" si="60"/>
        <v>#DIV/0!</v>
      </c>
      <c r="AA238" s="538" t="e">
        <f>IF(INPUTS!$B$15="yes",Z238,Y238)</f>
        <v>#DIV/0!</v>
      </c>
      <c r="AB238" s="536" t="e">
        <f t="shared" si="56"/>
        <v>#DIV/0!</v>
      </c>
      <c r="AC238" s="537" t="e">
        <f t="shared" si="61"/>
        <v>#DIV/0!</v>
      </c>
      <c r="AD238" s="538" t="e">
        <f>IF(INPUTS!$B$15="yes",AC238,AB238)</f>
        <v>#DIV/0!</v>
      </c>
      <c r="AE238" s="36" t="str">
        <f t="shared" si="62"/>
        <v>no</v>
      </c>
      <c r="AF238" s="36"/>
      <c r="AG238" s="389" t="e">
        <f>P238*('upper bound Kenaga'!$F$36/100)</f>
        <v>#DIV/0!</v>
      </c>
      <c r="AH238" s="36"/>
      <c r="AI238" s="389" t="e">
        <f>P238*('upper bound Kenaga'!$F$96/100)</f>
        <v>#DIV/0!</v>
      </c>
      <c r="AJ238" s="36"/>
      <c r="AK238" s="36"/>
      <c r="AL238" s="36"/>
      <c r="AM238" s="36"/>
      <c r="AN238" s="36"/>
      <c r="AO238" s="36"/>
    </row>
    <row r="239" spans="10:41" s="1" customFormat="1">
      <c r="J239" s="6">
        <f>COUNTIF(K$21:K239,"=yes")</f>
        <v>1</v>
      </c>
      <c r="K239" s="533" t="str">
        <f>IF(LOOKUP(VALUE(M239),INPUTS!$G$6:$G$35)=M239,"yes","no")</f>
        <v>no</v>
      </c>
      <c r="L239" s="533">
        <f>IF(K239="yes",(LOOKUP(J239,INPUTS!$E$6:$E$35,INPUTS!$F$6:$F$35)),0)</f>
        <v>0</v>
      </c>
      <c r="M239" s="135">
        <f t="shared" si="50"/>
        <v>218</v>
      </c>
      <c r="N239" s="135">
        <f t="shared" si="51"/>
        <v>1</v>
      </c>
      <c r="O239" s="135">
        <f t="shared" si="52"/>
        <v>0</v>
      </c>
      <c r="P239" s="536" t="e">
        <f t="shared" si="63"/>
        <v>#DIV/0!</v>
      </c>
      <c r="Q239" s="537" t="e">
        <f t="shared" si="57"/>
        <v>#DIV/0!</v>
      </c>
      <c r="R239" s="538" t="e">
        <f>IF(INPUTS!$B$15="yes",Q239,P239)</f>
        <v>#DIV/0!</v>
      </c>
      <c r="S239" s="536" t="e">
        <f t="shared" si="53"/>
        <v>#DIV/0!</v>
      </c>
      <c r="T239" s="537" t="e">
        <f t="shared" si="58"/>
        <v>#DIV/0!</v>
      </c>
      <c r="U239" s="538" t="e">
        <f>IF(INPUTS!$B$15="yes",T239,S239)</f>
        <v>#DIV/0!</v>
      </c>
      <c r="V239" s="536" t="e">
        <f t="shared" si="54"/>
        <v>#DIV/0!</v>
      </c>
      <c r="W239" s="537" t="e">
        <f t="shared" si="59"/>
        <v>#DIV/0!</v>
      </c>
      <c r="X239" s="538" t="e">
        <f>IF(INPUTS!$B$15="yes",W239,V239)</f>
        <v>#DIV/0!</v>
      </c>
      <c r="Y239" s="536" t="e">
        <f t="shared" si="55"/>
        <v>#DIV/0!</v>
      </c>
      <c r="Z239" s="537" t="e">
        <f t="shared" si="60"/>
        <v>#DIV/0!</v>
      </c>
      <c r="AA239" s="538" t="e">
        <f>IF(INPUTS!$B$15="yes",Z239,Y239)</f>
        <v>#DIV/0!</v>
      </c>
      <c r="AB239" s="536" t="e">
        <f t="shared" si="56"/>
        <v>#DIV/0!</v>
      </c>
      <c r="AC239" s="537" t="e">
        <f t="shared" si="61"/>
        <v>#DIV/0!</v>
      </c>
      <c r="AD239" s="538" t="e">
        <f>IF(INPUTS!$B$15="yes",AC239,AB239)</f>
        <v>#DIV/0!</v>
      </c>
      <c r="AE239" s="36" t="str">
        <f t="shared" si="62"/>
        <v>no</v>
      </c>
      <c r="AF239" s="36"/>
      <c r="AG239" s="389" t="e">
        <f>P239*('upper bound Kenaga'!$F$36/100)</f>
        <v>#DIV/0!</v>
      </c>
      <c r="AH239" s="36"/>
      <c r="AI239" s="389" t="e">
        <f>P239*('upper bound Kenaga'!$F$96/100)</f>
        <v>#DIV/0!</v>
      </c>
      <c r="AJ239" s="36"/>
      <c r="AK239" s="36"/>
      <c r="AL239" s="36"/>
      <c r="AM239" s="36"/>
      <c r="AN239" s="36"/>
      <c r="AO239" s="36"/>
    </row>
    <row r="240" spans="10:41" s="1" customFormat="1">
      <c r="J240" s="6">
        <f>COUNTIF(K$21:K240,"=yes")</f>
        <v>1</v>
      </c>
      <c r="K240" s="533" t="str">
        <f>IF(LOOKUP(VALUE(M240),INPUTS!$G$6:$G$35)=M240,"yes","no")</f>
        <v>no</v>
      </c>
      <c r="L240" s="533">
        <f>IF(K240="yes",(LOOKUP(J240,INPUTS!$E$6:$E$35,INPUTS!$F$6:$F$35)),0)</f>
        <v>0</v>
      </c>
      <c r="M240" s="135">
        <f t="shared" si="50"/>
        <v>219</v>
      </c>
      <c r="N240" s="135">
        <f t="shared" si="51"/>
        <v>1</v>
      </c>
      <c r="O240" s="135">
        <f t="shared" si="52"/>
        <v>0</v>
      </c>
      <c r="P240" s="536" t="e">
        <f t="shared" si="63"/>
        <v>#DIV/0!</v>
      </c>
      <c r="Q240" s="537" t="e">
        <f t="shared" si="57"/>
        <v>#DIV/0!</v>
      </c>
      <c r="R240" s="538" t="e">
        <f>IF(INPUTS!$B$15="yes",Q240,P240)</f>
        <v>#DIV/0!</v>
      </c>
      <c r="S240" s="536" t="e">
        <f t="shared" si="53"/>
        <v>#DIV/0!</v>
      </c>
      <c r="T240" s="537" t="e">
        <f t="shared" si="58"/>
        <v>#DIV/0!</v>
      </c>
      <c r="U240" s="538" t="e">
        <f>IF(INPUTS!$B$15="yes",T240,S240)</f>
        <v>#DIV/0!</v>
      </c>
      <c r="V240" s="536" t="e">
        <f t="shared" si="54"/>
        <v>#DIV/0!</v>
      </c>
      <c r="W240" s="537" t="e">
        <f t="shared" si="59"/>
        <v>#DIV/0!</v>
      </c>
      <c r="X240" s="538" t="e">
        <f>IF(INPUTS!$B$15="yes",W240,V240)</f>
        <v>#DIV/0!</v>
      </c>
      <c r="Y240" s="536" t="e">
        <f t="shared" si="55"/>
        <v>#DIV/0!</v>
      </c>
      <c r="Z240" s="537" t="e">
        <f t="shared" si="60"/>
        <v>#DIV/0!</v>
      </c>
      <c r="AA240" s="538" t="e">
        <f>IF(INPUTS!$B$15="yes",Z240,Y240)</f>
        <v>#DIV/0!</v>
      </c>
      <c r="AB240" s="536" t="e">
        <f t="shared" si="56"/>
        <v>#DIV/0!</v>
      </c>
      <c r="AC240" s="537" t="e">
        <f t="shared" si="61"/>
        <v>#DIV/0!</v>
      </c>
      <c r="AD240" s="538" t="e">
        <f>IF(INPUTS!$B$15="yes",AC240,AB240)</f>
        <v>#DIV/0!</v>
      </c>
      <c r="AE240" s="36" t="str">
        <f t="shared" si="62"/>
        <v>no</v>
      </c>
      <c r="AF240" s="36"/>
      <c r="AG240" s="389" t="e">
        <f>P240*('upper bound Kenaga'!$F$36/100)</f>
        <v>#DIV/0!</v>
      </c>
      <c r="AH240" s="36"/>
      <c r="AI240" s="389" t="e">
        <f>P240*('upper bound Kenaga'!$F$96/100)</f>
        <v>#DIV/0!</v>
      </c>
      <c r="AJ240" s="36"/>
      <c r="AK240" s="36"/>
      <c r="AL240" s="36"/>
      <c r="AM240" s="36"/>
      <c r="AN240" s="36"/>
      <c r="AO240" s="36"/>
    </row>
    <row r="241" spans="10:41" s="1" customFormat="1">
      <c r="J241" s="6">
        <f>COUNTIF(K$21:K241,"=yes")</f>
        <v>1</v>
      </c>
      <c r="K241" s="533" t="str">
        <f>IF(LOOKUP(VALUE(M241),INPUTS!$G$6:$G$35)=M241,"yes","no")</f>
        <v>no</v>
      </c>
      <c r="L241" s="533">
        <f>IF(K241="yes",(LOOKUP(J241,INPUTS!$E$6:$E$35,INPUTS!$F$6:$F$35)),0)</f>
        <v>0</v>
      </c>
      <c r="M241" s="135">
        <f t="shared" si="50"/>
        <v>220</v>
      </c>
      <c r="N241" s="135">
        <f t="shared" si="51"/>
        <v>1</v>
      </c>
      <c r="O241" s="135">
        <f t="shared" si="52"/>
        <v>0</v>
      </c>
      <c r="P241" s="536" t="e">
        <f t="shared" si="63"/>
        <v>#DIV/0!</v>
      </c>
      <c r="Q241" s="537" t="e">
        <f t="shared" si="57"/>
        <v>#DIV/0!</v>
      </c>
      <c r="R241" s="538" t="e">
        <f>IF(INPUTS!$B$15="yes",Q241,P241)</f>
        <v>#DIV/0!</v>
      </c>
      <c r="S241" s="536" t="e">
        <f t="shared" si="53"/>
        <v>#DIV/0!</v>
      </c>
      <c r="T241" s="537" t="e">
        <f t="shared" si="58"/>
        <v>#DIV/0!</v>
      </c>
      <c r="U241" s="538" t="e">
        <f>IF(INPUTS!$B$15="yes",T241,S241)</f>
        <v>#DIV/0!</v>
      </c>
      <c r="V241" s="536" t="e">
        <f t="shared" si="54"/>
        <v>#DIV/0!</v>
      </c>
      <c r="W241" s="537" t="e">
        <f t="shared" si="59"/>
        <v>#DIV/0!</v>
      </c>
      <c r="X241" s="538" t="e">
        <f>IF(INPUTS!$B$15="yes",W241,V241)</f>
        <v>#DIV/0!</v>
      </c>
      <c r="Y241" s="536" t="e">
        <f t="shared" si="55"/>
        <v>#DIV/0!</v>
      </c>
      <c r="Z241" s="537" t="e">
        <f t="shared" si="60"/>
        <v>#DIV/0!</v>
      </c>
      <c r="AA241" s="538" t="e">
        <f>IF(INPUTS!$B$15="yes",Z241,Y241)</f>
        <v>#DIV/0!</v>
      </c>
      <c r="AB241" s="536" t="e">
        <f t="shared" si="56"/>
        <v>#DIV/0!</v>
      </c>
      <c r="AC241" s="537" t="e">
        <f t="shared" si="61"/>
        <v>#DIV/0!</v>
      </c>
      <c r="AD241" s="538" t="e">
        <f>IF(INPUTS!$B$15="yes",AC241,AB241)</f>
        <v>#DIV/0!</v>
      </c>
      <c r="AE241" s="36" t="str">
        <f t="shared" si="62"/>
        <v>no</v>
      </c>
      <c r="AF241" s="36"/>
      <c r="AG241" s="389" t="e">
        <f>P241*('upper bound Kenaga'!$F$36/100)</f>
        <v>#DIV/0!</v>
      </c>
      <c r="AH241" s="36"/>
      <c r="AI241" s="389" t="e">
        <f>P241*('upper bound Kenaga'!$F$96/100)</f>
        <v>#DIV/0!</v>
      </c>
      <c r="AJ241" s="36"/>
      <c r="AK241" s="36"/>
      <c r="AL241" s="36"/>
      <c r="AM241" s="36"/>
      <c r="AN241" s="36"/>
      <c r="AO241" s="36"/>
    </row>
    <row r="242" spans="10:41" s="1" customFormat="1">
      <c r="J242" s="6">
        <f>COUNTIF(K$21:K242,"=yes")</f>
        <v>1</v>
      </c>
      <c r="K242" s="533" t="str">
        <f>IF(LOOKUP(VALUE(M242),INPUTS!$G$6:$G$35)=M242,"yes","no")</f>
        <v>no</v>
      </c>
      <c r="L242" s="533">
        <f>IF(K242="yes",(LOOKUP(J242,INPUTS!$E$6:$E$35,INPUTS!$F$6:$F$35)),0)</f>
        <v>0</v>
      </c>
      <c r="M242" s="135">
        <f t="shared" si="50"/>
        <v>221</v>
      </c>
      <c r="N242" s="135">
        <f t="shared" si="51"/>
        <v>1</v>
      </c>
      <c r="O242" s="135">
        <f t="shared" si="52"/>
        <v>0</v>
      </c>
      <c r="P242" s="536" t="e">
        <f t="shared" si="63"/>
        <v>#DIV/0!</v>
      </c>
      <c r="Q242" s="537" t="e">
        <f t="shared" si="57"/>
        <v>#DIV/0!</v>
      </c>
      <c r="R242" s="538" t="e">
        <f>IF(INPUTS!$B$15="yes",Q242,P242)</f>
        <v>#DIV/0!</v>
      </c>
      <c r="S242" s="536" t="e">
        <f t="shared" si="53"/>
        <v>#DIV/0!</v>
      </c>
      <c r="T242" s="537" t="e">
        <f t="shared" si="58"/>
        <v>#DIV/0!</v>
      </c>
      <c r="U242" s="538" t="e">
        <f>IF(INPUTS!$B$15="yes",T242,S242)</f>
        <v>#DIV/0!</v>
      </c>
      <c r="V242" s="536" t="e">
        <f t="shared" si="54"/>
        <v>#DIV/0!</v>
      </c>
      <c r="W242" s="537" t="e">
        <f t="shared" si="59"/>
        <v>#DIV/0!</v>
      </c>
      <c r="X242" s="538" t="e">
        <f>IF(INPUTS!$B$15="yes",W242,V242)</f>
        <v>#DIV/0!</v>
      </c>
      <c r="Y242" s="536" t="e">
        <f t="shared" si="55"/>
        <v>#DIV/0!</v>
      </c>
      <c r="Z242" s="537" t="e">
        <f t="shared" si="60"/>
        <v>#DIV/0!</v>
      </c>
      <c r="AA242" s="538" t="e">
        <f>IF(INPUTS!$B$15="yes",Z242,Y242)</f>
        <v>#DIV/0!</v>
      </c>
      <c r="AB242" s="536" t="e">
        <f t="shared" si="56"/>
        <v>#DIV/0!</v>
      </c>
      <c r="AC242" s="537" t="e">
        <f t="shared" si="61"/>
        <v>#DIV/0!</v>
      </c>
      <c r="AD242" s="538" t="e">
        <f>IF(INPUTS!$B$15="yes",AC242,AB242)</f>
        <v>#DIV/0!</v>
      </c>
      <c r="AE242" s="36" t="str">
        <f t="shared" si="62"/>
        <v>no</v>
      </c>
      <c r="AF242" s="36"/>
      <c r="AG242" s="389" t="e">
        <f>P242*('upper bound Kenaga'!$F$36/100)</f>
        <v>#DIV/0!</v>
      </c>
      <c r="AH242" s="36"/>
      <c r="AI242" s="389" t="e">
        <f>P242*('upper bound Kenaga'!$F$96/100)</f>
        <v>#DIV/0!</v>
      </c>
      <c r="AJ242" s="36"/>
      <c r="AK242" s="36"/>
      <c r="AL242" s="36"/>
      <c r="AM242" s="36"/>
      <c r="AN242" s="36"/>
      <c r="AO242" s="36"/>
    </row>
    <row r="243" spans="10:41" s="1" customFormat="1">
      <c r="J243" s="6">
        <f>COUNTIF(K$21:K243,"=yes")</f>
        <v>1</v>
      </c>
      <c r="K243" s="533" t="str">
        <f>IF(LOOKUP(VALUE(M243),INPUTS!$G$6:$G$35)=M243,"yes","no")</f>
        <v>no</v>
      </c>
      <c r="L243" s="533">
        <f>IF(K243="yes",(LOOKUP(J243,INPUTS!$E$6:$E$35,INPUTS!$F$6:$F$35)),0)</f>
        <v>0</v>
      </c>
      <c r="M243" s="135">
        <f t="shared" si="50"/>
        <v>222</v>
      </c>
      <c r="N243" s="135">
        <f t="shared" si="51"/>
        <v>1</v>
      </c>
      <c r="O243" s="135">
        <f t="shared" si="52"/>
        <v>0</v>
      </c>
      <c r="P243" s="536" t="e">
        <f t="shared" si="63"/>
        <v>#DIV/0!</v>
      </c>
      <c r="Q243" s="537" t="e">
        <f t="shared" si="57"/>
        <v>#DIV/0!</v>
      </c>
      <c r="R243" s="538" t="e">
        <f>IF(INPUTS!$B$15="yes",Q243,P243)</f>
        <v>#DIV/0!</v>
      </c>
      <c r="S243" s="536" t="e">
        <f t="shared" si="53"/>
        <v>#DIV/0!</v>
      </c>
      <c r="T243" s="537" t="e">
        <f t="shared" si="58"/>
        <v>#DIV/0!</v>
      </c>
      <c r="U243" s="538" t="e">
        <f>IF(INPUTS!$B$15="yes",T243,S243)</f>
        <v>#DIV/0!</v>
      </c>
      <c r="V243" s="536" t="e">
        <f t="shared" si="54"/>
        <v>#DIV/0!</v>
      </c>
      <c r="W243" s="537" t="e">
        <f t="shared" si="59"/>
        <v>#DIV/0!</v>
      </c>
      <c r="X243" s="538" t="e">
        <f>IF(INPUTS!$B$15="yes",W243,V243)</f>
        <v>#DIV/0!</v>
      </c>
      <c r="Y243" s="536" t="e">
        <f t="shared" si="55"/>
        <v>#DIV/0!</v>
      </c>
      <c r="Z243" s="537" t="e">
        <f t="shared" si="60"/>
        <v>#DIV/0!</v>
      </c>
      <c r="AA243" s="538" t="e">
        <f>IF(INPUTS!$B$15="yes",Z243,Y243)</f>
        <v>#DIV/0!</v>
      </c>
      <c r="AB243" s="536" t="e">
        <f t="shared" si="56"/>
        <v>#DIV/0!</v>
      </c>
      <c r="AC243" s="537" t="e">
        <f t="shared" si="61"/>
        <v>#DIV/0!</v>
      </c>
      <c r="AD243" s="538" t="e">
        <f>IF(INPUTS!$B$15="yes",AC243,AB243)</f>
        <v>#DIV/0!</v>
      </c>
      <c r="AE243" s="36" t="str">
        <f t="shared" si="62"/>
        <v>no</v>
      </c>
      <c r="AF243" s="36"/>
      <c r="AG243" s="389" t="e">
        <f>P243*('upper bound Kenaga'!$F$36/100)</f>
        <v>#DIV/0!</v>
      </c>
      <c r="AH243" s="36"/>
      <c r="AI243" s="389" t="e">
        <f>P243*('upper bound Kenaga'!$F$96/100)</f>
        <v>#DIV/0!</v>
      </c>
      <c r="AJ243" s="36"/>
      <c r="AK243" s="36"/>
      <c r="AL243" s="36"/>
      <c r="AM243" s="36"/>
      <c r="AN243" s="36"/>
      <c r="AO243" s="36"/>
    </row>
    <row r="244" spans="10:41" s="1" customFormat="1">
      <c r="J244" s="6">
        <f>COUNTIF(K$21:K244,"=yes")</f>
        <v>1</v>
      </c>
      <c r="K244" s="533" t="str">
        <f>IF(LOOKUP(VALUE(M244),INPUTS!$G$6:$G$35)=M244,"yes","no")</f>
        <v>no</v>
      </c>
      <c r="L244" s="533">
        <f>IF(K244="yes",(LOOKUP(J244,INPUTS!$E$6:$E$35,INPUTS!$F$6:$F$35)),0)</f>
        <v>0</v>
      </c>
      <c r="M244" s="135">
        <f t="shared" si="50"/>
        <v>223</v>
      </c>
      <c r="N244" s="135">
        <f t="shared" si="51"/>
        <v>1</v>
      </c>
      <c r="O244" s="135">
        <f t="shared" si="52"/>
        <v>0</v>
      </c>
      <c r="P244" s="536" t="e">
        <f t="shared" si="63"/>
        <v>#DIV/0!</v>
      </c>
      <c r="Q244" s="537" t="e">
        <f t="shared" si="57"/>
        <v>#DIV/0!</v>
      </c>
      <c r="R244" s="538" t="e">
        <f>IF(INPUTS!$B$15="yes",Q244,P244)</f>
        <v>#DIV/0!</v>
      </c>
      <c r="S244" s="536" t="e">
        <f t="shared" si="53"/>
        <v>#DIV/0!</v>
      </c>
      <c r="T244" s="537" t="e">
        <f t="shared" si="58"/>
        <v>#DIV/0!</v>
      </c>
      <c r="U244" s="538" t="e">
        <f>IF(INPUTS!$B$15="yes",T244,S244)</f>
        <v>#DIV/0!</v>
      </c>
      <c r="V244" s="536" t="e">
        <f t="shared" si="54"/>
        <v>#DIV/0!</v>
      </c>
      <c r="W244" s="537" t="e">
        <f t="shared" si="59"/>
        <v>#DIV/0!</v>
      </c>
      <c r="X244" s="538" t="e">
        <f>IF(INPUTS!$B$15="yes",W244,V244)</f>
        <v>#DIV/0!</v>
      </c>
      <c r="Y244" s="536" t="e">
        <f t="shared" si="55"/>
        <v>#DIV/0!</v>
      </c>
      <c r="Z244" s="537" t="e">
        <f t="shared" si="60"/>
        <v>#DIV/0!</v>
      </c>
      <c r="AA244" s="538" t="e">
        <f>IF(INPUTS!$B$15="yes",Z244,Y244)</f>
        <v>#DIV/0!</v>
      </c>
      <c r="AB244" s="536" t="e">
        <f t="shared" si="56"/>
        <v>#DIV/0!</v>
      </c>
      <c r="AC244" s="537" t="e">
        <f t="shared" si="61"/>
        <v>#DIV/0!</v>
      </c>
      <c r="AD244" s="538" t="e">
        <f>IF(INPUTS!$B$15="yes",AC244,AB244)</f>
        <v>#DIV/0!</v>
      </c>
      <c r="AE244" s="36" t="str">
        <f t="shared" si="62"/>
        <v>no</v>
      </c>
      <c r="AF244" s="36"/>
      <c r="AG244" s="389" t="e">
        <f>P244*('upper bound Kenaga'!$F$36/100)</f>
        <v>#DIV/0!</v>
      </c>
      <c r="AH244" s="36"/>
      <c r="AI244" s="389" t="e">
        <f>P244*('upper bound Kenaga'!$F$96/100)</f>
        <v>#DIV/0!</v>
      </c>
      <c r="AJ244" s="36"/>
      <c r="AK244" s="36"/>
      <c r="AL244" s="36"/>
      <c r="AM244" s="36"/>
      <c r="AN244" s="36"/>
      <c r="AO244" s="36"/>
    </row>
    <row r="245" spans="10:41" s="1" customFormat="1">
      <c r="J245" s="6">
        <f>COUNTIF(K$21:K245,"=yes")</f>
        <v>1</v>
      </c>
      <c r="K245" s="533" t="str">
        <f>IF(LOOKUP(VALUE(M245),INPUTS!$G$6:$G$35)=M245,"yes","no")</f>
        <v>no</v>
      </c>
      <c r="L245" s="533">
        <f>IF(K245="yes",(LOOKUP(J245,INPUTS!$E$6:$E$35,INPUTS!$F$6:$F$35)),0)</f>
        <v>0</v>
      </c>
      <c r="M245" s="135">
        <f t="shared" si="50"/>
        <v>224</v>
      </c>
      <c r="N245" s="135">
        <f t="shared" si="51"/>
        <v>1</v>
      </c>
      <c r="O245" s="135">
        <f t="shared" si="52"/>
        <v>0</v>
      </c>
      <c r="P245" s="536" t="e">
        <f t="shared" si="63"/>
        <v>#DIV/0!</v>
      </c>
      <c r="Q245" s="537" t="e">
        <f t="shared" si="57"/>
        <v>#DIV/0!</v>
      </c>
      <c r="R245" s="538" t="e">
        <f>IF(INPUTS!$B$15="yes",Q245,P245)</f>
        <v>#DIV/0!</v>
      </c>
      <c r="S245" s="536" t="e">
        <f t="shared" si="53"/>
        <v>#DIV/0!</v>
      </c>
      <c r="T245" s="537" t="e">
        <f t="shared" si="58"/>
        <v>#DIV/0!</v>
      </c>
      <c r="U245" s="538" t="e">
        <f>IF(INPUTS!$B$15="yes",T245,S245)</f>
        <v>#DIV/0!</v>
      </c>
      <c r="V245" s="536" t="e">
        <f t="shared" si="54"/>
        <v>#DIV/0!</v>
      </c>
      <c r="W245" s="537" t="e">
        <f t="shared" si="59"/>
        <v>#DIV/0!</v>
      </c>
      <c r="X245" s="538" t="e">
        <f>IF(INPUTS!$B$15="yes",W245,V245)</f>
        <v>#DIV/0!</v>
      </c>
      <c r="Y245" s="536" t="e">
        <f t="shared" si="55"/>
        <v>#DIV/0!</v>
      </c>
      <c r="Z245" s="537" t="e">
        <f t="shared" si="60"/>
        <v>#DIV/0!</v>
      </c>
      <c r="AA245" s="538" t="e">
        <f>IF(INPUTS!$B$15="yes",Z245,Y245)</f>
        <v>#DIV/0!</v>
      </c>
      <c r="AB245" s="536" t="e">
        <f t="shared" si="56"/>
        <v>#DIV/0!</v>
      </c>
      <c r="AC245" s="537" t="e">
        <f t="shared" si="61"/>
        <v>#DIV/0!</v>
      </c>
      <c r="AD245" s="538" t="e">
        <f>IF(INPUTS!$B$15="yes",AC245,AB245)</f>
        <v>#DIV/0!</v>
      </c>
      <c r="AE245" s="36" t="str">
        <f t="shared" si="62"/>
        <v>no</v>
      </c>
      <c r="AF245" s="36"/>
      <c r="AG245" s="389" t="e">
        <f>P245*('upper bound Kenaga'!$F$36/100)</f>
        <v>#DIV/0!</v>
      </c>
      <c r="AH245" s="36"/>
      <c r="AI245" s="389" t="e">
        <f>P245*('upper bound Kenaga'!$F$96/100)</f>
        <v>#DIV/0!</v>
      </c>
      <c r="AJ245" s="36"/>
      <c r="AK245" s="36"/>
      <c r="AL245" s="36"/>
      <c r="AM245" s="36"/>
      <c r="AN245" s="36"/>
      <c r="AO245" s="36"/>
    </row>
    <row r="246" spans="10:41" s="1" customFormat="1">
      <c r="J246" s="6">
        <f>COUNTIF(K$21:K246,"=yes")</f>
        <v>1</v>
      </c>
      <c r="K246" s="533" t="str">
        <f>IF(LOOKUP(VALUE(M246),INPUTS!$G$6:$G$35)=M246,"yes","no")</f>
        <v>no</v>
      </c>
      <c r="L246" s="533">
        <f>IF(K246="yes",(LOOKUP(J246,INPUTS!$E$6:$E$35,INPUTS!$F$6:$F$35)),0)</f>
        <v>0</v>
      </c>
      <c r="M246" s="135">
        <f t="shared" si="50"/>
        <v>225</v>
      </c>
      <c r="N246" s="135">
        <f t="shared" si="51"/>
        <v>1</v>
      </c>
      <c r="O246" s="135">
        <f t="shared" si="52"/>
        <v>0</v>
      </c>
      <c r="P246" s="536" t="e">
        <f t="shared" si="63"/>
        <v>#DIV/0!</v>
      </c>
      <c r="Q246" s="537" t="e">
        <f t="shared" si="57"/>
        <v>#DIV/0!</v>
      </c>
      <c r="R246" s="538" t="e">
        <f>IF(INPUTS!$B$15="yes",Q246,P246)</f>
        <v>#DIV/0!</v>
      </c>
      <c r="S246" s="536" t="e">
        <f t="shared" si="53"/>
        <v>#DIV/0!</v>
      </c>
      <c r="T246" s="537" t="e">
        <f t="shared" si="58"/>
        <v>#DIV/0!</v>
      </c>
      <c r="U246" s="538" t="e">
        <f>IF(INPUTS!$B$15="yes",T246,S246)</f>
        <v>#DIV/0!</v>
      </c>
      <c r="V246" s="536" t="e">
        <f t="shared" si="54"/>
        <v>#DIV/0!</v>
      </c>
      <c r="W246" s="537" t="e">
        <f t="shared" si="59"/>
        <v>#DIV/0!</v>
      </c>
      <c r="X246" s="538" t="e">
        <f>IF(INPUTS!$B$15="yes",W246,V246)</f>
        <v>#DIV/0!</v>
      </c>
      <c r="Y246" s="536" t="e">
        <f t="shared" si="55"/>
        <v>#DIV/0!</v>
      </c>
      <c r="Z246" s="537" t="e">
        <f t="shared" si="60"/>
        <v>#DIV/0!</v>
      </c>
      <c r="AA246" s="538" t="e">
        <f>IF(INPUTS!$B$15="yes",Z246,Y246)</f>
        <v>#DIV/0!</v>
      </c>
      <c r="AB246" s="536" t="e">
        <f t="shared" si="56"/>
        <v>#DIV/0!</v>
      </c>
      <c r="AC246" s="537" t="e">
        <f t="shared" si="61"/>
        <v>#DIV/0!</v>
      </c>
      <c r="AD246" s="538" t="e">
        <f>IF(INPUTS!$B$15="yes",AC246,AB246)</f>
        <v>#DIV/0!</v>
      </c>
      <c r="AE246" s="36" t="str">
        <f t="shared" si="62"/>
        <v>no</v>
      </c>
      <c r="AF246" s="36"/>
      <c r="AG246" s="389" t="e">
        <f>P246*('upper bound Kenaga'!$F$36/100)</f>
        <v>#DIV/0!</v>
      </c>
      <c r="AH246" s="36"/>
      <c r="AI246" s="389" t="e">
        <f>P246*('upper bound Kenaga'!$F$96/100)</f>
        <v>#DIV/0!</v>
      </c>
      <c r="AJ246" s="36"/>
      <c r="AK246" s="36"/>
      <c r="AL246" s="36"/>
      <c r="AM246" s="36"/>
      <c r="AN246" s="36"/>
      <c r="AO246" s="36"/>
    </row>
    <row r="247" spans="10:41" s="1" customFormat="1">
      <c r="J247" s="6">
        <f>COUNTIF(K$21:K247,"=yes")</f>
        <v>1</v>
      </c>
      <c r="K247" s="533" t="str">
        <f>IF(LOOKUP(VALUE(M247),INPUTS!$G$6:$G$35)=M247,"yes","no")</f>
        <v>no</v>
      </c>
      <c r="L247" s="533">
        <f>IF(K247="yes",(LOOKUP(J247,INPUTS!$E$6:$E$35,INPUTS!$F$6:$F$35)),0)</f>
        <v>0</v>
      </c>
      <c r="M247" s="135">
        <f t="shared" si="50"/>
        <v>226</v>
      </c>
      <c r="N247" s="135">
        <f t="shared" si="51"/>
        <v>1</v>
      </c>
      <c r="O247" s="135">
        <f t="shared" si="52"/>
        <v>0</v>
      </c>
      <c r="P247" s="536" t="e">
        <f t="shared" si="63"/>
        <v>#DIV/0!</v>
      </c>
      <c r="Q247" s="537" t="e">
        <f t="shared" si="57"/>
        <v>#DIV/0!</v>
      </c>
      <c r="R247" s="538" t="e">
        <f>IF(INPUTS!$B$15="yes",Q247,P247)</f>
        <v>#DIV/0!</v>
      </c>
      <c r="S247" s="536" t="e">
        <f t="shared" si="53"/>
        <v>#DIV/0!</v>
      </c>
      <c r="T247" s="537" t="e">
        <f t="shared" si="58"/>
        <v>#DIV/0!</v>
      </c>
      <c r="U247" s="538" t="e">
        <f>IF(INPUTS!$B$15="yes",T247,S247)</f>
        <v>#DIV/0!</v>
      </c>
      <c r="V247" s="536" t="e">
        <f t="shared" si="54"/>
        <v>#DIV/0!</v>
      </c>
      <c r="W247" s="537" t="e">
        <f t="shared" si="59"/>
        <v>#DIV/0!</v>
      </c>
      <c r="X247" s="538" t="e">
        <f>IF(INPUTS!$B$15="yes",W247,V247)</f>
        <v>#DIV/0!</v>
      </c>
      <c r="Y247" s="536" t="e">
        <f t="shared" si="55"/>
        <v>#DIV/0!</v>
      </c>
      <c r="Z247" s="537" t="e">
        <f t="shared" si="60"/>
        <v>#DIV/0!</v>
      </c>
      <c r="AA247" s="538" t="e">
        <f>IF(INPUTS!$B$15="yes",Z247,Y247)</f>
        <v>#DIV/0!</v>
      </c>
      <c r="AB247" s="536" t="e">
        <f t="shared" si="56"/>
        <v>#DIV/0!</v>
      </c>
      <c r="AC247" s="537" t="e">
        <f t="shared" si="61"/>
        <v>#DIV/0!</v>
      </c>
      <c r="AD247" s="538" t="e">
        <f>IF(INPUTS!$B$15="yes",AC247,AB247)</f>
        <v>#DIV/0!</v>
      </c>
      <c r="AE247" s="36" t="str">
        <f t="shared" si="62"/>
        <v>no</v>
      </c>
      <c r="AF247" s="36"/>
      <c r="AG247" s="389" t="e">
        <f>P247*('upper bound Kenaga'!$F$36/100)</f>
        <v>#DIV/0!</v>
      </c>
      <c r="AH247" s="36"/>
      <c r="AI247" s="389" t="e">
        <f>P247*('upper bound Kenaga'!$F$96/100)</f>
        <v>#DIV/0!</v>
      </c>
      <c r="AJ247" s="36"/>
      <c r="AK247" s="36"/>
      <c r="AL247" s="36"/>
      <c r="AM247" s="36"/>
      <c r="AN247" s="36"/>
      <c r="AO247" s="36"/>
    </row>
    <row r="248" spans="10:41" s="1" customFormat="1">
      <c r="J248" s="6">
        <f>COUNTIF(K$21:K248,"=yes")</f>
        <v>1</v>
      </c>
      <c r="K248" s="533" t="str">
        <f>IF(LOOKUP(VALUE(M248),INPUTS!$G$6:$G$35)=M248,"yes","no")</f>
        <v>no</v>
      </c>
      <c r="L248" s="533">
        <f>IF(K248="yes",(LOOKUP(J248,INPUTS!$E$6:$E$35,INPUTS!$F$6:$F$35)),0)</f>
        <v>0</v>
      </c>
      <c r="M248" s="135">
        <f t="shared" si="50"/>
        <v>227</v>
      </c>
      <c r="N248" s="135">
        <f t="shared" si="51"/>
        <v>1</v>
      </c>
      <c r="O248" s="135">
        <f t="shared" si="52"/>
        <v>0</v>
      </c>
      <c r="P248" s="536" t="e">
        <f t="shared" si="63"/>
        <v>#DIV/0!</v>
      </c>
      <c r="Q248" s="537" t="e">
        <f t="shared" si="57"/>
        <v>#DIV/0!</v>
      </c>
      <c r="R248" s="538" t="e">
        <f>IF(INPUTS!$B$15="yes",Q248,P248)</f>
        <v>#DIV/0!</v>
      </c>
      <c r="S248" s="536" t="e">
        <f t="shared" si="53"/>
        <v>#DIV/0!</v>
      </c>
      <c r="T248" s="537" t="e">
        <f t="shared" si="58"/>
        <v>#DIV/0!</v>
      </c>
      <c r="U248" s="538" t="e">
        <f>IF(INPUTS!$B$15="yes",T248,S248)</f>
        <v>#DIV/0!</v>
      </c>
      <c r="V248" s="536" t="e">
        <f t="shared" si="54"/>
        <v>#DIV/0!</v>
      </c>
      <c r="W248" s="537" t="e">
        <f t="shared" si="59"/>
        <v>#DIV/0!</v>
      </c>
      <c r="X248" s="538" t="e">
        <f>IF(INPUTS!$B$15="yes",W248,V248)</f>
        <v>#DIV/0!</v>
      </c>
      <c r="Y248" s="536" t="e">
        <f t="shared" si="55"/>
        <v>#DIV/0!</v>
      </c>
      <c r="Z248" s="537" t="e">
        <f t="shared" si="60"/>
        <v>#DIV/0!</v>
      </c>
      <c r="AA248" s="538" t="e">
        <f>IF(INPUTS!$B$15="yes",Z248,Y248)</f>
        <v>#DIV/0!</v>
      </c>
      <c r="AB248" s="536" t="e">
        <f t="shared" si="56"/>
        <v>#DIV/0!</v>
      </c>
      <c r="AC248" s="537" t="e">
        <f t="shared" si="61"/>
        <v>#DIV/0!</v>
      </c>
      <c r="AD248" s="538" t="e">
        <f>IF(INPUTS!$B$15="yes",AC248,AB248)</f>
        <v>#DIV/0!</v>
      </c>
      <c r="AE248" s="36" t="str">
        <f t="shared" si="62"/>
        <v>no</v>
      </c>
      <c r="AF248" s="36"/>
      <c r="AG248" s="389" t="e">
        <f>P248*('upper bound Kenaga'!$F$36/100)</f>
        <v>#DIV/0!</v>
      </c>
      <c r="AH248" s="36"/>
      <c r="AI248" s="389" t="e">
        <f>P248*('upper bound Kenaga'!$F$96/100)</f>
        <v>#DIV/0!</v>
      </c>
      <c r="AJ248" s="36"/>
      <c r="AK248" s="36"/>
      <c r="AL248" s="36"/>
      <c r="AM248" s="36"/>
      <c r="AN248" s="36"/>
      <c r="AO248" s="36"/>
    </row>
    <row r="249" spans="10:41" s="1" customFormat="1">
      <c r="J249" s="6">
        <f>COUNTIF(K$21:K249,"=yes")</f>
        <v>1</v>
      </c>
      <c r="K249" s="533" t="str">
        <f>IF(LOOKUP(VALUE(M249),INPUTS!$G$6:$G$35)=M249,"yes","no")</f>
        <v>no</v>
      </c>
      <c r="L249" s="533">
        <f>IF(K249="yes",(LOOKUP(J249,INPUTS!$E$6:$E$35,INPUTS!$F$6:$F$35)),0)</f>
        <v>0</v>
      </c>
      <c r="M249" s="135">
        <f t="shared" si="50"/>
        <v>228</v>
      </c>
      <c r="N249" s="135">
        <f t="shared" si="51"/>
        <v>1</v>
      </c>
      <c r="O249" s="135">
        <f t="shared" si="52"/>
        <v>0</v>
      </c>
      <c r="P249" s="536" t="e">
        <f t="shared" si="63"/>
        <v>#DIV/0!</v>
      </c>
      <c r="Q249" s="537" t="e">
        <f t="shared" si="57"/>
        <v>#DIV/0!</v>
      </c>
      <c r="R249" s="538" t="e">
        <f>IF(INPUTS!$B$15="yes",Q249,P249)</f>
        <v>#DIV/0!</v>
      </c>
      <c r="S249" s="536" t="e">
        <f t="shared" si="53"/>
        <v>#DIV/0!</v>
      </c>
      <c r="T249" s="537" t="e">
        <f t="shared" si="58"/>
        <v>#DIV/0!</v>
      </c>
      <c r="U249" s="538" t="e">
        <f>IF(INPUTS!$B$15="yes",T249,S249)</f>
        <v>#DIV/0!</v>
      </c>
      <c r="V249" s="536" t="e">
        <f t="shared" si="54"/>
        <v>#DIV/0!</v>
      </c>
      <c r="W249" s="537" t="e">
        <f t="shared" si="59"/>
        <v>#DIV/0!</v>
      </c>
      <c r="X249" s="538" t="e">
        <f>IF(INPUTS!$B$15="yes",W249,V249)</f>
        <v>#DIV/0!</v>
      </c>
      <c r="Y249" s="536" t="e">
        <f t="shared" si="55"/>
        <v>#DIV/0!</v>
      </c>
      <c r="Z249" s="537" t="e">
        <f t="shared" si="60"/>
        <v>#DIV/0!</v>
      </c>
      <c r="AA249" s="538" t="e">
        <f>IF(INPUTS!$B$15="yes",Z249,Y249)</f>
        <v>#DIV/0!</v>
      </c>
      <c r="AB249" s="536" t="e">
        <f t="shared" si="56"/>
        <v>#DIV/0!</v>
      </c>
      <c r="AC249" s="537" t="e">
        <f t="shared" si="61"/>
        <v>#DIV/0!</v>
      </c>
      <c r="AD249" s="538" t="e">
        <f>IF(INPUTS!$B$15="yes",AC249,AB249)</f>
        <v>#DIV/0!</v>
      </c>
      <c r="AE249" s="36" t="str">
        <f t="shared" si="62"/>
        <v>no</v>
      </c>
      <c r="AF249" s="36"/>
      <c r="AG249" s="389" t="e">
        <f>P249*('upper bound Kenaga'!$F$36/100)</f>
        <v>#DIV/0!</v>
      </c>
      <c r="AH249" s="36"/>
      <c r="AI249" s="389" t="e">
        <f>P249*('upper bound Kenaga'!$F$96/100)</f>
        <v>#DIV/0!</v>
      </c>
      <c r="AJ249" s="36"/>
      <c r="AK249" s="36"/>
      <c r="AL249" s="36"/>
      <c r="AM249" s="36"/>
      <c r="AN249" s="36"/>
      <c r="AO249" s="36"/>
    </row>
    <row r="250" spans="10:41" s="1" customFormat="1">
      <c r="J250" s="6">
        <f>COUNTIF(K$21:K250,"=yes")</f>
        <v>1</v>
      </c>
      <c r="K250" s="533" t="str">
        <f>IF(LOOKUP(VALUE(M250),INPUTS!$G$6:$G$35)=M250,"yes","no")</f>
        <v>no</v>
      </c>
      <c r="L250" s="533">
        <f>IF(K250="yes",(LOOKUP(J250,INPUTS!$E$6:$E$35,INPUTS!$F$6:$F$35)),0)</f>
        <v>0</v>
      </c>
      <c r="M250" s="135">
        <f t="shared" si="50"/>
        <v>229</v>
      </c>
      <c r="N250" s="135">
        <f t="shared" si="51"/>
        <v>1</v>
      </c>
      <c r="O250" s="135">
        <f t="shared" si="52"/>
        <v>0</v>
      </c>
      <c r="P250" s="536" t="e">
        <f t="shared" si="63"/>
        <v>#DIV/0!</v>
      </c>
      <c r="Q250" s="537" t="e">
        <f t="shared" si="57"/>
        <v>#DIV/0!</v>
      </c>
      <c r="R250" s="538" t="e">
        <f>IF(INPUTS!$B$15="yes",Q250,P250)</f>
        <v>#DIV/0!</v>
      </c>
      <c r="S250" s="536" t="e">
        <f t="shared" si="53"/>
        <v>#DIV/0!</v>
      </c>
      <c r="T250" s="537" t="e">
        <f t="shared" si="58"/>
        <v>#DIV/0!</v>
      </c>
      <c r="U250" s="538" t="e">
        <f>IF(INPUTS!$B$15="yes",T250,S250)</f>
        <v>#DIV/0!</v>
      </c>
      <c r="V250" s="536" t="e">
        <f t="shared" si="54"/>
        <v>#DIV/0!</v>
      </c>
      <c r="W250" s="537" t="e">
        <f t="shared" si="59"/>
        <v>#DIV/0!</v>
      </c>
      <c r="X250" s="538" t="e">
        <f>IF(INPUTS!$B$15="yes",W250,V250)</f>
        <v>#DIV/0!</v>
      </c>
      <c r="Y250" s="536" t="e">
        <f t="shared" si="55"/>
        <v>#DIV/0!</v>
      </c>
      <c r="Z250" s="537" t="e">
        <f t="shared" si="60"/>
        <v>#DIV/0!</v>
      </c>
      <c r="AA250" s="538" t="e">
        <f>IF(INPUTS!$B$15="yes",Z250,Y250)</f>
        <v>#DIV/0!</v>
      </c>
      <c r="AB250" s="536" t="e">
        <f t="shared" si="56"/>
        <v>#DIV/0!</v>
      </c>
      <c r="AC250" s="537" t="e">
        <f t="shared" si="61"/>
        <v>#DIV/0!</v>
      </c>
      <c r="AD250" s="538" t="e">
        <f>IF(INPUTS!$B$15="yes",AC250,AB250)</f>
        <v>#DIV/0!</v>
      </c>
      <c r="AE250" s="36" t="str">
        <f t="shared" si="62"/>
        <v>no</v>
      </c>
      <c r="AF250" s="36"/>
      <c r="AG250" s="389" t="e">
        <f>P250*('upper bound Kenaga'!$F$36/100)</f>
        <v>#DIV/0!</v>
      </c>
      <c r="AH250" s="36"/>
      <c r="AI250" s="389" t="e">
        <f>P250*('upper bound Kenaga'!$F$96/100)</f>
        <v>#DIV/0!</v>
      </c>
      <c r="AJ250" s="36"/>
      <c r="AK250" s="36"/>
      <c r="AL250" s="36"/>
      <c r="AM250" s="36"/>
      <c r="AN250" s="36"/>
      <c r="AO250" s="36"/>
    </row>
    <row r="251" spans="10:41" s="1" customFormat="1">
      <c r="J251" s="6">
        <f>COUNTIF(K$21:K251,"=yes")</f>
        <v>1</v>
      </c>
      <c r="K251" s="533" t="str">
        <f>IF(LOOKUP(VALUE(M251),INPUTS!$G$6:$G$35)=M251,"yes","no")</f>
        <v>no</v>
      </c>
      <c r="L251" s="533">
        <f>IF(K251="yes",(LOOKUP(J251,INPUTS!$E$6:$E$35,INPUTS!$F$6:$F$35)),0)</f>
        <v>0</v>
      </c>
      <c r="M251" s="135">
        <f t="shared" si="50"/>
        <v>230</v>
      </c>
      <c r="N251" s="135">
        <f t="shared" si="51"/>
        <v>1</v>
      </c>
      <c r="O251" s="135">
        <f t="shared" si="52"/>
        <v>0</v>
      </c>
      <c r="P251" s="536" t="e">
        <f t="shared" si="63"/>
        <v>#DIV/0!</v>
      </c>
      <c r="Q251" s="537" t="e">
        <f t="shared" si="57"/>
        <v>#DIV/0!</v>
      </c>
      <c r="R251" s="538" t="e">
        <f>IF(INPUTS!$B$15="yes",Q251,P251)</f>
        <v>#DIV/0!</v>
      </c>
      <c r="S251" s="536" t="e">
        <f t="shared" si="53"/>
        <v>#DIV/0!</v>
      </c>
      <c r="T251" s="537" t="e">
        <f t="shared" si="58"/>
        <v>#DIV/0!</v>
      </c>
      <c r="U251" s="538" t="e">
        <f>IF(INPUTS!$B$15="yes",T251,S251)</f>
        <v>#DIV/0!</v>
      </c>
      <c r="V251" s="536" t="e">
        <f t="shared" si="54"/>
        <v>#DIV/0!</v>
      </c>
      <c r="W251" s="537" t="e">
        <f t="shared" si="59"/>
        <v>#DIV/0!</v>
      </c>
      <c r="X251" s="538" t="e">
        <f>IF(INPUTS!$B$15="yes",W251,V251)</f>
        <v>#DIV/0!</v>
      </c>
      <c r="Y251" s="536" t="e">
        <f t="shared" si="55"/>
        <v>#DIV/0!</v>
      </c>
      <c r="Z251" s="537" t="e">
        <f t="shared" si="60"/>
        <v>#DIV/0!</v>
      </c>
      <c r="AA251" s="538" t="e">
        <f>IF(INPUTS!$B$15="yes",Z251,Y251)</f>
        <v>#DIV/0!</v>
      </c>
      <c r="AB251" s="536" t="e">
        <f t="shared" si="56"/>
        <v>#DIV/0!</v>
      </c>
      <c r="AC251" s="537" t="e">
        <f t="shared" si="61"/>
        <v>#DIV/0!</v>
      </c>
      <c r="AD251" s="538" t="e">
        <f>IF(INPUTS!$B$15="yes",AC251,AB251)</f>
        <v>#DIV/0!</v>
      </c>
      <c r="AE251" s="36" t="str">
        <f t="shared" si="62"/>
        <v>no</v>
      </c>
      <c r="AF251" s="36"/>
      <c r="AG251" s="389" t="e">
        <f>P251*('upper bound Kenaga'!$F$36/100)</f>
        <v>#DIV/0!</v>
      </c>
      <c r="AH251" s="36"/>
      <c r="AI251" s="389" t="e">
        <f>P251*('upper bound Kenaga'!$F$96/100)</f>
        <v>#DIV/0!</v>
      </c>
      <c r="AJ251" s="36"/>
      <c r="AK251" s="36"/>
      <c r="AL251" s="36"/>
      <c r="AM251" s="36"/>
      <c r="AN251" s="36"/>
      <c r="AO251" s="36"/>
    </row>
    <row r="252" spans="10:41" s="1" customFormat="1">
      <c r="J252" s="6">
        <f>COUNTIF(K$21:K252,"=yes")</f>
        <v>1</v>
      </c>
      <c r="K252" s="533" t="str">
        <f>IF(LOOKUP(VALUE(M252),INPUTS!$G$6:$G$35)=M252,"yes","no")</f>
        <v>no</v>
      </c>
      <c r="L252" s="533">
        <f>IF(K252="yes",(LOOKUP(J252,INPUTS!$E$6:$E$35,INPUTS!$F$6:$F$35)),0)</f>
        <v>0</v>
      </c>
      <c r="M252" s="135">
        <f t="shared" si="50"/>
        <v>231</v>
      </c>
      <c r="N252" s="135">
        <f t="shared" si="51"/>
        <v>1</v>
      </c>
      <c r="O252" s="135">
        <f t="shared" si="52"/>
        <v>0</v>
      </c>
      <c r="P252" s="536" t="e">
        <f t="shared" si="63"/>
        <v>#DIV/0!</v>
      </c>
      <c r="Q252" s="537" t="e">
        <f t="shared" si="57"/>
        <v>#DIV/0!</v>
      </c>
      <c r="R252" s="538" t="e">
        <f>IF(INPUTS!$B$15="yes",Q252,P252)</f>
        <v>#DIV/0!</v>
      </c>
      <c r="S252" s="536" t="e">
        <f t="shared" si="53"/>
        <v>#DIV/0!</v>
      </c>
      <c r="T252" s="537" t="e">
        <f t="shared" si="58"/>
        <v>#DIV/0!</v>
      </c>
      <c r="U252" s="538" t="e">
        <f>IF(INPUTS!$B$15="yes",T252,S252)</f>
        <v>#DIV/0!</v>
      </c>
      <c r="V252" s="536" t="e">
        <f t="shared" si="54"/>
        <v>#DIV/0!</v>
      </c>
      <c r="W252" s="537" t="e">
        <f t="shared" si="59"/>
        <v>#DIV/0!</v>
      </c>
      <c r="X252" s="538" t="e">
        <f>IF(INPUTS!$B$15="yes",W252,V252)</f>
        <v>#DIV/0!</v>
      </c>
      <c r="Y252" s="536" t="e">
        <f t="shared" si="55"/>
        <v>#DIV/0!</v>
      </c>
      <c r="Z252" s="537" t="e">
        <f t="shared" si="60"/>
        <v>#DIV/0!</v>
      </c>
      <c r="AA252" s="538" t="e">
        <f>IF(INPUTS!$B$15="yes",Z252,Y252)</f>
        <v>#DIV/0!</v>
      </c>
      <c r="AB252" s="536" t="e">
        <f t="shared" si="56"/>
        <v>#DIV/0!</v>
      </c>
      <c r="AC252" s="537" t="e">
        <f t="shared" si="61"/>
        <v>#DIV/0!</v>
      </c>
      <c r="AD252" s="538" t="e">
        <f>IF(INPUTS!$B$15="yes",AC252,AB252)</f>
        <v>#DIV/0!</v>
      </c>
      <c r="AE252" s="36" t="str">
        <f t="shared" si="62"/>
        <v>no</v>
      </c>
      <c r="AF252" s="36"/>
      <c r="AG252" s="389" t="e">
        <f>P252*('upper bound Kenaga'!$F$36/100)</f>
        <v>#DIV/0!</v>
      </c>
      <c r="AH252" s="36"/>
      <c r="AI252" s="389" t="e">
        <f>P252*('upper bound Kenaga'!$F$96/100)</f>
        <v>#DIV/0!</v>
      </c>
      <c r="AJ252" s="36"/>
      <c r="AK252" s="36"/>
      <c r="AL252" s="36"/>
      <c r="AM252" s="36"/>
      <c r="AN252" s="36"/>
      <c r="AO252" s="36"/>
    </row>
    <row r="253" spans="10:41" s="1" customFormat="1">
      <c r="J253" s="6">
        <f>COUNTIF(K$21:K253,"=yes")</f>
        <v>1</v>
      </c>
      <c r="K253" s="533" t="str">
        <f>IF(LOOKUP(VALUE(M253),INPUTS!$G$6:$G$35)=M253,"yes","no")</f>
        <v>no</v>
      </c>
      <c r="L253" s="533">
        <f>IF(K253="yes",(LOOKUP(J253,INPUTS!$E$6:$E$35,INPUTS!$F$6:$F$35)),0)</f>
        <v>0</v>
      </c>
      <c r="M253" s="135">
        <f t="shared" si="50"/>
        <v>232</v>
      </c>
      <c r="N253" s="135">
        <f t="shared" si="51"/>
        <v>1</v>
      </c>
      <c r="O253" s="135">
        <f t="shared" si="52"/>
        <v>0</v>
      </c>
      <c r="P253" s="536" t="e">
        <f t="shared" si="63"/>
        <v>#DIV/0!</v>
      </c>
      <c r="Q253" s="537" t="e">
        <f t="shared" si="57"/>
        <v>#DIV/0!</v>
      </c>
      <c r="R253" s="538" t="e">
        <f>IF(INPUTS!$B$15="yes",Q253,P253)</f>
        <v>#DIV/0!</v>
      </c>
      <c r="S253" s="536" t="e">
        <f t="shared" si="53"/>
        <v>#DIV/0!</v>
      </c>
      <c r="T253" s="537" t="e">
        <f t="shared" si="58"/>
        <v>#DIV/0!</v>
      </c>
      <c r="U253" s="538" t="e">
        <f>IF(INPUTS!$B$15="yes",T253,S253)</f>
        <v>#DIV/0!</v>
      </c>
      <c r="V253" s="536" t="e">
        <f t="shared" si="54"/>
        <v>#DIV/0!</v>
      </c>
      <c r="W253" s="537" t="e">
        <f t="shared" si="59"/>
        <v>#DIV/0!</v>
      </c>
      <c r="X253" s="538" t="e">
        <f>IF(INPUTS!$B$15="yes",W253,V253)</f>
        <v>#DIV/0!</v>
      </c>
      <c r="Y253" s="536" t="e">
        <f t="shared" si="55"/>
        <v>#DIV/0!</v>
      </c>
      <c r="Z253" s="537" t="e">
        <f t="shared" si="60"/>
        <v>#DIV/0!</v>
      </c>
      <c r="AA253" s="538" t="e">
        <f>IF(INPUTS!$B$15="yes",Z253,Y253)</f>
        <v>#DIV/0!</v>
      </c>
      <c r="AB253" s="536" t="e">
        <f t="shared" si="56"/>
        <v>#DIV/0!</v>
      </c>
      <c r="AC253" s="537" t="e">
        <f t="shared" si="61"/>
        <v>#DIV/0!</v>
      </c>
      <c r="AD253" s="538" t="e">
        <f>IF(INPUTS!$B$15="yes",AC253,AB253)</f>
        <v>#DIV/0!</v>
      </c>
      <c r="AE253" s="36" t="str">
        <f t="shared" si="62"/>
        <v>no</v>
      </c>
      <c r="AF253" s="36"/>
      <c r="AG253" s="389" t="e">
        <f>P253*('upper bound Kenaga'!$F$36/100)</f>
        <v>#DIV/0!</v>
      </c>
      <c r="AH253" s="36"/>
      <c r="AI253" s="389" t="e">
        <f>P253*('upper bound Kenaga'!$F$96/100)</f>
        <v>#DIV/0!</v>
      </c>
      <c r="AJ253" s="36"/>
      <c r="AK253" s="36"/>
      <c r="AL253" s="36"/>
      <c r="AM253" s="36"/>
      <c r="AN253" s="36"/>
      <c r="AO253" s="36"/>
    </row>
    <row r="254" spans="10:41" s="1" customFormat="1">
      <c r="J254" s="6">
        <f>COUNTIF(K$21:K254,"=yes")</f>
        <v>1</v>
      </c>
      <c r="K254" s="533" t="str">
        <f>IF(LOOKUP(VALUE(M254),INPUTS!$G$6:$G$35)=M254,"yes","no")</f>
        <v>no</v>
      </c>
      <c r="L254" s="533">
        <f>IF(K254="yes",(LOOKUP(J254,INPUTS!$E$6:$E$35,INPUTS!$F$6:$F$35)),0)</f>
        <v>0</v>
      </c>
      <c r="M254" s="135">
        <f t="shared" si="50"/>
        <v>233</v>
      </c>
      <c r="N254" s="135">
        <f t="shared" si="51"/>
        <v>1</v>
      </c>
      <c r="O254" s="135">
        <f t="shared" si="52"/>
        <v>0</v>
      </c>
      <c r="P254" s="536" t="e">
        <f t="shared" si="63"/>
        <v>#DIV/0!</v>
      </c>
      <c r="Q254" s="537" t="e">
        <f t="shared" si="57"/>
        <v>#DIV/0!</v>
      </c>
      <c r="R254" s="538" t="e">
        <f>IF(INPUTS!$B$15="yes",Q254,P254)</f>
        <v>#DIV/0!</v>
      </c>
      <c r="S254" s="536" t="e">
        <f t="shared" si="53"/>
        <v>#DIV/0!</v>
      </c>
      <c r="T254" s="537" t="e">
        <f t="shared" si="58"/>
        <v>#DIV/0!</v>
      </c>
      <c r="U254" s="538" t="e">
        <f>IF(INPUTS!$B$15="yes",T254,S254)</f>
        <v>#DIV/0!</v>
      </c>
      <c r="V254" s="536" t="e">
        <f t="shared" si="54"/>
        <v>#DIV/0!</v>
      </c>
      <c r="W254" s="537" t="e">
        <f t="shared" si="59"/>
        <v>#DIV/0!</v>
      </c>
      <c r="X254" s="538" t="e">
        <f>IF(INPUTS!$B$15="yes",W254,V254)</f>
        <v>#DIV/0!</v>
      </c>
      <c r="Y254" s="536" t="e">
        <f t="shared" si="55"/>
        <v>#DIV/0!</v>
      </c>
      <c r="Z254" s="537" t="e">
        <f t="shared" si="60"/>
        <v>#DIV/0!</v>
      </c>
      <c r="AA254" s="538" t="e">
        <f>IF(INPUTS!$B$15="yes",Z254,Y254)</f>
        <v>#DIV/0!</v>
      </c>
      <c r="AB254" s="536" t="e">
        <f t="shared" si="56"/>
        <v>#DIV/0!</v>
      </c>
      <c r="AC254" s="537" t="e">
        <f t="shared" si="61"/>
        <v>#DIV/0!</v>
      </c>
      <c r="AD254" s="538" t="e">
        <f>IF(INPUTS!$B$15="yes",AC254,AB254)</f>
        <v>#DIV/0!</v>
      </c>
      <c r="AE254" s="36" t="str">
        <f t="shared" si="62"/>
        <v>no</v>
      </c>
      <c r="AF254" s="36"/>
      <c r="AG254" s="389" t="e">
        <f>P254*('upper bound Kenaga'!$F$36/100)</f>
        <v>#DIV/0!</v>
      </c>
      <c r="AH254" s="36"/>
      <c r="AI254" s="389" t="e">
        <f>P254*('upper bound Kenaga'!$F$96/100)</f>
        <v>#DIV/0!</v>
      </c>
      <c r="AJ254" s="36"/>
      <c r="AK254" s="36"/>
      <c r="AL254" s="36"/>
      <c r="AM254" s="36"/>
      <c r="AN254" s="36"/>
      <c r="AO254" s="36"/>
    </row>
    <row r="255" spans="10:41" s="1" customFormat="1">
      <c r="J255" s="6">
        <f>COUNTIF(K$21:K255,"=yes")</f>
        <v>1</v>
      </c>
      <c r="K255" s="533" t="str">
        <f>IF(LOOKUP(VALUE(M255),INPUTS!$G$6:$G$35)=M255,"yes","no")</f>
        <v>no</v>
      </c>
      <c r="L255" s="533">
        <f>IF(K255="yes",(LOOKUP(J255,INPUTS!$E$6:$E$35,INPUTS!$F$6:$F$35)),0)</f>
        <v>0</v>
      </c>
      <c r="M255" s="135">
        <f t="shared" si="50"/>
        <v>234</v>
      </c>
      <c r="N255" s="135">
        <f t="shared" si="51"/>
        <v>1</v>
      </c>
      <c r="O255" s="135">
        <f t="shared" si="52"/>
        <v>0</v>
      </c>
      <c r="P255" s="536" t="e">
        <f t="shared" si="63"/>
        <v>#DIV/0!</v>
      </c>
      <c r="Q255" s="537" t="e">
        <f t="shared" si="57"/>
        <v>#DIV/0!</v>
      </c>
      <c r="R255" s="538" t="e">
        <f>IF(INPUTS!$B$15="yes",Q255,P255)</f>
        <v>#DIV/0!</v>
      </c>
      <c r="S255" s="536" t="e">
        <f t="shared" si="53"/>
        <v>#DIV/0!</v>
      </c>
      <c r="T255" s="537" t="e">
        <f t="shared" si="58"/>
        <v>#DIV/0!</v>
      </c>
      <c r="U255" s="538" t="e">
        <f>IF(INPUTS!$B$15="yes",T255,S255)</f>
        <v>#DIV/0!</v>
      </c>
      <c r="V255" s="536" t="e">
        <f t="shared" si="54"/>
        <v>#DIV/0!</v>
      </c>
      <c r="W255" s="537" t="e">
        <f t="shared" si="59"/>
        <v>#DIV/0!</v>
      </c>
      <c r="X255" s="538" t="e">
        <f>IF(INPUTS!$B$15="yes",W255,V255)</f>
        <v>#DIV/0!</v>
      </c>
      <c r="Y255" s="536" t="e">
        <f t="shared" si="55"/>
        <v>#DIV/0!</v>
      </c>
      <c r="Z255" s="537" t="e">
        <f t="shared" si="60"/>
        <v>#DIV/0!</v>
      </c>
      <c r="AA255" s="538" t="e">
        <f>IF(INPUTS!$B$15="yes",Z255,Y255)</f>
        <v>#DIV/0!</v>
      </c>
      <c r="AB255" s="536" t="e">
        <f t="shared" si="56"/>
        <v>#DIV/0!</v>
      </c>
      <c r="AC255" s="537" t="e">
        <f t="shared" si="61"/>
        <v>#DIV/0!</v>
      </c>
      <c r="AD255" s="538" t="e">
        <f>IF(INPUTS!$B$15="yes",AC255,AB255)</f>
        <v>#DIV/0!</v>
      </c>
      <c r="AE255" s="36" t="str">
        <f t="shared" si="62"/>
        <v>no</v>
      </c>
      <c r="AF255" s="36"/>
      <c r="AG255" s="389" t="e">
        <f>P255*('upper bound Kenaga'!$F$36/100)</f>
        <v>#DIV/0!</v>
      </c>
      <c r="AH255" s="36"/>
      <c r="AI255" s="389" t="e">
        <f>P255*('upper bound Kenaga'!$F$96/100)</f>
        <v>#DIV/0!</v>
      </c>
      <c r="AJ255" s="36"/>
      <c r="AK255" s="36"/>
      <c r="AL255" s="36"/>
      <c r="AM255" s="36"/>
      <c r="AN255" s="36"/>
      <c r="AO255" s="36"/>
    </row>
    <row r="256" spans="10:41" s="1" customFormat="1">
      <c r="J256" s="6">
        <f>COUNTIF(K$21:K256,"=yes")</f>
        <v>1</v>
      </c>
      <c r="K256" s="533" t="str">
        <f>IF(LOOKUP(VALUE(M256),INPUTS!$G$6:$G$35)=M256,"yes","no")</f>
        <v>no</v>
      </c>
      <c r="L256" s="533">
        <f>IF(K256="yes",(LOOKUP(J256,INPUTS!$E$6:$E$35,INPUTS!$F$6:$F$35)),0)</f>
        <v>0</v>
      </c>
      <c r="M256" s="135">
        <f t="shared" si="50"/>
        <v>235</v>
      </c>
      <c r="N256" s="135">
        <f t="shared" si="51"/>
        <v>1</v>
      </c>
      <c r="O256" s="135">
        <f t="shared" si="52"/>
        <v>0</v>
      </c>
      <c r="P256" s="536" t="e">
        <f t="shared" si="63"/>
        <v>#DIV/0!</v>
      </c>
      <c r="Q256" s="537" t="e">
        <f t="shared" si="57"/>
        <v>#DIV/0!</v>
      </c>
      <c r="R256" s="538" t="e">
        <f>IF(INPUTS!$B$15="yes",Q256,P256)</f>
        <v>#DIV/0!</v>
      </c>
      <c r="S256" s="536" t="e">
        <f t="shared" si="53"/>
        <v>#DIV/0!</v>
      </c>
      <c r="T256" s="537" t="e">
        <f t="shared" si="58"/>
        <v>#DIV/0!</v>
      </c>
      <c r="U256" s="538" t="e">
        <f>IF(INPUTS!$B$15="yes",T256,S256)</f>
        <v>#DIV/0!</v>
      </c>
      <c r="V256" s="536" t="e">
        <f t="shared" si="54"/>
        <v>#DIV/0!</v>
      </c>
      <c r="W256" s="537" t="e">
        <f t="shared" si="59"/>
        <v>#DIV/0!</v>
      </c>
      <c r="X256" s="538" t="e">
        <f>IF(INPUTS!$B$15="yes",W256,V256)</f>
        <v>#DIV/0!</v>
      </c>
      <c r="Y256" s="536" t="e">
        <f t="shared" si="55"/>
        <v>#DIV/0!</v>
      </c>
      <c r="Z256" s="537" t="e">
        <f t="shared" si="60"/>
        <v>#DIV/0!</v>
      </c>
      <c r="AA256" s="538" t="e">
        <f>IF(INPUTS!$B$15="yes",Z256,Y256)</f>
        <v>#DIV/0!</v>
      </c>
      <c r="AB256" s="536" t="e">
        <f t="shared" si="56"/>
        <v>#DIV/0!</v>
      </c>
      <c r="AC256" s="537" t="e">
        <f t="shared" si="61"/>
        <v>#DIV/0!</v>
      </c>
      <c r="AD256" s="538" t="e">
        <f>IF(INPUTS!$B$15="yes",AC256,AB256)</f>
        <v>#DIV/0!</v>
      </c>
      <c r="AE256" s="36" t="str">
        <f t="shared" si="62"/>
        <v>no</v>
      </c>
      <c r="AF256" s="36"/>
      <c r="AG256" s="389" t="e">
        <f>P256*('upper bound Kenaga'!$F$36/100)</f>
        <v>#DIV/0!</v>
      </c>
      <c r="AH256" s="36"/>
      <c r="AI256" s="389" t="e">
        <f>P256*('upper bound Kenaga'!$F$96/100)</f>
        <v>#DIV/0!</v>
      </c>
      <c r="AJ256" s="36"/>
      <c r="AK256" s="36"/>
      <c r="AL256" s="36"/>
      <c r="AM256" s="36"/>
      <c r="AN256" s="36"/>
      <c r="AO256" s="36"/>
    </row>
    <row r="257" spans="10:41" s="1" customFormat="1">
      <c r="J257" s="6">
        <f>COUNTIF(K$21:K257,"=yes")</f>
        <v>1</v>
      </c>
      <c r="K257" s="533" t="str">
        <f>IF(LOOKUP(VALUE(M257),INPUTS!$G$6:$G$35)=M257,"yes","no")</f>
        <v>no</v>
      </c>
      <c r="L257" s="533">
        <f>IF(K257="yes",(LOOKUP(J257,INPUTS!$E$6:$E$35,INPUTS!$F$6:$F$35)),0)</f>
        <v>0</v>
      </c>
      <c r="M257" s="135">
        <f t="shared" si="50"/>
        <v>236</v>
      </c>
      <c r="N257" s="135">
        <f t="shared" si="51"/>
        <v>1</v>
      </c>
      <c r="O257" s="135">
        <f t="shared" si="52"/>
        <v>0</v>
      </c>
      <c r="P257" s="536" t="e">
        <f t="shared" si="63"/>
        <v>#DIV/0!</v>
      </c>
      <c r="Q257" s="537" t="e">
        <f t="shared" si="57"/>
        <v>#DIV/0!</v>
      </c>
      <c r="R257" s="538" t="e">
        <f>IF(INPUTS!$B$15="yes",Q257,P257)</f>
        <v>#DIV/0!</v>
      </c>
      <c r="S257" s="536" t="e">
        <f t="shared" si="53"/>
        <v>#DIV/0!</v>
      </c>
      <c r="T257" s="537" t="e">
        <f t="shared" si="58"/>
        <v>#DIV/0!</v>
      </c>
      <c r="U257" s="538" t="e">
        <f>IF(INPUTS!$B$15="yes",T257,S257)</f>
        <v>#DIV/0!</v>
      </c>
      <c r="V257" s="536" t="e">
        <f t="shared" si="54"/>
        <v>#DIV/0!</v>
      </c>
      <c r="W257" s="537" t="e">
        <f t="shared" si="59"/>
        <v>#DIV/0!</v>
      </c>
      <c r="X257" s="538" t="e">
        <f>IF(INPUTS!$B$15="yes",W257,V257)</f>
        <v>#DIV/0!</v>
      </c>
      <c r="Y257" s="536" t="e">
        <f t="shared" si="55"/>
        <v>#DIV/0!</v>
      </c>
      <c r="Z257" s="537" t="e">
        <f t="shared" si="60"/>
        <v>#DIV/0!</v>
      </c>
      <c r="AA257" s="538" t="e">
        <f>IF(INPUTS!$B$15="yes",Z257,Y257)</f>
        <v>#DIV/0!</v>
      </c>
      <c r="AB257" s="536" t="e">
        <f t="shared" si="56"/>
        <v>#DIV/0!</v>
      </c>
      <c r="AC257" s="537" t="e">
        <f t="shared" si="61"/>
        <v>#DIV/0!</v>
      </c>
      <c r="AD257" s="538" t="e">
        <f>IF(INPUTS!$B$15="yes",AC257,AB257)</f>
        <v>#DIV/0!</v>
      </c>
      <c r="AE257" s="36" t="str">
        <f t="shared" si="62"/>
        <v>no</v>
      </c>
      <c r="AF257" s="36"/>
      <c r="AG257" s="389" t="e">
        <f>P257*('upper bound Kenaga'!$F$36/100)</f>
        <v>#DIV/0!</v>
      </c>
      <c r="AH257" s="36"/>
      <c r="AI257" s="389" t="e">
        <f>P257*('upper bound Kenaga'!$F$96/100)</f>
        <v>#DIV/0!</v>
      </c>
      <c r="AJ257" s="36"/>
      <c r="AK257" s="36"/>
      <c r="AL257" s="36"/>
      <c r="AM257" s="36"/>
      <c r="AN257" s="36"/>
      <c r="AO257" s="36"/>
    </row>
    <row r="258" spans="10:41" s="1" customFormat="1">
      <c r="J258" s="6">
        <f>COUNTIF(K$21:K258,"=yes")</f>
        <v>1</v>
      </c>
      <c r="K258" s="533" t="str">
        <f>IF(LOOKUP(VALUE(M258),INPUTS!$G$6:$G$35)=M258,"yes","no")</f>
        <v>no</v>
      </c>
      <c r="L258" s="533">
        <f>IF(K258="yes",(LOOKUP(J258,INPUTS!$E$6:$E$35,INPUTS!$F$6:$F$35)),0)</f>
        <v>0</v>
      </c>
      <c r="M258" s="135">
        <f t="shared" si="50"/>
        <v>237</v>
      </c>
      <c r="N258" s="135">
        <f t="shared" si="51"/>
        <v>1</v>
      </c>
      <c r="O258" s="135">
        <f t="shared" si="52"/>
        <v>0</v>
      </c>
      <c r="P258" s="536" t="e">
        <f t="shared" si="63"/>
        <v>#DIV/0!</v>
      </c>
      <c r="Q258" s="537" t="e">
        <f t="shared" si="57"/>
        <v>#DIV/0!</v>
      </c>
      <c r="R258" s="538" t="e">
        <f>IF(INPUTS!$B$15="yes",Q258,P258)</f>
        <v>#DIV/0!</v>
      </c>
      <c r="S258" s="536" t="e">
        <f t="shared" si="53"/>
        <v>#DIV/0!</v>
      </c>
      <c r="T258" s="537" t="e">
        <f t="shared" si="58"/>
        <v>#DIV/0!</v>
      </c>
      <c r="U258" s="538" t="e">
        <f>IF(INPUTS!$B$15="yes",T258,S258)</f>
        <v>#DIV/0!</v>
      </c>
      <c r="V258" s="536" t="e">
        <f t="shared" si="54"/>
        <v>#DIV/0!</v>
      </c>
      <c r="W258" s="537" t="e">
        <f t="shared" si="59"/>
        <v>#DIV/0!</v>
      </c>
      <c r="X258" s="538" t="e">
        <f>IF(INPUTS!$B$15="yes",W258,V258)</f>
        <v>#DIV/0!</v>
      </c>
      <c r="Y258" s="536" t="e">
        <f t="shared" si="55"/>
        <v>#DIV/0!</v>
      </c>
      <c r="Z258" s="537" t="e">
        <f t="shared" si="60"/>
        <v>#DIV/0!</v>
      </c>
      <c r="AA258" s="538" t="e">
        <f>IF(INPUTS!$B$15="yes",Z258,Y258)</f>
        <v>#DIV/0!</v>
      </c>
      <c r="AB258" s="536" t="e">
        <f t="shared" si="56"/>
        <v>#DIV/0!</v>
      </c>
      <c r="AC258" s="537" t="e">
        <f t="shared" si="61"/>
        <v>#DIV/0!</v>
      </c>
      <c r="AD258" s="538" t="e">
        <f>IF(INPUTS!$B$15="yes",AC258,AB258)</f>
        <v>#DIV/0!</v>
      </c>
      <c r="AE258" s="36" t="str">
        <f t="shared" si="62"/>
        <v>no</v>
      </c>
      <c r="AF258" s="36"/>
      <c r="AG258" s="389" t="e">
        <f>P258*('upper bound Kenaga'!$F$36/100)</f>
        <v>#DIV/0!</v>
      </c>
      <c r="AH258" s="36"/>
      <c r="AI258" s="389" t="e">
        <f>P258*('upper bound Kenaga'!$F$96/100)</f>
        <v>#DIV/0!</v>
      </c>
      <c r="AJ258" s="36"/>
      <c r="AK258" s="36"/>
      <c r="AL258" s="36"/>
      <c r="AM258" s="36"/>
      <c r="AN258" s="36"/>
      <c r="AO258" s="36"/>
    </row>
    <row r="259" spans="10:41" s="1" customFormat="1">
      <c r="J259" s="6">
        <f>COUNTIF(K$21:K259,"=yes")</f>
        <v>1</v>
      </c>
      <c r="K259" s="533" t="str">
        <f>IF(LOOKUP(VALUE(M259),INPUTS!$G$6:$G$35)=M259,"yes","no")</f>
        <v>no</v>
      </c>
      <c r="L259" s="533">
        <f>IF(K259="yes",(LOOKUP(J259,INPUTS!$E$6:$E$35,INPUTS!$F$6:$F$35)),0)</f>
        <v>0</v>
      </c>
      <c r="M259" s="135">
        <f t="shared" si="50"/>
        <v>238</v>
      </c>
      <c r="N259" s="135">
        <f t="shared" si="51"/>
        <v>1</v>
      </c>
      <c r="O259" s="135">
        <f t="shared" si="52"/>
        <v>0</v>
      </c>
      <c r="P259" s="536" t="e">
        <f t="shared" si="63"/>
        <v>#DIV/0!</v>
      </c>
      <c r="Q259" s="537" t="e">
        <f t="shared" si="57"/>
        <v>#DIV/0!</v>
      </c>
      <c r="R259" s="538" t="e">
        <f>IF(INPUTS!$B$15="yes",Q259,P259)</f>
        <v>#DIV/0!</v>
      </c>
      <c r="S259" s="536" t="e">
        <f t="shared" si="53"/>
        <v>#DIV/0!</v>
      </c>
      <c r="T259" s="537" t="e">
        <f t="shared" si="58"/>
        <v>#DIV/0!</v>
      </c>
      <c r="U259" s="538" t="e">
        <f>IF(INPUTS!$B$15="yes",T259,S259)</f>
        <v>#DIV/0!</v>
      </c>
      <c r="V259" s="536" t="e">
        <f t="shared" si="54"/>
        <v>#DIV/0!</v>
      </c>
      <c r="W259" s="537" t="e">
        <f t="shared" si="59"/>
        <v>#DIV/0!</v>
      </c>
      <c r="X259" s="538" t="e">
        <f>IF(INPUTS!$B$15="yes",W259,V259)</f>
        <v>#DIV/0!</v>
      </c>
      <c r="Y259" s="536" t="e">
        <f t="shared" si="55"/>
        <v>#DIV/0!</v>
      </c>
      <c r="Z259" s="537" t="e">
        <f t="shared" si="60"/>
        <v>#DIV/0!</v>
      </c>
      <c r="AA259" s="538" t="e">
        <f>IF(INPUTS!$B$15="yes",Z259,Y259)</f>
        <v>#DIV/0!</v>
      </c>
      <c r="AB259" s="536" t="e">
        <f t="shared" si="56"/>
        <v>#DIV/0!</v>
      </c>
      <c r="AC259" s="537" t="e">
        <f t="shared" si="61"/>
        <v>#DIV/0!</v>
      </c>
      <c r="AD259" s="538" t="e">
        <f>IF(INPUTS!$B$15="yes",AC259,AB259)</f>
        <v>#DIV/0!</v>
      </c>
      <c r="AE259" s="36" t="str">
        <f t="shared" si="62"/>
        <v>no</v>
      </c>
      <c r="AF259" s="36"/>
      <c r="AG259" s="389" t="e">
        <f>P259*('upper bound Kenaga'!$F$36/100)</f>
        <v>#DIV/0!</v>
      </c>
      <c r="AH259" s="36"/>
      <c r="AI259" s="389" t="e">
        <f>P259*('upper bound Kenaga'!$F$96/100)</f>
        <v>#DIV/0!</v>
      </c>
      <c r="AJ259" s="36"/>
      <c r="AK259" s="36"/>
      <c r="AL259" s="36"/>
      <c r="AM259" s="36"/>
      <c r="AN259" s="36"/>
      <c r="AO259" s="36"/>
    </row>
    <row r="260" spans="10:41" s="1" customFormat="1">
      <c r="J260" s="6">
        <f>COUNTIF(K$21:K260,"=yes")</f>
        <v>1</v>
      </c>
      <c r="K260" s="533" t="str">
        <f>IF(LOOKUP(VALUE(M260),INPUTS!$G$6:$G$35)=M260,"yes","no")</f>
        <v>no</v>
      </c>
      <c r="L260" s="533">
        <f>IF(K260="yes",(LOOKUP(J260,INPUTS!$E$6:$E$35,INPUTS!$F$6:$F$35)),0)</f>
        <v>0</v>
      </c>
      <c r="M260" s="135">
        <f t="shared" si="50"/>
        <v>239</v>
      </c>
      <c r="N260" s="135">
        <f t="shared" si="51"/>
        <v>1</v>
      </c>
      <c r="O260" s="135">
        <f t="shared" si="52"/>
        <v>0</v>
      </c>
      <c r="P260" s="536" t="e">
        <f t="shared" si="63"/>
        <v>#DIV/0!</v>
      </c>
      <c r="Q260" s="537" t="e">
        <f t="shared" si="57"/>
        <v>#DIV/0!</v>
      </c>
      <c r="R260" s="538" t="e">
        <f>IF(INPUTS!$B$15="yes",Q260,P260)</f>
        <v>#DIV/0!</v>
      </c>
      <c r="S260" s="536" t="e">
        <f t="shared" si="53"/>
        <v>#DIV/0!</v>
      </c>
      <c r="T260" s="537" t="e">
        <f t="shared" si="58"/>
        <v>#DIV/0!</v>
      </c>
      <c r="U260" s="538" t="e">
        <f>IF(INPUTS!$B$15="yes",T260,S260)</f>
        <v>#DIV/0!</v>
      </c>
      <c r="V260" s="536" t="e">
        <f t="shared" si="54"/>
        <v>#DIV/0!</v>
      </c>
      <c r="W260" s="537" t="e">
        <f t="shared" si="59"/>
        <v>#DIV/0!</v>
      </c>
      <c r="X260" s="538" t="e">
        <f>IF(INPUTS!$B$15="yes",W260,V260)</f>
        <v>#DIV/0!</v>
      </c>
      <c r="Y260" s="536" t="e">
        <f t="shared" si="55"/>
        <v>#DIV/0!</v>
      </c>
      <c r="Z260" s="537" t="e">
        <f t="shared" si="60"/>
        <v>#DIV/0!</v>
      </c>
      <c r="AA260" s="538" t="e">
        <f>IF(INPUTS!$B$15="yes",Z260,Y260)</f>
        <v>#DIV/0!</v>
      </c>
      <c r="AB260" s="536" t="e">
        <f t="shared" si="56"/>
        <v>#DIV/0!</v>
      </c>
      <c r="AC260" s="537" t="e">
        <f t="shared" si="61"/>
        <v>#DIV/0!</v>
      </c>
      <c r="AD260" s="538" t="e">
        <f>IF(INPUTS!$B$15="yes",AC260,AB260)</f>
        <v>#DIV/0!</v>
      </c>
      <c r="AE260" s="36" t="str">
        <f t="shared" si="62"/>
        <v>no</v>
      </c>
      <c r="AF260" s="36"/>
      <c r="AG260" s="389" t="e">
        <f>P260*('upper bound Kenaga'!$F$36/100)</f>
        <v>#DIV/0!</v>
      </c>
      <c r="AH260" s="36"/>
      <c r="AI260" s="389" t="e">
        <f>P260*('upper bound Kenaga'!$F$96/100)</f>
        <v>#DIV/0!</v>
      </c>
      <c r="AJ260" s="36"/>
      <c r="AK260" s="36"/>
      <c r="AL260" s="36"/>
      <c r="AM260" s="36"/>
      <c r="AN260" s="36"/>
      <c r="AO260" s="36"/>
    </row>
    <row r="261" spans="10:41" s="1" customFormat="1">
      <c r="J261" s="6">
        <f>COUNTIF(K$21:K261,"=yes")</f>
        <v>1</v>
      </c>
      <c r="K261" s="533" t="str">
        <f>IF(LOOKUP(VALUE(M261),INPUTS!$G$6:$G$35)=M261,"yes","no")</f>
        <v>no</v>
      </c>
      <c r="L261" s="533">
        <f>IF(K261="yes",(LOOKUP(J261,INPUTS!$E$6:$E$35,INPUTS!$F$6:$F$35)),0)</f>
        <v>0</v>
      </c>
      <c r="M261" s="135">
        <f t="shared" si="50"/>
        <v>240</v>
      </c>
      <c r="N261" s="135">
        <f t="shared" si="51"/>
        <v>1</v>
      </c>
      <c r="O261" s="135">
        <f t="shared" si="52"/>
        <v>0</v>
      </c>
      <c r="P261" s="536" t="e">
        <f t="shared" si="63"/>
        <v>#DIV/0!</v>
      </c>
      <c r="Q261" s="537" t="e">
        <f t="shared" si="57"/>
        <v>#DIV/0!</v>
      </c>
      <c r="R261" s="538" t="e">
        <f>IF(INPUTS!$B$15="yes",Q261,P261)</f>
        <v>#DIV/0!</v>
      </c>
      <c r="S261" s="536" t="e">
        <f t="shared" si="53"/>
        <v>#DIV/0!</v>
      </c>
      <c r="T261" s="537" t="e">
        <f t="shared" si="58"/>
        <v>#DIV/0!</v>
      </c>
      <c r="U261" s="538" t="e">
        <f>IF(INPUTS!$B$15="yes",T261,S261)</f>
        <v>#DIV/0!</v>
      </c>
      <c r="V261" s="536" t="e">
        <f t="shared" si="54"/>
        <v>#DIV/0!</v>
      </c>
      <c r="W261" s="537" t="e">
        <f t="shared" si="59"/>
        <v>#DIV/0!</v>
      </c>
      <c r="X261" s="538" t="e">
        <f>IF(INPUTS!$B$15="yes",W261,V261)</f>
        <v>#DIV/0!</v>
      </c>
      <c r="Y261" s="536" t="e">
        <f t="shared" si="55"/>
        <v>#DIV/0!</v>
      </c>
      <c r="Z261" s="537" t="e">
        <f t="shared" si="60"/>
        <v>#DIV/0!</v>
      </c>
      <c r="AA261" s="538" t="e">
        <f>IF(INPUTS!$B$15="yes",Z261,Y261)</f>
        <v>#DIV/0!</v>
      </c>
      <c r="AB261" s="536" t="e">
        <f t="shared" si="56"/>
        <v>#DIV/0!</v>
      </c>
      <c r="AC261" s="537" t="e">
        <f t="shared" si="61"/>
        <v>#DIV/0!</v>
      </c>
      <c r="AD261" s="538" t="e">
        <f>IF(INPUTS!$B$15="yes",AC261,AB261)</f>
        <v>#DIV/0!</v>
      </c>
      <c r="AE261" s="36" t="str">
        <f t="shared" si="62"/>
        <v>no</v>
      </c>
      <c r="AF261" s="36"/>
      <c r="AG261" s="389" t="e">
        <f>P261*('upper bound Kenaga'!$F$36/100)</f>
        <v>#DIV/0!</v>
      </c>
      <c r="AH261" s="36"/>
      <c r="AI261" s="389" t="e">
        <f>P261*('upper bound Kenaga'!$F$96/100)</f>
        <v>#DIV/0!</v>
      </c>
      <c r="AJ261" s="36"/>
      <c r="AK261" s="36"/>
      <c r="AL261" s="36"/>
      <c r="AM261" s="36"/>
      <c r="AN261" s="36"/>
      <c r="AO261" s="36"/>
    </row>
    <row r="262" spans="10:41" s="1" customFormat="1">
      <c r="J262" s="6">
        <f>COUNTIF(K$21:K262,"=yes")</f>
        <v>1</v>
      </c>
      <c r="K262" s="533" t="str">
        <f>IF(LOOKUP(VALUE(M262),INPUTS!$G$6:$G$35)=M262,"yes","no")</f>
        <v>no</v>
      </c>
      <c r="L262" s="533">
        <f>IF(K262="yes",(LOOKUP(J262,INPUTS!$E$6:$E$35,INPUTS!$F$6:$F$35)),0)</f>
        <v>0</v>
      </c>
      <c r="M262" s="135">
        <f t="shared" si="50"/>
        <v>241</v>
      </c>
      <c r="N262" s="135">
        <f t="shared" si="51"/>
        <v>1</v>
      </c>
      <c r="O262" s="135">
        <f t="shared" si="52"/>
        <v>0</v>
      </c>
      <c r="P262" s="536" t="e">
        <f t="shared" si="63"/>
        <v>#DIV/0!</v>
      </c>
      <c r="Q262" s="537" t="e">
        <f t="shared" si="57"/>
        <v>#DIV/0!</v>
      </c>
      <c r="R262" s="538" t="e">
        <f>IF(INPUTS!$B$15="yes",Q262,P262)</f>
        <v>#DIV/0!</v>
      </c>
      <c r="S262" s="536" t="e">
        <f t="shared" si="53"/>
        <v>#DIV/0!</v>
      </c>
      <c r="T262" s="537" t="e">
        <f t="shared" si="58"/>
        <v>#DIV/0!</v>
      </c>
      <c r="U262" s="538" t="e">
        <f>IF(INPUTS!$B$15="yes",T262,S262)</f>
        <v>#DIV/0!</v>
      </c>
      <c r="V262" s="536" t="e">
        <f t="shared" si="54"/>
        <v>#DIV/0!</v>
      </c>
      <c r="W262" s="537" t="e">
        <f t="shared" si="59"/>
        <v>#DIV/0!</v>
      </c>
      <c r="X262" s="538" t="e">
        <f>IF(INPUTS!$B$15="yes",W262,V262)</f>
        <v>#DIV/0!</v>
      </c>
      <c r="Y262" s="536" t="e">
        <f t="shared" si="55"/>
        <v>#DIV/0!</v>
      </c>
      <c r="Z262" s="537" t="e">
        <f t="shared" si="60"/>
        <v>#DIV/0!</v>
      </c>
      <c r="AA262" s="538" t="e">
        <f>IF(INPUTS!$B$15="yes",Z262,Y262)</f>
        <v>#DIV/0!</v>
      </c>
      <c r="AB262" s="536" t="e">
        <f t="shared" si="56"/>
        <v>#DIV/0!</v>
      </c>
      <c r="AC262" s="537" t="e">
        <f t="shared" si="61"/>
        <v>#DIV/0!</v>
      </c>
      <c r="AD262" s="538" t="e">
        <f>IF(INPUTS!$B$15="yes",AC262,AB262)</f>
        <v>#DIV/0!</v>
      </c>
      <c r="AE262" s="36" t="str">
        <f t="shared" si="62"/>
        <v>no</v>
      </c>
      <c r="AF262" s="36"/>
      <c r="AG262" s="389" t="e">
        <f>P262*('upper bound Kenaga'!$F$36/100)</f>
        <v>#DIV/0!</v>
      </c>
      <c r="AH262" s="36"/>
      <c r="AI262" s="389" t="e">
        <f>P262*('upper bound Kenaga'!$F$96/100)</f>
        <v>#DIV/0!</v>
      </c>
      <c r="AJ262" s="36"/>
      <c r="AK262" s="36"/>
      <c r="AL262" s="36"/>
      <c r="AM262" s="36"/>
      <c r="AN262" s="36"/>
      <c r="AO262" s="36"/>
    </row>
    <row r="263" spans="10:41" s="1" customFormat="1">
      <c r="J263" s="6">
        <f>COUNTIF(K$21:K263,"=yes")</f>
        <v>1</v>
      </c>
      <c r="K263" s="533" t="str">
        <f>IF(LOOKUP(VALUE(M263),INPUTS!$G$6:$G$35)=M263,"yes","no")</f>
        <v>no</v>
      </c>
      <c r="L263" s="533">
        <f>IF(K263="yes",(LOOKUP(J263,INPUTS!$E$6:$E$35,INPUTS!$F$6:$F$35)),0)</f>
        <v>0</v>
      </c>
      <c r="M263" s="135">
        <f t="shared" si="50"/>
        <v>242</v>
      </c>
      <c r="N263" s="135">
        <f t="shared" si="51"/>
        <v>1</v>
      </c>
      <c r="O263" s="135">
        <f t="shared" si="52"/>
        <v>0</v>
      </c>
      <c r="P263" s="536" t="e">
        <f t="shared" si="63"/>
        <v>#DIV/0!</v>
      </c>
      <c r="Q263" s="537" t="e">
        <f t="shared" si="57"/>
        <v>#DIV/0!</v>
      </c>
      <c r="R263" s="538" t="e">
        <f>IF(INPUTS!$B$15="yes",Q263,P263)</f>
        <v>#DIV/0!</v>
      </c>
      <c r="S263" s="536" t="e">
        <f t="shared" si="53"/>
        <v>#DIV/0!</v>
      </c>
      <c r="T263" s="537" t="e">
        <f t="shared" si="58"/>
        <v>#DIV/0!</v>
      </c>
      <c r="U263" s="538" t="e">
        <f>IF(INPUTS!$B$15="yes",T263,S263)</f>
        <v>#DIV/0!</v>
      </c>
      <c r="V263" s="536" t="e">
        <f t="shared" si="54"/>
        <v>#DIV/0!</v>
      </c>
      <c r="W263" s="537" t="e">
        <f t="shared" si="59"/>
        <v>#DIV/0!</v>
      </c>
      <c r="X263" s="538" t="e">
        <f>IF(INPUTS!$B$15="yes",W263,V263)</f>
        <v>#DIV/0!</v>
      </c>
      <c r="Y263" s="536" t="e">
        <f t="shared" si="55"/>
        <v>#DIV/0!</v>
      </c>
      <c r="Z263" s="537" t="e">
        <f t="shared" si="60"/>
        <v>#DIV/0!</v>
      </c>
      <c r="AA263" s="538" t="e">
        <f>IF(INPUTS!$B$15="yes",Z263,Y263)</f>
        <v>#DIV/0!</v>
      </c>
      <c r="AB263" s="536" t="e">
        <f t="shared" si="56"/>
        <v>#DIV/0!</v>
      </c>
      <c r="AC263" s="537" t="e">
        <f t="shared" si="61"/>
        <v>#DIV/0!</v>
      </c>
      <c r="AD263" s="538" t="e">
        <f>IF(INPUTS!$B$15="yes",AC263,AB263)</f>
        <v>#DIV/0!</v>
      </c>
      <c r="AE263" s="36" t="str">
        <f t="shared" si="62"/>
        <v>no</v>
      </c>
      <c r="AF263" s="36"/>
      <c r="AG263" s="389" t="e">
        <f>P263*('upper bound Kenaga'!$F$36/100)</f>
        <v>#DIV/0!</v>
      </c>
      <c r="AH263" s="36"/>
      <c r="AI263" s="389" t="e">
        <f>P263*('upper bound Kenaga'!$F$96/100)</f>
        <v>#DIV/0!</v>
      </c>
      <c r="AJ263" s="36"/>
      <c r="AK263" s="36"/>
      <c r="AL263" s="36"/>
      <c r="AM263" s="36"/>
      <c r="AN263" s="36"/>
      <c r="AO263" s="36"/>
    </row>
    <row r="264" spans="10:41" s="1" customFormat="1">
      <c r="J264" s="6">
        <f>COUNTIF(K$21:K264,"=yes")</f>
        <v>1</v>
      </c>
      <c r="K264" s="533" t="str">
        <f>IF(LOOKUP(VALUE(M264),INPUTS!$G$6:$G$35)=M264,"yes","no")</f>
        <v>no</v>
      </c>
      <c r="L264" s="533">
        <f>IF(K264="yes",(LOOKUP(J264,INPUTS!$E$6:$E$35,INPUTS!$F$6:$F$35)),0)</f>
        <v>0</v>
      </c>
      <c r="M264" s="135">
        <f t="shared" si="50"/>
        <v>243</v>
      </c>
      <c r="N264" s="135">
        <f t="shared" si="51"/>
        <v>1</v>
      </c>
      <c r="O264" s="135">
        <f t="shared" si="52"/>
        <v>0</v>
      </c>
      <c r="P264" s="536" t="e">
        <f t="shared" si="63"/>
        <v>#DIV/0!</v>
      </c>
      <c r="Q264" s="537" t="e">
        <f t="shared" si="57"/>
        <v>#DIV/0!</v>
      </c>
      <c r="R264" s="538" t="e">
        <f>IF(INPUTS!$B$15="yes",Q264,P264)</f>
        <v>#DIV/0!</v>
      </c>
      <c r="S264" s="536" t="e">
        <f t="shared" si="53"/>
        <v>#DIV/0!</v>
      </c>
      <c r="T264" s="537" t="e">
        <f t="shared" si="58"/>
        <v>#DIV/0!</v>
      </c>
      <c r="U264" s="538" t="e">
        <f>IF(INPUTS!$B$15="yes",T264,S264)</f>
        <v>#DIV/0!</v>
      </c>
      <c r="V264" s="536" t="e">
        <f t="shared" si="54"/>
        <v>#DIV/0!</v>
      </c>
      <c r="W264" s="537" t="e">
        <f t="shared" si="59"/>
        <v>#DIV/0!</v>
      </c>
      <c r="X264" s="538" t="e">
        <f>IF(INPUTS!$B$15="yes",W264,V264)</f>
        <v>#DIV/0!</v>
      </c>
      <c r="Y264" s="536" t="e">
        <f t="shared" si="55"/>
        <v>#DIV/0!</v>
      </c>
      <c r="Z264" s="537" t="e">
        <f t="shared" si="60"/>
        <v>#DIV/0!</v>
      </c>
      <c r="AA264" s="538" t="e">
        <f>IF(INPUTS!$B$15="yes",Z264,Y264)</f>
        <v>#DIV/0!</v>
      </c>
      <c r="AB264" s="536" t="e">
        <f t="shared" si="56"/>
        <v>#DIV/0!</v>
      </c>
      <c r="AC264" s="537" t="e">
        <f t="shared" si="61"/>
        <v>#DIV/0!</v>
      </c>
      <c r="AD264" s="538" t="e">
        <f>IF(INPUTS!$B$15="yes",AC264,AB264)</f>
        <v>#DIV/0!</v>
      </c>
      <c r="AE264" s="36" t="str">
        <f t="shared" si="62"/>
        <v>no</v>
      </c>
      <c r="AF264" s="36"/>
      <c r="AG264" s="389" t="e">
        <f>P264*('upper bound Kenaga'!$F$36/100)</f>
        <v>#DIV/0!</v>
      </c>
      <c r="AH264" s="36"/>
      <c r="AI264" s="389" t="e">
        <f>P264*('upper bound Kenaga'!$F$96/100)</f>
        <v>#DIV/0!</v>
      </c>
      <c r="AJ264" s="36"/>
      <c r="AK264" s="36"/>
      <c r="AL264" s="36"/>
      <c r="AM264" s="36"/>
      <c r="AN264" s="36"/>
      <c r="AO264" s="36"/>
    </row>
    <row r="265" spans="10:41" s="1" customFormat="1">
      <c r="J265" s="6">
        <f>COUNTIF(K$21:K265,"=yes")</f>
        <v>1</v>
      </c>
      <c r="K265" s="533" t="str">
        <f>IF(LOOKUP(VALUE(M265),INPUTS!$G$6:$G$35)=M265,"yes","no")</f>
        <v>no</v>
      </c>
      <c r="L265" s="533">
        <f>IF(K265="yes",(LOOKUP(J265,INPUTS!$E$6:$E$35,INPUTS!$F$6:$F$35)),0)</f>
        <v>0</v>
      </c>
      <c r="M265" s="135">
        <f t="shared" si="50"/>
        <v>244</v>
      </c>
      <c r="N265" s="135">
        <f t="shared" si="51"/>
        <v>1</v>
      </c>
      <c r="O265" s="135">
        <f t="shared" si="52"/>
        <v>0</v>
      </c>
      <c r="P265" s="536" t="e">
        <f t="shared" si="63"/>
        <v>#DIV/0!</v>
      </c>
      <c r="Q265" s="537" t="e">
        <f t="shared" si="57"/>
        <v>#DIV/0!</v>
      </c>
      <c r="R265" s="538" t="e">
        <f>IF(INPUTS!$B$15="yes",Q265,P265)</f>
        <v>#DIV/0!</v>
      </c>
      <c r="S265" s="536" t="e">
        <f t="shared" si="53"/>
        <v>#DIV/0!</v>
      </c>
      <c r="T265" s="537" t="e">
        <f t="shared" si="58"/>
        <v>#DIV/0!</v>
      </c>
      <c r="U265" s="538" t="e">
        <f>IF(INPUTS!$B$15="yes",T265,S265)</f>
        <v>#DIV/0!</v>
      </c>
      <c r="V265" s="536" t="e">
        <f t="shared" si="54"/>
        <v>#DIV/0!</v>
      </c>
      <c r="W265" s="537" t="e">
        <f t="shared" si="59"/>
        <v>#DIV/0!</v>
      </c>
      <c r="X265" s="538" t="e">
        <f>IF(INPUTS!$B$15="yes",W265,V265)</f>
        <v>#DIV/0!</v>
      </c>
      <c r="Y265" s="536" t="e">
        <f t="shared" si="55"/>
        <v>#DIV/0!</v>
      </c>
      <c r="Z265" s="537" t="e">
        <f t="shared" si="60"/>
        <v>#DIV/0!</v>
      </c>
      <c r="AA265" s="538" t="e">
        <f>IF(INPUTS!$B$15="yes",Z265,Y265)</f>
        <v>#DIV/0!</v>
      </c>
      <c r="AB265" s="536" t="e">
        <f t="shared" si="56"/>
        <v>#DIV/0!</v>
      </c>
      <c r="AC265" s="537" t="e">
        <f t="shared" si="61"/>
        <v>#DIV/0!</v>
      </c>
      <c r="AD265" s="538" t="e">
        <f>IF(INPUTS!$B$15="yes",AC265,AB265)</f>
        <v>#DIV/0!</v>
      </c>
      <c r="AE265" s="36" t="str">
        <f t="shared" si="62"/>
        <v>no</v>
      </c>
      <c r="AF265" s="36"/>
      <c r="AG265" s="389" t="e">
        <f>P265*('upper bound Kenaga'!$F$36/100)</f>
        <v>#DIV/0!</v>
      </c>
      <c r="AH265" s="36"/>
      <c r="AI265" s="389" t="e">
        <f>P265*('upper bound Kenaga'!$F$96/100)</f>
        <v>#DIV/0!</v>
      </c>
      <c r="AJ265" s="36"/>
      <c r="AK265" s="36"/>
      <c r="AL265" s="36"/>
      <c r="AM265" s="36"/>
      <c r="AN265" s="36"/>
      <c r="AO265" s="36"/>
    </row>
    <row r="266" spans="10:41" s="1" customFormat="1">
      <c r="J266" s="6">
        <f>COUNTIF(K$21:K266,"=yes")</f>
        <v>1</v>
      </c>
      <c r="K266" s="533" t="str">
        <f>IF(LOOKUP(VALUE(M266),INPUTS!$G$6:$G$35)=M266,"yes","no")</f>
        <v>no</v>
      </c>
      <c r="L266" s="533">
        <f>IF(K266="yes",(LOOKUP(J266,INPUTS!$E$6:$E$35,INPUTS!$F$6:$F$35)),0)</f>
        <v>0</v>
      </c>
      <c r="M266" s="135">
        <f t="shared" si="50"/>
        <v>245</v>
      </c>
      <c r="N266" s="135">
        <f t="shared" si="51"/>
        <v>1</v>
      </c>
      <c r="O266" s="135">
        <f t="shared" si="52"/>
        <v>0</v>
      </c>
      <c r="P266" s="536" t="e">
        <f t="shared" si="63"/>
        <v>#DIV/0!</v>
      </c>
      <c r="Q266" s="537" t="e">
        <f t="shared" si="57"/>
        <v>#DIV/0!</v>
      </c>
      <c r="R266" s="538" t="e">
        <f>IF(INPUTS!$B$15="yes",Q266,P266)</f>
        <v>#DIV/0!</v>
      </c>
      <c r="S266" s="536" t="e">
        <f t="shared" si="53"/>
        <v>#DIV/0!</v>
      </c>
      <c r="T266" s="537" t="e">
        <f t="shared" si="58"/>
        <v>#DIV/0!</v>
      </c>
      <c r="U266" s="538" t="e">
        <f>IF(INPUTS!$B$15="yes",T266,S266)</f>
        <v>#DIV/0!</v>
      </c>
      <c r="V266" s="536" t="e">
        <f t="shared" si="54"/>
        <v>#DIV/0!</v>
      </c>
      <c r="W266" s="537" t="e">
        <f t="shared" si="59"/>
        <v>#DIV/0!</v>
      </c>
      <c r="X266" s="538" t="e">
        <f>IF(INPUTS!$B$15="yes",W266,V266)</f>
        <v>#DIV/0!</v>
      </c>
      <c r="Y266" s="536" t="e">
        <f t="shared" si="55"/>
        <v>#DIV/0!</v>
      </c>
      <c r="Z266" s="537" t="e">
        <f t="shared" si="60"/>
        <v>#DIV/0!</v>
      </c>
      <c r="AA266" s="538" t="e">
        <f>IF(INPUTS!$B$15="yes",Z266,Y266)</f>
        <v>#DIV/0!</v>
      </c>
      <c r="AB266" s="536" t="e">
        <f t="shared" si="56"/>
        <v>#DIV/0!</v>
      </c>
      <c r="AC266" s="537" t="e">
        <f t="shared" si="61"/>
        <v>#DIV/0!</v>
      </c>
      <c r="AD266" s="538" t="e">
        <f>IF(INPUTS!$B$15="yes",AC266,AB266)</f>
        <v>#DIV/0!</v>
      </c>
      <c r="AE266" s="36" t="str">
        <f t="shared" si="62"/>
        <v>no</v>
      </c>
      <c r="AF266" s="36"/>
      <c r="AG266" s="389" t="e">
        <f>P266*('upper bound Kenaga'!$F$36/100)</f>
        <v>#DIV/0!</v>
      </c>
      <c r="AH266" s="36"/>
      <c r="AI266" s="389" t="e">
        <f>P266*('upper bound Kenaga'!$F$96/100)</f>
        <v>#DIV/0!</v>
      </c>
      <c r="AJ266" s="36"/>
      <c r="AK266" s="36"/>
      <c r="AL266" s="36"/>
      <c r="AM266" s="36"/>
      <c r="AN266" s="36"/>
      <c r="AO266" s="36"/>
    </row>
    <row r="267" spans="10:41" s="1" customFormat="1">
      <c r="J267" s="6">
        <f>COUNTIF(K$21:K267,"=yes")</f>
        <v>1</v>
      </c>
      <c r="K267" s="533" t="str">
        <f>IF(LOOKUP(VALUE(M267),INPUTS!$G$6:$G$35)=M267,"yes","no")</f>
        <v>no</v>
      </c>
      <c r="L267" s="533">
        <f>IF(K267="yes",(LOOKUP(J267,INPUTS!$E$6:$E$35,INPUTS!$F$6:$F$35)),0)</f>
        <v>0</v>
      </c>
      <c r="M267" s="135">
        <f t="shared" si="50"/>
        <v>246</v>
      </c>
      <c r="N267" s="135">
        <f t="shared" si="51"/>
        <v>1</v>
      </c>
      <c r="O267" s="135">
        <f t="shared" si="52"/>
        <v>0</v>
      </c>
      <c r="P267" s="536" t="e">
        <f t="shared" si="63"/>
        <v>#DIV/0!</v>
      </c>
      <c r="Q267" s="537" t="e">
        <f t="shared" si="57"/>
        <v>#DIV/0!</v>
      </c>
      <c r="R267" s="538" t="e">
        <f>IF(INPUTS!$B$15="yes",Q267,P267)</f>
        <v>#DIV/0!</v>
      </c>
      <c r="S267" s="536" t="e">
        <f t="shared" si="53"/>
        <v>#DIV/0!</v>
      </c>
      <c r="T267" s="537" t="e">
        <f t="shared" si="58"/>
        <v>#DIV/0!</v>
      </c>
      <c r="U267" s="538" t="e">
        <f>IF(INPUTS!$B$15="yes",T267,S267)</f>
        <v>#DIV/0!</v>
      </c>
      <c r="V267" s="536" t="e">
        <f t="shared" si="54"/>
        <v>#DIV/0!</v>
      </c>
      <c r="W267" s="537" t="e">
        <f t="shared" si="59"/>
        <v>#DIV/0!</v>
      </c>
      <c r="X267" s="538" t="e">
        <f>IF(INPUTS!$B$15="yes",W267,V267)</f>
        <v>#DIV/0!</v>
      </c>
      <c r="Y267" s="536" t="e">
        <f t="shared" si="55"/>
        <v>#DIV/0!</v>
      </c>
      <c r="Z267" s="537" t="e">
        <f t="shared" si="60"/>
        <v>#DIV/0!</v>
      </c>
      <c r="AA267" s="538" t="e">
        <f>IF(INPUTS!$B$15="yes",Z267,Y267)</f>
        <v>#DIV/0!</v>
      </c>
      <c r="AB267" s="536" t="e">
        <f t="shared" si="56"/>
        <v>#DIV/0!</v>
      </c>
      <c r="AC267" s="537" t="e">
        <f t="shared" si="61"/>
        <v>#DIV/0!</v>
      </c>
      <c r="AD267" s="538" t="e">
        <f>IF(INPUTS!$B$15="yes",AC267,AB267)</f>
        <v>#DIV/0!</v>
      </c>
      <c r="AE267" s="36" t="str">
        <f t="shared" si="62"/>
        <v>no</v>
      </c>
      <c r="AF267" s="36"/>
      <c r="AG267" s="389" t="e">
        <f>P267*('upper bound Kenaga'!$F$36/100)</f>
        <v>#DIV/0!</v>
      </c>
      <c r="AH267" s="36"/>
      <c r="AI267" s="389" t="e">
        <f>P267*('upper bound Kenaga'!$F$96/100)</f>
        <v>#DIV/0!</v>
      </c>
      <c r="AJ267" s="36"/>
      <c r="AK267" s="36"/>
      <c r="AL267" s="36"/>
      <c r="AM267" s="36"/>
      <c r="AN267" s="36"/>
      <c r="AO267" s="36"/>
    </row>
    <row r="268" spans="10:41" s="1" customFormat="1">
      <c r="J268" s="6">
        <f>COUNTIF(K$21:K268,"=yes")</f>
        <v>1</v>
      </c>
      <c r="K268" s="533" t="str">
        <f>IF(LOOKUP(VALUE(M268),INPUTS!$G$6:$G$35)=M268,"yes","no")</f>
        <v>no</v>
      </c>
      <c r="L268" s="533">
        <f>IF(K268="yes",(LOOKUP(J268,INPUTS!$E$6:$E$35,INPUTS!$F$6:$F$35)),0)</f>
        <v>0</v>
      </c>
      <c r="M268" s="135">
        <f t="shared" si="50"/>
        <v>247</v>
      </c>
      <c r="N268" s="135">
        <f t="shared" si="51"/>
        <v>1</v>
      </c>
      <c r="O268" s="135">
        <f t="shared" si="52"/>
        <v>0</v>
      </c>
      <c r="P268" s="536" t="e">
        <f t="shared" si="63"/>
        <v>#DIV/0!</v>
      </c>
      <c r="Q268" s="537" t="e">
        <f t="shared" si="57"/>
        <v>#DIV/0!</v>
      </c>
      <c r="R268" s="538" t="e">
        <f>IF(INPUTS!$B$15="yes",Q268,P268)</f>
        <v>#DIV/0!</v>
      </c>
      <c r="S268" s="536" t="e">
        <f t="shared" si="53"/>
        <v>#DIV/0!</v>
      </c>
      <c r="T268" s="537" t="e">
        <f t="shared" si="58"/>
        <v>#DIV/0!</v>
      </c>
      <c r="U268" s="538" t="e">
        <f>IF(INPUTS!$B$15="yes",T268,S268)</f>
        <v>#DIV/0!</v>
      </c>
      <c r="V268" s="536" t="e">
        <f t="shared" si="54"/>
        <v>#DIV/0!</v>
      </c>
      <c r="W268" s="537" t="e">
        <f t="shared" si="59"/>
        <v>#DIV/0!</v>
      </c>
      <c r="X268" s="538" t="e">
        <f>IF(INPUTS!$B$15="yes",W268,V268)</f>
        <v>#DIV/0!</v>
      </c>
      <c r="Y268" s="536" t="e">
        <f t="shared" si="55"/>
        <v>#DIV/0!</v>
      </c>
      <c r="Z268" s="537" t="e">
        <f t="shared" si="60"/>
        <v>#DIV/0!</v>
      </c>
      <c r="AA268" s="538" t="e">
        <f>IF(INPUTS!$B$15="yes",Z268,Y268)</f>
        <v>#DIV/0!</v>
      </c>
      <c r="AB268" s="536" t="e">
        <f t="shared" si="56"/>
        <v>#DIV/0!</v>
      </c>
      <c r="AC268" s="537" t="e">
        <f t="shared" si="61"/>
        <v>#DIV/0!</v>
      </c>
      <c r="AD268" s="538" t="e">
        <f>IF(INPUTS!$B$15="yes",AC268,AB268)</f>
        <v>#DIV/0!</v>
      </c>
      <c r="AE268" s="36" t="str">
        <f t="shared" si="62"/>
        <v>no</v>
      </c>
      <c r="AF268" s="36"/>
      <c r="AG268" s="389" t="e">
        <f>P268*('upper bound Kenaga'!$F$36/100)</f>
        <v>#DIV/0!</v>
      </c>
      <c r="AH268" s="36"/>
      <c r="AI268" s="389" t="e">
        <f>P268*('upper bound Kenaga'!$F$96/100)</f>
        <v>#DIV/0!</v>
      </c>
      <c r="AJ268" s="36"/>
      <c r="AK268" s="36"/>
      <c r="AL268" s="36"/>
      <c r="AM268" s="36"/>
      <c r="AN268" s="36"/>
      <c r="AO268" s="36"/>
    </row>
    <row r="269" spans="10:41" s="1" customFormat="1">
      <c r="J269" s="6">
        <f>COUNTIF(K$21:K269,"=yes")</f>
        <v>1</v>
      </c>
      <c r="K269" s="533" t="str">
        <f>IF(LOOKUP(VALUE(M269),INPUTS!$G$6:$G$35)=M269,"yes","no")</f>
        <v>no</v>
      </c>
      <c r="L269" s="533">
        <f>IF(K269="yes",(LOOKUP(J269,INPUTS!$E$6:$E$35,INPUTS!$F$6:$F$35)),0)</f>
        <v>0</v>
      </c>
      <c r="M269" s="135">
        <f t="shared" si="50"/>
        <v>248</v>
      </c>
      <c r="N269" s="135">
        <f t="shared" si="51"/>
        <v>1</v>
      </c>
      <c r="O269" s="135">
        <f t="shared" si="52"/>
        <v>0</v>
      </c>
      <c r="P269" s="536" t="e">
        <f t="shared" si="63"/>
        <v>#DIV/0!</v>
      </c>
      <c r="Q269" s="537" t="e">
        <f t="shared" si="57"/>
        <v>#DIV/0!</v>
      </c>
      <c r="R269" s="538" t="e">
        <f>IF(INPUTS!$B$15="yes",Q269,P269)</f>
        <v>#DIV/0!</v>
      </c>
      <c r="S269" s="536" t="e">
        <f t="shared" si="53"/>
        <v>#DIV/0!</v>
      </c>
      <c r="T269" s="537" t="e">
        <f t="shared" si="58"/>
        <v>#DIV/0!</v>
      </c>
      <c r="U269" s="538" t="e">
        <f>IF(INPUTS!$B$15="yes",T269,S269)</f>
        <v>#DIV/0!</v>
      </c>
      <c r="V269" s="536" t="e">
        <f t="shared" si="54"/>
        <v>#DIV/0!</v>
      </c>
      <c r="W269" s="537" t="e">
        <f t="shared" si="59"/>
        <v>#DIV/0!</v>
      </c>
      <c r="X269" s="538" t="e">
        <f>IF(INPUTS!$B$15="yes",W269,V269)</f>
        <v>#DIV/0!</v>
      </c>
      <c r="Y269" s="536" t="e">
        <f t="shared" si="55"/>
        <v>#DIV/0!</v>
      </c>
      <c r="Z269" s="537" t="e">
        <f t="shared" si="60"/>
        <v>#DIV/0!</v>
      </c>
      <c r="AA269" s="538" t="e">
        <f>IF(INPUTS!$B$15="yes",Z269,Y269)</f>
        <v>#DIV/0!</v>
      </c>
      <c r="AB269" s="536" t="e">
        <f t="shared" si="56"/>
        <v>#DIV/0!</v>
      </c>
      <c r="AC269" s="537" t="e">
        <f t="shared" si="61"/>
        <v>#DIV/0!</v>
      </c>
      <c r="AD269" s="538" t="e">
        <f>IF(INPUTS!$B$15="yes",AC269,AB269)</f>
        <v>#DIV/0!</v>
      </c>
      <c r="AE269" s="36" t="str">
        <f t="shared" si="62"/>
        <v>no</v>
      </c>
      <c r="AF269" s="36"/>
      <c r="AG269" s="389" t="e">
        <f>P269*('upper bound Kenaga'!$F$36/100)</f>
        <v>#DIV/0!</v>
      </c>
      <c r="AH269" s="36"/>
      <c r="AI269" s="389" t="e">
        <f>P269*('upper bound Kenaga'!$F$96/100)</f>
        <v>#DIV/0!</v>
      </c>
      <c r="AJ269" s="36"/>
      <c r="AK269" s="36"/>
      <c r="AL269" s="36"/>
      <c r="AM269" s="36"/>
      <c r="AN269" s="36"/>
      <c r="AO269" s="36"/>
    </row>
    <row r="270" spans="10:41" s="1" customFormat="1">
      <c r="J270" s="6">
        <f>COUNTIF(K$21:K270,"=yes")</f>
        <v>1</v>
      </c>
      <c r="K270" s="533" t="str">
        <f>IF(LOOKUP(VALUE(M270),INPUTS!$G$6:$G$35)=M270,"yes","no")</f>
        <v>no</v>
      </c>
      <c r="L270" s="533">
        <f>IF(K270="yes",(LOOKUP(J270,INPUTS!$E$6:$E$35,INPUTS!$F$6:$F$35)),0)</f>
        <v>0</v>
      </c>
      <c r="M270" s="135">
        <f t="shared" si="50"/>
        <v>249</v>
      </c>
      <c r="N270" s="135">
        <f t="shared" si="51"/>
        <v>1</v>
      </c>
      <c r="O270" s="135">
        <f t="shared" si="52"/>
        <v>0</v>
      </c>
      <c r="P270" s="536" t="e">
        <f t="shared" si="63"/>
        <v>#DIV/0!</v>
      </c>
      <c r="Q270" s="537" t="e">
        <f t="shared" si="57"/>
        <v>#DIV/0!</v>
      </c>
      <c r="R270" s="538" t="e">
        <f>IF(INPUTS!$B$15="yes",Q270,P270)</f>
        <v>#DIV/0!</v>
      </c>
      <c r="S270" s="536" t="e">
        <f t="shared" si="53"/>
        <v>#DIV/0!</v>
      </c>
      <c r="T270" s="537" t="e">
        <f t="shared" si="58"/>
        <v>#DIV/0!</v>
      </c>
      <c r="U270" s="538" t="e">
        <f>IF(INPUTS!$B$15="yes",T270,S270)</f>
        <v>#DIV/0!</v>
      </c>
      <c r="V270" s="536" t="e">
        <f t="shared" si="54"/>
        <v>#DIV/0!</v>
      </c>
      <c r="W270" s="537" t="e">
        <f t="shared" si="59"/>
        <v>#DIV/0!</v>
      </c>
      <c r="X270" s="538" t="e">
        <f>IF(INPUTS!$B$15="yes",W270,V270)</f>
        <v>#DIV/0!</v>
      </c>
      <c r="Y270" s="536" t="e">
        <f t="shared" si="55"/>
        <v>#DIV/0!</v>
      </c>
      <c r="Z270" s="537" t="e">
        <f t="shared" si="60"/>
        <v>#DIV/0!</v>
      </c>
      <c r="AA270" s="538" t="e">
        <f>IF(INPUTS!$B$15="yes",Z270,Y270)</f>
        <v>#DIV/0!</v>
      </c>
      <c r="AB270" s="536" t="e">
        <f t="shared" si="56"/>
        <v>#DIV/0!</v>
      </c>
      <c r="AC270" s="537" t="e">
        <f t="shared" si="61"/>
        <v>#DIV/0!</v>
      </c>
      <c r="AD270" s="538" t="e">
        <f>IF(INPUTS!$B$15="yes",AC270,AB270)</f>
        <v>#DIV/0!</v>
      </c>
      <c r="AE270" s="36" t="str">
        <f t="shared" si="62"/>
        <v>no</v>
      </c>
      <c r="AF270" s="36"/>
      <c r="AG270" s="389" t="e">
        <f>P270*('upper bound Kenaga'!$F$36/100)</f>
        <v>#DIV/0!</v>
      </c>
      <c r="AH270" s="36"/>
      <c r="AI270" s="389" t="e">
        <f>P270*('upper bound Kenaga'!$F$96/100)</f>
        <v>#DIV/0!</v>
      </c>
      <c r="AJ270" s="36"/>
      <c r="AK270" s="36"/>
      <c r="AL270" s="36"/>
      <c r="AM270" s="36"/>
      <c r="AN270" s="36"/>
      <c r="AO270" s="36"/>
    </row>
    <row r="271" spans="10:41" s="1" customFormat="1">
      <c r="J271" s="6">
        <f>COUNTIF(K$21:K271,"=yes")</f>
        <v>1</v>
      </c>
      <c r="K271" s="533" t="str">
        <f>IF(LOOKUP(VALUE(M271),INPUTS!$G$6:$G$35)=M271,"yes","no")</f>
        <v>no</v>
      </c>
      <c r="L271" s="533">
        <f>IF(K271="yes",(LOOKUP(J271,INPUTS!$E$6:$E$35,INPUTS!$F$6:$F$35)),0)</f>
        <v>0</v>
      </c>
      <c r="M271" s="135">
        <f t="shared" si="50"/>
        <v>250</v>
      </c>
      <c r="N271" s="135">
        <f t="shared" si="51"/>
        <v>1</v>
      </c>
      <c r="O271" s="135">
        <f t="shared" si="52"/>
        <v>0</v>
      </c>
      <c r="P271" s="536" t="e">
        <f t="shared" si="63"/>
        <v>#DIV/0!</v>
      </c>
      <c r="Q271" s="537" t="e">
        <f t="shared" si="57"/>
        <v>#DIV/0!</v>
      </c>
      <c r="R271" s="538" t="e">
        <f>IF(INPUTS!$B$15="yes",Q271,P271)</f>
        <v>#DIV/0!</v>
      </c>
      <c r="S271" s="536" t="e">
        <f t="shared" si="53"/>
        <v>#DIV/0!</v>
      </c>
      <c r="T271" s="537" t="e">
        <f t="shared" si="58"/>
        <v>#DIV/0!</v>
      </c>
      <c r="U271" s="538" t="e">
        <f>IF(INPUTS!$B$15="yes",T271,S271)</f>
        <v>#DIV/0!</v>
      </c>
      <c r="V271" s="536" t="e">
        <f t="shared" si="54"/>
        <v>#DIV/0!</v>
      </c>
      <c r="W271" s="537" t="e">
        <f t="shared" si="59"/>
        <v>#DIV/0!</v>
      </c>
      <c r="X271" s="538" t="e">
        <f>IF(INPUTS!$B$15="yes",W271,V271)</f>
        <v>#DIV/0!</v>
      </c>
      <c r="Y271" s="536" t="e">
        <f t="shared" si="55"/>
        <v>#DIV/0!</v>
      </c>
      <c r="Z271" s="537" t="e">
        <f t="shared" si="60"/>
        <v>#DIV/0!</v>
      </c>
      <c r="AA271" s="538" t="e">
        <f>IF(INPUTS!$B$15="yes",Z271,Y271)</f>
        <v>#DIV/0!</v>
      </c>
      <c r="AB271" s="536" t="e">
        <f t="shared" si="56"/>
        <v>#DIV/0!</v>
      </c>
      <c r="AC271" s="537" t="e">
        <f t="shared" si="61"/>
        <v>#DIV/0!</v>
      </c>
      <c r="AD271" s="538" t="e">
        <f>IF(INPUTS!$B$15="yes",AC271,AB271)</f>
        <v>#DIV/0!</v>
      </c>
      <c r="AE271" s="36" t="str">
        <f t="shared" si="62"/>
        <v>no</v>
      </c>
      <c r="AF271" s="36"/>
      <c r="AG271" s="389" t="e">
        <f>P271*('upper bound Kenaga'!$F$36/100)</f>
        <v>#DIV/0!</v>
      </c>
      <c r="AH271" s="36"/>
      <c r="AI271" s="389" t="e">
        <f>P271*('upper bound Kenaga'!$F$96/100)</f>
        <v>#DIV/0!</v>
      </c>
      <c r="AJ271" s="36"/>
      <c r="AK271" s="36"/>
      <c r="AL271" s="36"/>
      <c r="AM271" s="36"/>
      <c r="AN271" s="36"/>
      <c r="AO271" s="36"/>
    </row>
    <row r="272" spans="10:41" s="1" customFormat="1">
      <c r="J272" s="6">
        <f>COUNTIF(K$21:K272,"=yes")</f>
        <v>1</v>
      </c>
      <c r="K272" s="533" t="str">
        <f>IF(LOOKUP(VALUE(M272),INPUTS!$G$6:$G$35)=M272,"yes","no")</f>
        <v>no</v>
      </c>
      <c r="L272" s="533">
        <f>IF(K272="yes",(LOOKUP(J272,INPUTS!$E$6:$E$35,INPUTS!$F$6:$F$35)),0)</f>
        <v>0</v>
      </c>
      <c r="M272" s="135">
        <f t="shared" si="50"/>
        <v>251</v>
      </c>
      <c r="N272" s="135">
        <f t="shared" si="51"/>
        <v>1</v>
      </c>
      <c r="O272" s="135">
        <f t="shared" si="52"/>
        <v>0</v>
      </c>
      <c r="P272" s="536" t="e">
        <f t="shared" si="63"/>
        <v>#DIV/0!</v>
      </c>
      <c r="Q272" s="537" t="e">
        <f t="shared" si="57"/>
        <v>#DIV/0!</v>
      </c>
      <c r="R272" s="538" t="e">
        <f>IF(INPUTS!$B$15="yes",Q272,P272)</f>
        <v>#DIV/0!</v>
      </c>
      <c r="S272" s="536" t="e">
        <f t="shared" si="53"/>
        <v>#DIV/0!</v>
      </c>
      <c r="T272" s="537" t="e">
        <f t="shared" si="58"/>
        <v>#DIV/0!</v>
      </c>
      <c r="U272" s="538" t="e">
        <f>IF(INPUTS!$B$15="yes",T272,S272)</f>
        <v>#DIV/0!</v>
      </c>
      <c r="V272" s="536" t="e">
        <f t="shared" si="54"/>
        <v>#DIV/0!</v>
      </c>
      <c r="W272" s="537" t="e">
        <f t="shared" si="59"/>
        <v>#DIV/0!</v>
      </c>
      <c r="X272" s="538" t="e">
        <f>IF(INPUTS!$B$15="yes",W272,V272)</f>
        <v>#DIV/0!</v>
      </c>
      <c r="Y272" s="536" t="e">
        <f t="shared" si="55"/>
        <v>#DIV/0!</v>
      </c>
      <c r="Z272" s="537" t="e">
        <f t="shared" si="60"/>
        <v>#DIV/0!</v>
      </c>
      <c r="AA272" s="538" t="e">
        <f>IF(INPUTS!$B$15="yes",Z272,Y272)</f>
        <v>#DIV/0!</v>
      </c>
      <c r="AB272" s="536" t="e">
        <f t="shared" si="56"/>
        <v>#DIV/0!</v>
      </c>
      <c r="AC272" s="537" t="e">
        <f t="shared" si="61"/>
        <v>#DIV/0!</v>
      </c>
      <c r="AD272" s="538" t="e">
        <f>IF(INPUTS!$B$15="yes",AC272,AB272)</f>
        <v>#DIV/0!</v>
      </c>
      <c r="AE272" s="36" t="str">
        <f t="shared" si="62"/>
        <v>no</v>
      </c>
      <c r="AF272" s="36"/>
      <c r="AG272" s="389" t="e">
        <f>P272*('upper bound Kenaga'!$F$36/100)</f>
        <v>#DIV/0!</v>
      </c>
      <c r="AH272" s="36"/>
      <c r="AI272" s="389" t="e">
        <f>P272*('upper bound Kenaga'!$F$96/100)</f>
        <v>#DIV/0!</v>
      </c>
      <c r="AJ272" s="36"/>
      <c r="AK272" s="36"/>
      <c r="AL272" s="36"/>
      <c r="AM272" s="36"/>
      <c r="AN272" s="36"/>
      <c r="AO272" s="36"/>
    </row>
    <row r="273" spans="10:41" s="1" customFormat="1">
      <c r="J273" s="6">
        <f>COUNTIF(K$21:K273,"=yes")</f>
        <v>1</v>
      </c>
      <c r="K273" s="533" t="str">
        <f>IF(LOOKUP(VALUE(M273),INPUTS!$G$6:$G$35)=M273,"yes","no")</f>
        <v>no</v>
      </c>
      <c r="L273" s="533">
        <f>IF(K273="yes",(LOOKUP(J273,INPUTS!$E$6:$E$35,INPUTS!$F$6:$F$35)),0)</f>
        <v>0</v>
      </c>
      <c r="M273" s="135">
        <f t="shared" si="50"/>
        <v>252</v>
      </c>
      <c r="N273" s="135">
        <f t="shared" si="51"/>
        <v>1</v>
      </c>
      <c r="O273" s="135">
        <f t="shared" si="52"/>
        <v>0</v>
      </c>
      <c r="P273" s="536" t="e">
        <f t="shared" si="63"/>
        <v>#DIV/0!</v>
      </c>
      <c r="Q273" s="537" t="e">
        <f t="shared" si="57"/>
        <v>#DIV/0!</v>
      </c>
      <c r="R273" s="538" t="e">
        <f>IF(INPUTS!$B$15="yes",Q273,P273)</f>
        <v>#DIV/0!</v>
      </c>
      <c r="S273" s="536" t="e">
        <f t="shared" si="53"/>
        <v>#DIV/0!</v>
      </c>
      <c r="T273" s="537" t="e">
        <f t="shared" si="58"/>
        <v>#DIV/0!</v>
      </c>
      <c r="U273" s="538" t="e">
        <f>IF(INPUTS!$B$15="yes",T273,S273)</f>
        <v>#DIV/0!</v>
      </c>
      <c r="V273" s="536" t="e">
        <f t="shared" si="54"/>
        <v>#DIV/0!</v>
      </c>
      <c r="W273" s="537" t="e">
        <f t="shared" si="59"/>
        <v>#DIV/0!</v>
      </c>
      <c r="X273" s="538" t="e">
        <f>IF(INPUTS!$B$15="yes",W273,V273)</f>
        <v>#DIV/0!</v>
      </c>
      <c r="Y273" s="536" t="e">
        <f t="shared" si="55"/>
        <v>#DIV/0!</v>
      </c>
      <c r="Z273" s="537" t="e">
        <f t="shared" si="60"/>
        <v>#DIV/0!</v>
      </c>
      <c r="AA273" s="538" t="e">
        <f>IF(INPUTS!$B$15="yes",Z273,Y273)</f>
        <v>#DIV/0!</v>
      </c>
      <c r="AB273" s="536" t="e">
        <f t="shared" si="56"/>
        <v>#DIV/0!</v>
      </c>
      <c r="AC273" s="537" t="e">
        <f t="shared" si="61"/>
        <v>#DIV/0!</v>
      </c>
      <c r="AD273" s="538" t="e">
        <f>IF(INPUTS!$B$15="yes",AC273,AB273)</f>
        <v>#DIV/0!</v>
      </c>
      <c r="AE273" s="36" t="str">
        <f t="shared" si="62"/>
        <v>no</v>
      </c>
      <c r="AF273" s="36"/>
      <c r="AG273" s="389" t="e">
        <f>P273*('upper bound Kenaga'!$F$36/100)</f>
        <v>#DIV/0!</v>
      </c>
      <c r="AH273" s="36"/>
      <c r="AI273" s="389" t="e">
        <f>P273*('upper bound Kenaga'!$F$96/100)</f>
        <v>#DIV/0!</v>
      </c>
      <c r="AJ273" s="36"/>
      <c r="AK273" s="36"/>
      <c r="AL273" s="36"/>
      <c r="AM273" s="36"/>
      <c r="AN273" s="36"/>
      <c r="AO273" s="36"/>
    </row>
    <row r="274" spans="10:41" s="1" customFormat="1">
      <c r="J274" s="6">
        <f>COUNTIF(K$21:K274,"=yes")</f>
        <v>1</v>
      </c>
      <c r="K274" s="533" t="str">
        <f>IF(LOOKUP(VALUE(M274),INPUTS!$G$6:$G$35)=M274,"yes","no")</f>
        <v>no</v>
      </c>
      <c r="L274" s="533">
        <f>IF(K274="yes",(LOOKUP(J274,INPUTS!$E$6:$E$35,INPUTS!$F$6:$F$35)),0)</f>
        <v>0</v>
      </c>
      <c r="M274" s="135">
        <f t="shared" si="50"/>
        <v>253</v>
      </c>
      <c r="N274" s="135">
        <f t="shared" si="51"/>
        <v>1</v>
      </c>
      <c r="O274" s="135">
        <f t="shared" si="52"/>
        <v>0</v>
      </c>
      <c r="P274" s="536" t="e">
        <f t="shared" si="63"/>
        <v>#DIV/0!</v>
      </c>
      <c r="Q274" s="537" t="e">
        <f t="shared" si="57"/>
        <v>#DIV/0!</v>
      </c>
      <c r="R274" s="538" t="e">
        <f>IF(INPUTS!$B$15="yes",Q274,P274)</f>
        <v>#DIV/0!</v>
      </c>
      <c r="S274" s="536" t="e">
        <f t="shared" si="53"/>
        <v>#DIV/0!</v>
      </c>
      <c r="T274" s="537" t="e">
        <f t="shared" si="58"/>
        <v>#DIV/0!</v>
      </c>
      <c r="U274" s="538" t="e">
        <f>IF(INPUTS!$B$15="yes",T274,S274)</f>
        <v>#DIV/0!</v>
      </c>
      <c r="V274" s="536" t="e">
        <f t="shared" si="54"/>
        <v>#DIV/0!</v>
      </c>
      <c r="W274" s="537" t="e">
        <f t="shared" si="59"/>
        <v>#DIV/0!</v>
      </c>
      <c r="X274" s="538" t="e">
        <f>IF(INPUTS!$B$15="yes",W274,V274)</f>
        <v>#DIV/0!</v>
      </c>
      <c r="Y274" s="536" t="e">
        <f t="shared" si="55"/>
        <v>#DIV/0!</v>
      </c>
      <c r="Z274" s="537" t="e">
        <f t="shared" si="60"/>
        <v>#DIV/0!</v>
      </c>
      <c r="AA274" s="538" t="e">
        <f>IF(INPUTS!$B$15="yes",Z274,Y274)</f>
        <v>#DIV/0!</v>
      </c>
      <c r="AB274" s="536" t="e">
        <f t="shared" si="56"/>
        <v>#DIV/0!</v>
      </c>
      <c r="AC274" s="537" t="e">
        <f t="shared" si="61"/>
        <v>#DIV/0!</v>
      </c>
      <c r="AD274" s="538" t="e">
        <f>IF(INPUTS!$B$15="yes",AC274,AB274)</f>
        <v>#DIV/0!</v>
      </c>
      <c r="AE274" s="36" t="str">
        <f t="shared" si="62"/>
        <v>no</v>
      </c>
      <c r="AF274" s="36"/>
      <c r="AG274" s="389" t="e">
        <f>P274*('upper bound Kenaga'!$F$36/100)</f>
        <v>#DIV/0!</v>
      </c>
      <c r="AH274" s="36"/>
      <c r="AI274" s="389" t="e">
        <f>P274*('upper bound Kenaga'!$F$96/100)</f>
        <v>#DIV/0!</v>
      </c>
      <c r="AJ274" s="36"/>
      <c r="AK274" s="36"/>
      <c r="AL274" s="36"/>
      <c r="AM274" s="36"/>
      <c r="AN274" s="36"/>
      <c r="AO274" s="36"/>
    </row>
    <row r="275" spans="10:41" s="1" customFormat="1">
      <c r="J275" s="6">
        <f>COUNTIF(K$21:K275,"=yes")</f>
        <v>1</v>
      </c>
      <c r="K275" s="533" t="str">
        <f>IF(LOOKUP(VALUE(M275),INPUTS!$G$6:$G$35)=M275,"yes","no")</f>
        <v>no</v>
      </c>
      <c r="L275" s="533">
        <f>IF(K275="yes",(LOOKUP(J275,INPUTS!$E$6:$E$35,INPUTS!$F$6:$F$35)),0)</f>
        <v>0</v>
      </c>
      <c r="M275" s="135">
        <f t="shared" si="50"/>
        <v>254</v>
      </c>
      <c r="N275" s="135">
        <f t="shared" si="51"/>
        <v>1</v>
      </c>
      <c r="O275" s="135">
        <f t="shared" si="52"/>
        <v>0</v>
      </c>
      <c r="P275" s="536" t="e">
        <f t="shared" si="63"/>
        <v>#DIV/0!</v>
      </c>
      <c r="Q275" s="537" t="e">
        <f t="shared" si="57"/>
        <v>#DIV/0!</v>
      </c>
      <c r="R275" s="538" t="e">
        <f>IF(INPUTS!$B$15="yes",Q275,P275)</f>
        <v>#DIV/0!</v>
      </c>
      <c r="S275" s="536" t="e">
        <f t="shared" si="53"/>
        <v>#DIV/0!</v>
      </c>
      <c r="T275" s="537" t="e">
        <f t="shared" si="58"/>
        <v>#DIV/0!</v>
      </c>
      <c r="U275" s="538" t="e">
        <f>IF(INPUTS!$B$15="yes",T275,S275)</f>
        <v>#DIV/0!</v>
      </c>
      <c r="V275" s="536" t="e">
        <f t="shared" si="54"/>
        <v>#DIV/0!</v>
      </c>
      <c r="W275" s="537" t="e">
        <f t="shared" si="59"/>
        <v>#DIV/0!</v>
      </c>
      <c r="X275" s="538" t="e">
        <f>IF(INPUTS!$B$15="yes",W275,V275)</f>
        <v>#DIV/0!</v>
      </c>
      <c r="Y275" s="536" t="e">
        <f t="shared" si="55"/>
        <v>#DIV/0!</v>
      </c>
      <c r="Z275" s="537" t="e">
        <f t="shared" si="60"/>
        <v>#DIV/0!</v>
      </c>
      <c r="AA275" s="538" t="e">
        <f>IF(INPUTS!$B$15="yes",Z275,Y275)</f>
        <v>#DIV/0!</v>
      </c>
      <c r="AB275" s="536" t="e">
        <f t="shared" si="56"/>
        <v>#DIV/0!</v>
      </c>
      <c r="AC275" s="537" t="e">
        <f t="shared" si="61"/>
        <v>#DIV/0!</v>
      </c>
      <c r="AD275" s="538" t="e">
        <f>IF(INPUTS!$B$15="yes",AC275,AB275)</f>
        <v>#DIV/0!</v>
      </c>
      <c r="AE275" s="36" t="str">
        <f t="shared" si="62"/>
        <v>no</v>
      </c>
      <c r="AF275" s="36"/>
      <c r="AG275" s="389" t="e">
        <f>P275*('upper bound Kenaga'!$F$36/100)</f>
        <v>#DIV/0!</v>
      </c>
      <c r="AH275" s="36"/>
      <c r="AI275" s="389" t="e">
        <f>P275*('upper bound Kenaga'!$F$96/100)</f>
        <v>#DIV/0!</v>
      </c>
      <c r="AJ275" s="36"/>
      <c r="AK275" s="36"/>
      <c r="AL275" s="36"/>
      <c r="AM275" s="36"/>
      <c r="AN275" s="36"/>
      <c r="AO275" s="36"/>
    </row>
    <row r="276" spans="10:41" s="1" customFormat="1">
      <c r="J276" s="6">
        <f>COUNTIF(K$21:K276,"=yes")</f>
        <v>1</v>
      </c>
      <c r="K276" s="533" t="str">
        <f>IF(LOOKUP(VALUE(M276),INPUTS!$G$6:$G$35)=M276,"yes","no")</f>
        <v>no</v>
      </c>
      <c r="L276" s="533">
        <f>IF(K276="yes",(LOOKUP(J276,INPUTS!$E$6:$E$35,INPUTS!$F$6:$F$35)),0)</f>
        <v>0</v>
      </c>
      <c r="M276" s="135">
        <f t="shared" si="50"/>
        <v>255</v>
      </c>
      <c r="N276" s="135">
        <f t="shared" si="51"/>
        <v>1</v>
      </c>
      <c r="O276" s="135">
        <f t="shared" si="52"/>
        <v>0</v>
      </c>
      <c r="P276" s="536" t="e">
        <f t="shared" si="63"/>
        <v>#DIV/0!</v>
      </c>
      <c r="Q276" s="537" t="e">
        <f t="shared" si="57"/>
        <v>#DIV/0!</v>
      </c>
      <c r="R276" s="538" t="e">
        <f>IF(INPUTS!$B$15="yes",Q276,P276)</f>
        <v>#DIV/0!</v>
      </c>
      <c r="S276" s="536" t="e">
        <f t="shared" si="53"/>
        <v>#DIV/0!</v>
      </c>
      <c r="T276" s="537" t="e">
        <f t="shared" si="58"/>
        <v>#DIV/0!</v>
      </c>
      <c r="U276" s="538" t="e">
        <f>IF(INPUTS!$B$15="yes",T276,S276)</f>
        <v>#DIV/0!</v>
      </c>
      <c r="V276" s="536" t="e">
        <f t="shared" si="54"/>
        <v>#DIV/0!</v>
      </c>
      <c r="W276" s="537" t="e">
        <f t="shared" si="59"/>
        <v>#DIV/0!</v>
      </c>
      <c r="X276" s="538" t="e">
        <f>IF(INPUTS!$B$15="yes",W276,V276)</f>
        <v>#DIV/0!</v>
      </c>
      <c r="Y276" s="536" t="e">
        <f t="shared" si="55"/>
        <v>#DIV/0!</v>
      </c>
      <c r="Z276" s="537" t="e">
        <f t="shared" si="60"/>
        <v>#DIV/0!</v>
      </c>
      <c r="AA276" s="538" t="e">
        <f>IF(INPUTS!$B$15="yes",Z276,Y276)</f>
        <v>#DIV/0!</v>
      </c>
      <c r="AB276" s="536" t="e">
        <f t="shared" si="56"/>
        <v>#DIV/0!</v>
      </c>
      <c r="AC276" s="537" t="e">
        <f t="shared" si="61"/>
        <v>#DIV/0!</v>
      </c>
      <c r="AD276" s="538" t="e">
        <f>IF(INPUTS!$B$15="yes",AC276,AB276)</f>
        <v>#DIV/0!</v>
      </c>
      <c r="AE276" s="36" t="str">
        <f t="shared" si="62"/>
        <v>no</v>
      </c>
      <c r="AF276" s="36"/>
      <c r="AG276" s="389" t="e">
        <f>P276*('upper bound Kenaga'!$F$36/100)</f>
        <v>#DIV/0!</v>
      </c>
      <c r="AH276" s="36"/>
      <c r="AI276" s="389" t="e">
        <f>P276*('upper bound Kenaga'!$F$96/100)</f>
        <v>#DIV/0!</v>
      </c>
      <c r="AJ276" s="36"/>
      <c r="AK276" s="36"/>
      <c r="AL276" s="36"/>
      <c r="AM276" s="36"/>
      <c r="AN276" s="36"/>
      <c r="AO276" s="36"/>
    </row>
    <row r="277" spans="10:41" s="1" customFormat="1">
      <c r="J277" s="6">
        <f>COUNTIF(K$21:K277,"=yes")</f>
        <v>1</v>
      </c>
      <c r="K277" s="533" t="str">
        <f>IF(LOOKUP(VALUE(M277),INPUTS!$G$6:$G$35)=M277,"yes","no")</f>
        <v>no</v>
      </c>
      <c r="L277" s="533">
        <f>IF(K277="yes",(LOOKUP(J277,INPUTS!$E$6:$E$35,INPUTS!$F$6:$F$35)),0)</f>
        <v>0</v>
      </c>
      <c r="M277" s="135">
        <f t="shared" si="50"/>
        <v>256</v>
      </c>
      <c r="N277" s="135">
        <f t="shared" si="51"/>
        <v>1</v>
      </c>
      <c r="O277" s="135">
        <f t="shared" si="52"/>
        <v>0</v>
      </c>
      <c r="P277" s="536" t="e">
        <f t="shared" si="63"/>
        <v>#DIV/0!</v>
      </c>
      <c r="Q277" s="537" t="e">
        <f t="shared" si="57"/>
        <v>#DIV/0!</v>
      </c>
      <c r="R277" s="538" t="e">
        <f>IF(INPUTS!$B$15="yes",Q277,P277)</f>
        <v>#DIV/0!</v>
      </c>
      <c r="S277" s="536" t="e">
        <f t="shared" si="53"/>
        <v>#DIV/0!</v>
      </c>
      <c r="T277" s="537" t="e">
        <f t="shared" si="58"/>
        <v>#DIV/0!</v>
      </c>
      <c r="U277" s="538" t="e">
        <f>IF(INPUTS!$B$15="yes",T277,S277)</f>
        <v>#DIV/0!</v>
      </c>
      <c r="V277" s="536" t="e">
        <f t="shared" si="54"/>
        <v>#DIV/0!</v>
      </c>
      <c r="W277" s="537" t="e">
        <f t="shared" si="59"/>
        <v>#DIV/0!</v>
      </c>
      <c r="X277" s="538" t="e">
        <f>IF(INPUTS!$B$15="yes",W277,V277)</f>
        <v>#DIV/0!</v>
      </c>
      <c r="Y277" s="536" t="e">
        <f t="shared" si="55"/>
        <v>#DIV/0!</v>
      </c>
      <c r="Z277" s="537" t="e">
        <f t="shared" si="60"/>
        <v>#DIV/0!</v>
      </c>
      <c r="AA277" s="538" t="e">
        <f>IF(INPUTS!$B$15="yes",Z277,Y277)</f>
        <v>#DIV/0!</v>
      </c>
      <c r="AB277" s="536" t="e">
        <f t="shared" si="56"/>
        <v>#DIV/0!</v>
      </c>
      <c r="AC277" s="537" t="e">
        <f t="shared" si="61"/>
        <v>#DIV/0!</v>
      </c>
      <c r="AD277" s="538" t="e">
        <f>IF(INPUTS!$B$15="yes",AC277,AB277)</f>
        <v>#DIV/0!</v>
      </c>
      <c r="AE277" s="36" t="str">
        <f t="shared" si="62"/>
        <v>no</v>
      </c>
      <c r="AF277" s="36"/>
      <c r="AG277" s="389" t="e">
        <f>P277*('upper bound Kenaga'!$F$36/100)</f>
        <v>#DIV/0!</v>
      </c>
      <c r="AH277" s="36"/>
      <c r="AI277" s="389" t="e">
        <f>P277*('upper bound Kenaga'!$F$96/100)</f>
        <v>#DIV/0!</v>
      </c>
      <c r="AJ277" s="36"/>
      <c r="AK277" s="36"/>
      <c r="AL277" s="36"/>
      <c r="AM277" s="36"/>
      <c r="AN277" s="36"/>
      <c r="AO277" s="36"/>
    </row>
    <row r="278" spans="10:41" s="1" customFormat="1">
      <c r="J278" s="6">
        <f>COUNTIF(K$21:K278,"=yes")</f>
        <v>1</v>
      </c>
      <c r="K278" s="533" t="str">
        <f>IF(LOOKUP(VALUE(M278),INPUTS!$G$6:$G$35)=M278,"yes","no")</f>
        <v>no</v>
      </c>
      <c r="L278" s="533">
        <f>IF(K278="yes",(LOOKUP(J278,INPUTS!$E$6:$E$35,INPUTS!$F$6:$F$35)),0)</f>
        <v>0</v>
      </c>
      <c r="M278" s="135">
        <f t="shared" ref="M278:M341" si="64">(M277+1)</f>
        <v>257</v>
      </c>
      <c r="N278" s="135">
        <f t="shared" ref="N278:N341" si="65">IF($B$9&gt;N277,IF(O277=($B$8-1),(N277+1),(N277)),(N277))</f>
        <v>1</v>
      </c>
      <c r="O278" s="135">
        <f t="shared" ref="O278:O341" si="66">IF(O277&lt;($B$8-1),(1+O277),0)</f>
        <v>0</v>
      </c>
      <c r="P278" s="536" t="e">
        <f t="shared" si="63"/>
        <v>#DIV/0!</v>
      </c>
      <c r="Q278" s="537" t="e">
        <f t="shared" si="57"/>
        <v>#DIV/0!</v>
      </c>
      <c r="R278" s="538" t="e">
        <f>IF(INPUTS!$B$15="yes",Q278,P278)</f>
        <v>#DIV/0!</v>
      </c>
      <c r="S278" s="536" t="e">
        <f t="shared" ref="S278:S341" si="67">IF(($N278&gt;$N277),(EXP(-$R$16)*(S277)+$R$12),((EXP(-$R$16)*(S277))))</f>
        <v>#DIV/0!</v>
      </c>
      <c r="T278" s="537" t="e">
        <f t="shared" si="58"/>
        <v>#DIV/0!</v>
      </c>
      <c r="U278" s="538" t="e">
        <f>IF(INPUTS!$B$15="yes",T278,S278)</f>
        <v>#DIV/0!</v>
      </c>
      <c r="V278" s="536" t="e">
        <f t="shared" ref="V278:V341" si="68">IF(($N278&gt;$N277),(EXP(-$R$16)*(V277)+$R$13),((EXP(-$R$16)*(V277))))</f>
        <v>#DIV/0!</v>
      </c>
      <c r="W278" s="537" t="e">
        <f t="shared" si="59"/>
        <v>#DIV/0!</v>
      </c>
      <c r="X278" s="538" t="e">
        <f>IF(INPUTS!$B$15="yes",W278,V278)</f>
        <v>#DIV/0!</v>
      </c>
      <c r="Y278" s="536" t="e">
        <f t="shared" ref="Y278:Y341" si="69">IF(($N278&gt;$N277),(EXP(-$R$16)*(Y277)+$R$14),((EXP(-$R$16)*(Y277))))</f>
        <v>#DIV/0!</v>
      </c>
      <c r="Z278" s="537" t="e">
        <f t="shared" si="60"/>
        <v>#DIV/0!</v>
      </c>
      <c r="AA278" s="538" t="e">
        <f>IF(INPUTS!$B$15="yes",Z278,Y278)</f>
        <v>#DIV/0!</v>
      </c>
      <c r="AB278" s="536" t="e">
        <f t="shared" ref="AB278:AB341" si="70">IF(($N278&gt;$N277),(EXP(-$R$16)*(AB277)+$R$15),((EXP(-$R$16)*(AB277))))</f>
        <v>#DIV/0!</v>
      </c>
      <c r="AC278" s="537" t="e">
        <f t="shared" si="61"/>
        <v>#DIV/0!</v>
      </c>
      <c r="AD278" s="538" t="e">
        <f>IF(INPUTS!$B$15="yes",AC278,AB278)</f>
        <v>#DIV/0!</v>
      </c>
      <c r="AE278" s="36" t="str">
        <f t="shared" si="62"/>
        <v>no</v>
      </c>
      <c r="AF278" s="36"/>
      <c r="AG278" s="389" t="e">
        <f>P278*('upper bound Kenaga'!$F$36/100)</f>
        <v>#DIV/0!</v>
      </c>
      <c r="AH278" s="36"/>
      <c r="AI278" s="389" t="e">
        <f>P278*('upper bound Kenaga'!$F$96/100)</f>
        <v>#DIV/0!</v>
      </c>
      <c r="AJ278" s="36"/>
      <c r="AK278" s="36"/>
      <c r="AL278" s="36"/>
      <c r="AM278" s="36"/>
      <c r="AN278" s="36"/>
      <c r="AO278" s="36"/>
    </row>
    <row r="279" spans="10:41" s="1" customFormat="1">
      <c r="J279" s="6">
        <f>COUNTIF(K$21:K279,"=yes")</f>
        <v>1</v>
      </c>
      <c r="K279" s="533" t="str">
        <f>IF(LOOKUP(VALUE(M279),INPUTS!$G$6:$G$35)=M279,"yes","no")</f>
        <v>no</v>
      </c>
      <c r="L279" s="533">
        <f>IF(K279="yes",(LOOKUP(J279,INPUTS!$E$6:$E$35,INPUTS!$F$6:$F$35)),0)</f>
        <v>0</v>
      </c>
      <c r="M279" s="135">
        <f t="shared" si="64"/>
        <v>258</v>
      </c>
      <c r="N279" s="135">
        <f t="shared" si="65"/>
        <v>1</v>
      </c>
      <c r="O279" s="135">
        <f t="shared" si="66"/>
        <v>0</v>
      </c>
      <c r="P279" s="536" t="e">
        <f t="shared" si="63"/>
        <v>#DIV/0!</v>
      </c>
      <c r="Q279" s="537" t="e">
        <f t="shared" ref="Q279:Q342" si="71">IF($K279="yes",(EXP(-$R$16)*(Q278)+(Q$11*$L279)),((EXP(-$R$16)*(Q278))))</f>
        <v>#DIV/0!</v>
      </c>
      <c r="R279" s="538" t="e">
        <f>IF(INPUTS!$B$15="yes",Q279,P279)</f>
        <v>#DIV/0!</v>
      </c>
      <c r="S279" s="536" t="e">
        <f t="shared" si="67"/>
        <v>#DIV/0!</v>
      </c>
      <c r="T279" s="537" t="e">
        <f t="shared" ref="T279:T342" si="72">IF($K279="yes",(EXP(-$R$16)*(T278)+(Q$12*$L279)),((EXP(-$R$16)*(T278))))</f>
        <v>#DIV/0!</v>
      </c>
      <c r="U279" s="538" t="e">
        <f>IF(INPUTS!$B$15="yes",T279,S279)</f>
        <v>#DIV/0!</v>
      </c>
      <c r="V279" s="536" t="e">
        <f t="shared" si="68"/>
        <v>#DIV/0!</v>
      </c>
      <c r="W279" s="537" t="e">
        <f t="shared" ref="W279:W342" si="73">IF($K279="yes",(EXP(-$R$16)*(W278)+(Q$13*$L279)),((EXP(-$R$16)*(W278))))</f>
        <v>#DIV/0!</v>
      </c>
      <c r="X279" s="538" t="e">
        <f>IF(INPUTS!$B$15="yes",W279,V279)</f>
        <v>#DIV/0!</v>
      </c>
      <c r="Y279" s="536" t="e">
        <f t="shared" si="69"/>
        <v>#DIV/0!</v>
      </c>
      <c r="Z279" s="537" t="e">
        <f t="shared" ref="Z279:Z342" si="74">IF($K279="yes",(EXP(-$R$16)*(Z278)+(Q$14*$L279)),((EXP(-$R$16)*(Z278))))</f>
        <v>#DIV/0!</v>
      </c>
      <c r="AA279" s="538" t="e">
        <f>IF(INPUTS!$B$15="yes",Z279,Y279)</f>
        <v>#DIV/0!</v>
      </c>
      <c r="AB279" s="536" t="e">
        <f t="shared" si="70"/>
        <v>#DIV/0!</v>
      </c>
      <c r="AC279" s="537" t="e">
        <f t="shared" ref="AC279:AC342" si="75">IF($K279="yes",(EXP(-$R$16)*(AC278)+(Q$15*$L279)),((EXP(-$R$16)*(AC278))))</f>
        <v>#DIV/0!</v>
      </c>
      <c r="AD279" s="538" t="e">
        <f>IF(INPUTS!$B$15="yes",AC279,AB279)</f>
        <v>#DIV/0!</v>
      </c>
      <c r="AE279" s="36" t="str">
        <f t="shared" si="62"/>
        <v>no</v>
      </c>
      <c r="AF279" s="36"/>
      <c r="AG279" s="389" t="e">
        <f>P279*('upper bound Kenaga'!$F$36/100)</f>
        <v>#DIV/0!</v>
      </c>
      <c r="AH279" s="36"/>
      <c r="AI279" s="389" t="e">
        <f>P279*('upper bound Kenaga'!$F$96/100)</f>
        <v>#DIV/0!</v>
      </c>
      <c r="AJ279" s="36"/>
      <c r="AK279" s="36"/>
      <c r="AL279" s="36"/>
      <c r="AM279" s="36"/>
      <c r="AN279" s="36"/>
      <c r="AO279" s="36"/>
    </row>
    <row r="280" spans="10:41" s="1" customFormat="1">
      <c r="J280" s="6">
        <f>COUNTIF(K$21:K280,"=yes")</f>
        <v>1</v>
      </c>
      <c r="K280" s="533" t="str">
        <f>IF(LOOKUP(VALUE(M280),INPUTS!$G$6:$G$35)=M280,"yes","no")</f>
        <v>no</v>
      </c>
      <c r="L280" s="533">
        <f>IF(K280="yes",(LOOKUP(J280,INPUTS!$E$6:$E$35,INPUTS!$F$6:$F$35)),0)</f>
        <v>0</v>
      </c>
      <c r="M280" s="135">
        <f t="shared" si="64"/>
        <v>259</v>
      </c>
      <c r="N280" s="135">
        <f t="shared" si="65"/>
        <v>1</v>
      </c>
      <c r="O280" s="135">
        <f t="shared" si="66"/>
        <v>0</v>
      </c>
      <c r="P280" s="536" t="e">
        <f t="shared" si="63"/>
        <v>#DIV/0!</v>
      </c>
      <c r="Q280" s="537" t="e">
        <f t="shared" si="71"/>
        <v>#DIV/0!</v>
      </c>
      <c r="R280" s="538" t="e">
        <f>IF(INPUTS!$B$15="yes",Q280,P280)</f>
        <v>#DIV/0!</v>
      </c>
      <c r="S280" s="536" t="e">
        <f t="shared" si="67"/>
        <v>#DIV/0!</v>
      </c>
      <c r="T280" s="537" t="e">
        <f t="shared" si="72"/>
        <v>#DIV/0!</v>
      </c>
      <c r="U280" s="538" t="e">
        <f>IF(INPUTS!$B$15="yes",T280,S280)</f>
        <v>#DIV/0!</v>
      </c>
      <c r="V280" s="536" t="e">
        <f t="shared" si="68"/>
        <v>#DIV/0!</v>
      </c>
      <c r="W280" s="537" t="e">
        <f t="shared" si="73"/>
        <v>#DIV/0!</v>
      </c>
      <c r="X280" s="538" t="e">
        <f>IF(INPUTS!$B$15="yes",W280,V280)</f>
        <v>#DIV/0!</v>
      </c>
      <c r="Y280" s="536" t="e">
        <f t="shared" si="69"/>
        <v>#DIV/0!</v>
      </c>
      <c r="Z280" s="537" t="e">
        <f t="shared" si="74"/>
        <v>#DIV/0!</v>
      </c>
      <c r="AA280" s="538" t="e">
        <f>IF(INPUTS!$B$15="yes",Z280,Y280)</f>
        <v>#DIV/0!</v>
      </c>
      <c r="AB280" s="536" t="e">
        <f t="shared" si="70"/>
        <v>#DIV/0!</v>
      </c>
      <c r="AC280" s="537" t="e">
        <f t="shared" si="75"/>
        <v>#DIV/0!</v>
      </c>
      <c r="AD280" s="538" t="e">
        <f>IF(INPUTS!$B$15="yes",AC280,AB280)</f>
        <v>#DIV/0!</v>
      </c>
      <c r="AE280" s="36" t="str">
        <f t="shared" si="62"/>
        <v>no</v>
      </c>
      <c r="AF280" s="36"/>
      <c r="AG280" s="389" t="e">
        <f>P280*('upper bound Kenaga'!$F$36/100)</f>
        <v>#DIV/0!</v>
      </c>
      <c r="AH280" s="36"/>
      <c r="AI280" s="389" t="e">
        <f>P280*('upper bound Kenaga'!$F$96/100)</f>
        <v>#DIV/0!</v>
      </c>
      <c r="AJ280" s="36"/>
      <c r="AK280" s="36"/>
      <c r="AL280" s="36"/>
      <c r="AM280" s="36"/>
      <c r="AN280" s="36"/>
      <c r="AO280" s="36"/>
    </row>
    <row r="281" spans="10:41" s="1" customFormat="1">
      <c r="J281" s="6">
        <f>COUNTIF(K$21:K281,"=yes")</f>
        <v>1</v>
      </c>
      <c r="K281" s="533" t="str">
        <f>IF(LOOKUP(VALUE(M281),INPUTS!$G$6:$G$35)=M281,"yes","no")</f>
        <v>no</v>
      </c>
      <c r="L281" s="533">
        <f>IF(K281="yes",(LOOKUP(J281,INPUTS!$E$6:$E$35,INPUTS!$F$6:$F$35)),0)</f>
        <v>0</v>
      </c>
      <c r="M281" s="135">
        <f t="shared" si="64"/>
        <v>260</v>
      </c>
      <c r="N281" s="135">
        <f t="shared" si="65"/>
        <v>1</v>
      </c>
      <c r="O281" s="135">
        <f t="shared" si="66"/>
        <v>0</v>
      </c>
      <c r="P281" s="536" t="e">
        <f t="shared" si="63"/>
        <v>#DIV/0!</v>
      </c>
      <c r="Q281" s="537" t="e">
        <f t="shared" si="71"/>
        <v>#DIV/0!</v>
      </c>
      <c r="R281" s="538" t="e">
        <f>IF(INPUTS!$B$15="yes",Q281,P281)</f>
        <v>#DIV/0!</v>
      </c>
      <c r="S281" s="536" t="e">
        <f t="shared" si="67"/>
        <v>#DIV/0!</v>
      </c>
      <c r="T281" s="537" t="e">
        <f t="shared" si="72"/>
        <v>#DIV/0!</v>
      </c>
      <c r="U281" s="538" t="e">
        <f>IF(INPUTS!$B$15="yes",T281,S281)</f>
        <v>#DIV/0!</v>
      </c>
      <c r="V281" s="536" t="e">
        <f t="shared" si="68"/>
        <v>#DIV/0!</v>
      </c>
      <c r="W281" s="537" t="e">
        <f t="shared" si="73"/>
        <v>#DIV/0!</v>
      </c>
      <c r="X281" s="538" t="e">
        <f>IF(INPUTS!$B$15="yes",W281,V281)</f>
        <v>#DIV/0!</v>
      </c>
      <c r="Y281" s="536" t="e">
        <f t="shared" si="69"/>
        <v>#DIV/0!</v>
      </c>
      <c r="Z281" s="537" t="e">
        <f t="shared" si="74"/>
        <v>#DIV/0!</v>
      </c>
      <c r="AA281" s="538" t="e">
        <f>IF(INPUTS!$B$15="yes",Z281,Y281)</f>
        <v>#DIV/0!</v>
      </c>
      <c r="AB281" s="536" t="e">
        <f t="shared" si="70"/>
        <v>#DIV/0!</v>
      </c>
      <c r="AC281" s="537" t="e">
        <f t="shared" si="75"/>
        <v>#DIV/0!</v>
      </c>
      <c r="AD281" s="538" t="e">
        <f>IF(INPUTS!$B$15="yes",AC281,AB281)</f>
        <v>#DIV/0!</v>
      </c>
      <c r="AE281" s="36" t="str">
        <f t="shared" si="62"/>
        <v>no</v>
      </c>
      <c r="AF281" s="36"/>
      <c r="AG281" s="389" t="e">
        <f>P281*('upper bound Kenaga'!$F$36/100)</f>
        <v>#DIV/0!</v>
      </c>
      <c r="AH281" s="36"/>
      <c r="AI281" s="389" t="e">
        <f>P281*('upper bound Kenaga'!$F$96/100)</f>
        <v>#DIV/0!</v>
      </c>
      <c r="AJ281" s="36"/>
      <c r="AK281" s="36"/>
      <c r="AL281" s="36"/>
      <c r="AM281" s="36"/>
      <c r="AN281" s="36"/>
      <c r="AO281" s="36"/>
    </row>
    <row r="282" spans="10:41" s="1" customFormat="1">
      <c r="J282" s="6">
        <f>COUNTIF(K$21:K282,"=yes")</f>
        <v>1</v>
      </c>
      <c r="K282" s="533" t="str">
        <f>IF(LOOKUP(VALUE(M282),INPUTS!$G$6:$G$35)=M282,"yes","no")</f>
        <v>no</v>
      </c>
      <c r="L282" s="533">
        <f>IF(K282="yes",(LOOKUP(J282,INPUTS!$E$6:$E$35,INPUTS!$F$6:$F$35)),0)</f>
        <v>0</v>
      </c>
      <c r="M282" s="135">
        <f t="shared" si="64"/>
        <v>261</v>
      </c>
      <c r="N282" s="135">
        <f t="shared" si="65"/>
        <v>1</v>
      </c>
      <c r="O282" s="135">
        <f t="shared" si="66"/>
        <v>0</v>
      </c>
      <c r="P282" s="536" t="e">
        <f t="shared" si="63"/>
        <v>#DIV/0!</v>
      </c>
      <c r="Q282" s="537" t="e">
        <f t="shared" si="71"/>
        <v>#DIV/0!</v>
      </c>
      <c r="R282" s="538" t="e">
        <f>IF(INPUTS!$B$15="yes",Q282,P282)</f>
        <v>#DIV/0!</v>
      </c>
      <c r="S282" s="536" t="e">
        <f t="shared" si="67"/>
        <v>#DIV/0!</v>
      </c>
      <c r="T282" s="537" t="e">
        <f t="shared" si="72"/>
        <v>#DIV/0!</v>
      </c>
      <c r="U282" s="538" t="e">
        <f>IF(INPUTS!$B$15="yes",T282,S282)</f>
        <v>#DIV/0!</v>
      </c>
      <c r="V282" s="536" t="e">
        <f t="shared" si="68"/>
        <v>#DIV/0!</v>
      </c>
      <c r="W282" s="537" t="e">
        <f t="shared" si="73"/>
        <v>#DIV/0!</v>
      </c>
      <c r="X282" s="538" t="e">
        <f>IF(INPUTS!$B$15="yes",W282,V282)</f>
        <v>#DIV/0!</v>
      </c>
      <c r="Y282" s="536" t="e">
        <f t="shared" si="69"/>
        <v>#DIV/0!</v>
      </c>
      <c r="Z282" s="537" t="e">
        <f t="shared" si="74"/>
        <v>#DIV/0!</v>
      </c>
      <c r="AA282" s="538" t="e">
        <f>IF(INPUTS!$B$15="yes",Z282,Y282)</f>
        <v>#DIV/0!</v>
      </c>
      <c r="AB282" s="536" t="e">
        <f t="shared" si="70"/>
        <v>#DIV/0!</v>
      </c>
      <c r="AC282" s="537" t="e">
        <f t="shared" si="75"/>
        <v>#DIV/0!</v>
      </c>
      <c r="AD282" s="538" t="e">
        <f>IF(INPUTS!$B$15="yes",AC282,AB282)</f>
        <v>#DIV/0!</v>
      </c>
      <c r="AE282" s="36" t="str">
        <f t="shared" ref="AE282:AE345" si="76">$B$11</f>
        <v>no</v>
      </c>
      <c r="AF282" s="36"/>
      <c r="AG282" s="389" t="e">
        <f>P282*('upper bound Kenaga'!$F$36/100)</f>
        <v>#DIV/0!</v>
      </c>
      <c r="AH282" s="36"/>
      <c r="AI282" s="389" t="e">
        <f>P282*('upper bound Kenaga'!$F$96/100)</f>
        <v>#DIV/0!</v>
      </c>
      <c r="AJ282" s="36"/>
      <c r="AK282" s="36"/>
      <c r="AL282" s="36"/>
      <c r="AM282" s="36"/>
      <c r="AN282" s="36"/>
      <c r="AO282" s="36"/>
    </row>
    <row r="283" spans="10:41" s="1" customFormat="1">
      <c r="J283" s="6">
        <f>COUNTIF(K$21:K283,"=yes")</f>
        <v>1</v>
      </c>
      <c r="K283" s="533" t="str">
        <f>IF(LOOKUP(VALUE(M283),INPUTS!$G$6:$G$35)=M283,"yes","no")</f>
        <v>no</v>
      </c>
      <c r="L283" s="533">
        <f>IF(K283="yes",(LOOKUP(J283,INPUTS!$E$6:$E$35,INPUTS!$F$6:$F$35)),0)</f>
        <v>0</v>
      </c>
      <c r="M283" s="135">
        <f t="shared" si="64"/>
        <v>262</v>
      </c>
      <c r="N283" s="135">
        <f t="shared" si="65"/>
        <v>1</v>
      </c>
      <c r="O283" s="135">
        <f t="shared" si="66"/>
        <v>0</v>
      </c>
      <c r="P283" s="536" t="e">
        <f t="shared" si="63"/>
        <v>#DIV/0!</v>
      </c>
      <c r="Q283" s="537" t="e">
        <f t="shared" si="71"/>
        <v>#DIV/0!</v>
      </c>
      <c r="R283" s="538" t="e">
        <f>IF(INPUTS!$B$15="yes",Q283,P283)</f>
        <v>#DIV/0!</v>
      </c>
      <c r="S283" s="536" t="e">
        <f t="shared" si="67"/>
        <v>#DIV/0!</v>
      </c>
      <c r="T283" s="537" t="e">
        <f t="shared" si="72"/>
        <v>#DIV/0!</v>
      </c>
      <c r="U283" s="538" t="e">
        <f>IF(INPUTS!$B$15="yes",T283,S283)</f>
        <v>#DIV/0!</v>
      </c>
      <c r="V283" s="536" t="e">
        <f t="shared" si="68"/>
        <v>#DIV/0!</v>
      </c>
      <c r="W283" s="537" t="e">
        <f t="shared" si="73"/>
        <v>#DIV/0!</v>
      </c>
      <c r="X283" s="538" t="e">
        <f>IF(INPUTS!$B$15="yes",W283,V283)</f>
        <v>#DIV/0!</v>
      </c>
      <c r="Y283" s="536" t="e">
        <f t="shared" si="69"/>
        <v>#DIV/0!</v>
      </c>
      <c r="Z283" s="537" t="e">
        <f t="shared" si="74"/>
        <v>#DIV/0!</v>
      </c>
      <c r="AA283" s="538" t="e">
        <f>IF(INPUTS!$B$15="yes",Z283,Y283)</f>
        <v>#DIV/0!</v>
      </c>
      <c r="AB283" s="536" t="e">
        <f t="shared" si="70"/>
        <v>#DIV/0!</v>
      </c>
      <c r="AC283" s="537" t="e">
        <f t="shared" si="75"/>
        <v>#DIV/0!</v>
      </c>
      <c r="AD283" s="538" t="e">
        <f>IF(INPUTS!$B$15="yes",AC283,AB283)</f>
        <v>#DIV/0!</v>
      </c>
      <c r="AE283" s="36" t="str">
        <f t="shared" si="76"/>
        <v>no</v>
      </c>
      <c r="AF283" s="36"/>
      <c r="AG283" s="389" t="e">
        <f>P283*('upper bound Kenaga'!$F$36/100)</f>
        <v>#DIV/0!</v>
      </c>
      <c r="AH283" s="36"/>
      <c r="AI283" s="389" t="e">
        <f>P283*('upper bound Kenaga'!$F$96/100)</f>
        <v>#DIV/0!</v>
      </c>
      <c r="AJ283" s="36"/>
      <c r="AK283" s="36"/>
      <c r="AL283" s="36"/>
      <c r="AM283" s="36"/>
      <c r="AN283" s="36"/>
      <c r="AO283" s="36"/>
    </row>
    <row r="284" spans="10:41" s="1" customFormat="1">
      <c r="J284" s="6">
        <f>COUNTIF(K$21:K284,"=yes")</f>
        <v>1</v>
      </c>
      <c r="K284" s="533" t="str">
        <f>IF(LOOKUP(VALUE(M284),INPUTS!$G$6:$G$35)=M284,"yes","no")</f>
        <v>no</v>
      </c>
      <c r="L284" s="533">
        <f>IF(K284="yes",(LOOKUP(J284,INPUTS!$E$6:$E$35,INPUTS!$F$6:$F$35)),0)</f>
        <v>0</v>
      </c>
      <c r="M284" s="135">
        <f t="shared" si="64"/>
        <v>263</v>
      </c>
      <c r="N284" s="135">
        <f t="shared" si="65"/>
        <v>1</v>
      </c>
      <c r="O284" s="135">
        <f t="shared" si="66"/>
        <v>0</v>
      </c>
      <c r="P284" s="536" t="e">
        <f t="shared" si="63"/>
        <v>#DIV/0!</v>
      </c>
      <c r="Q284" s="537" t="e">
        <f t="shared" si="71"/>
        <v>#DIV/0!</v>
      </c>
      <c r="R284" s="538" t="e">
        <f>IF(INPUTS!$B$15="yes",Q284,P284)</f>
        <v>#DIV/0!</v>
      </c>
      <c r="S284" s="536" t="e">
        <f t="shared" si="67"/>
        <v>#DIV/0!</v>
      </c>
      <c r="T284" s="537" t="e">
        <f t="shared" si="72"/>
        <v>#DIV/0!</v>
      </c>
      <c r="U284" s="538" t="e">
        <f>IF(INPUTS!$B$15="yes",T284,S284)</f>
        <v>#DIV/0!</v>
      </c>
      <c r="V284" s="536" t="e">
        <f t="shared" si="68"/>
        <v>#DIV/0!</v>
      </c>
      <c r="W284" s="537" t="e">
        <f t="shared" si="73"/>
        <v>#DIV/0!</v>
      </c>
      <c r="X284" s="538" t="e">
        <f>IF(INPUTS!$B$15="yes",W284,V284)</f>
        <v>#DIV/0!</v>
      </c>
      <c r="Y284" s="536" t="e">
        <f t="shared" si="69"/>
        <v>#DIV/0!</v>
      </c>
      <c r="Z284" s="537" t="e">
        <f t="shared" si="74"/>
        <v>#DIV/0!</v>
      </c>
      <c r="AA284" s="538" t="e">
        <f>IF(INPUTS!$B$15="yes",Z284,Y284)</f>
        <v>#DIV/0!</v>
      </c>
      <c r="AB284" s="536" t="e">
        <f t="shared" si="70"/>
        <v>#DIV/0!</v>
      </c>
      <c r="AC284" s="537" t="e">
        <f t="shared" si="75"/>
        <v>#DIV/0!</v>
      </c>
      <c r="AD284" s="538" t="e">
        <f>IF(INPUTS!$B$15="yes",AC284,AB284)</f>
        <v>#DIV/0!</v>
      </c>
      <c r="AE284" s="36" t="str">
        <f t="shared" si="76"/>
        <v>no</v>
      </c>
      <c r="AF284" s="36"/>
      <c r="AG284" s="389" t="e">
        <f>P284*('upper bound Kenaga'!$F$36/100)</f>
        <v>#DIV/0!</v>
      </c>
      <c r="AH284" s="36"/>
      <c r="AI284" s="389" t="e">
        <f>P284*('upper bound Kenaga'!$F$96/100)</f>
        <v>#DIV/0!</v>
      </c>
      <c r="AJ284" s="36"/>
      <c r="AK284" s="36"/>
      <c r="AL284" s="36"/>
      <c r="AM284" s="36"/>
      <c r="AN284" s="36"/>
      <c r="AO284" s="36"/>
    </row>
    <row r="285" spans="10:41" s="1" customFormat="1">
      <c r="J285" s="6">
        <f>COUNTIF(K$21:K285,"=yes")</f>
        <v>1</v>
      </c>
      <c r="K285" s="533" t="str">
        <f>IF(LOOKUP(VALUE(M285),INPUTS!$G$6:$G$35)=M285,"yes","no")</f>
        <v>no</v>
      </c>
      <c r="L285" s="533">
        <f>IF(K285="yes",(LOOKUP(J285,INPUTS!$E$6:$E$35,INPUTS!$F$6:$F$35)),0)</f>
        <v>0</v>
      </c>
      <c r="M285" s="135">
        <f t="shared" si="64"/>
        <v>264</v>
      </c>
      <c r="N285" s="135">
        <f t="shared" si="65"/>
        <v>1</v>
      </c>
      <c r="O285" s="135">
        <f t="shared" si="66"/>
        <v>0</v>
      </c>
      <c r="P285" s="536" t="e">
        <f t="shared" si="63"/>
        <v>#DIV/0!</v>
      </c>
      <c r="Q285" s="537" t="e">
        <f t="shared" si="71"/>
        <v>#DIV/0!</v>
      </c>
      <c r="R285" s="538" t="e">
        <f>IF(INPUTS!$B$15="yes",Q285,P285)</f>
        <v>#DIV/0!</v>
      </c>
      <c r="S285" s="536" t="e">
        <f t="shared" si="67"/>
        <v>#DIV/0!</v>
      </c>
      <c r="T285" s="537" t="e">
        <f t="shared" si="72"/>
        <v>#DIV/0!</v>
      </c>
      <c r="U285" s="538" t="e">
        <f>IF(INPUTS!$B$15="yes",T285,S285)</f>
        <v>#DIV/0!</v>
      </c>
      <c r="V285" s="536" t="e">
        <f t="shared" si="68"/>
        <v>#DIV/0!</v>
      </c>
      <c r="W285" s="537" t="e">
        <f t="shared" si="73"/>
        <v>#DIV/0!</v>
      </c>
      <c r="X285" s="538" t="e">
        <f>IF(INPUTS!$B$15="yes",W285,V285)</f>
        <v>#DIV/0!</v>
      </c>
      <c r="Y285" s="536" t="e">
        <f t="shared" si="69"/>
        <v>#DIV/0!</v>
      </c>
      <c r="Z285" s="537" t="e">
        <f t="shared" si="74"/>
        <v>#DIV/0!</v>
      </c>
      <c r="AA285" s="538" t="e">
        <f>IF(INPUTS!$B$15="yes",Z285,Y285)</f>
        <v>#DIV/0!</v>
      </c>
      <c r="AB285" s="536" t="e">
        <f t="shared" si="70"/>
        <v>#DIV/0!</v>
      </c>
      <c r="AC285" s="537" t="e">
        <f t="shared" si="75"/>
        <v>#DIV/0!</v>
      </c>
      <c r="AD285" s="538" t="e">
        <f>IF(INPUTS!$B$15="yes",AC285,AB285)</f>
        <v>#DIV/0!</v>
      </c>
      <c r="AE285" s="36" t="str">
        <f t="shared" si="76"/>
        <v>no</v>
      </c>
      <c r="AF285" s="36"/>
      <c r="AG285" s="389" t="e">
        <f>P285*('upper bound Kenaga'!$F$36/100)</f>
        <v>#DIV/0!</v>
      </c>
      <c r="AH285" s="36"/>
      <c r="AI285" s="389" t="e">
        <f>P285*('upper bound Kenaga'!$F$96/100)</f>
        <v>#DIV/0!</v>
      </c>
      <c r="AJ285" s="36"/>
      <c r="AK285" s="36"/>
      <c r="AL285" s="36"/>
      <c r="AM285" s="36"/>
      <c r="AN285" s="36"/>
      <c r="AO285" s="36"/>
    </row>
    <row r="286" spans="10:41" s="1" customFormat="1">
      <c r="J286" s="6">
        <f>COUNTIF(K$21:K286,"=yes")</f>
        <v>1</v>
      </c>
      <c r="K286" s="533" t="str">
        <f>IF(LOOKUP(VALUE(M286),INPUTS!$G$6:$G$35)=M286,"yes","no")</f>
        <v>no</v>
      </c>
      <c r="L286" s="533">
        <f>IF(K286="yes",(LOOKUP(J286,INPUTS!$E$6:$E$35,INPUTS!$F$6:$F$35)),0)</f>
        <v>0</v>
      </c>
      <c r="M286" s="135">
        <f t="shared" si="64"/>
        <v>265</v>
      </c>
      <c r="N286" s="135">
        <f t="shared" si="65"/>
        <v>1</v>
      </c>
      <c r="O286" s="135">
        <f t="shared" si="66"/>
        <v>0</v>
      </c>
      <c r="P286" s="536" t="e">
        <f t="shared" si="63"/>
        <v>#DIV/0!</v>
      </c>
      <c r="Q286" s="537" t="e">
        <f t="shared" si="71"/>
        <v>#DIV/0!</v>
      </c>
      <c r="R286" s="538" t="e">
        <f>IF(INPUTS!$B$15="yes",Q286,P286)</f>
        <v>#DIV/0!</v>
      </c>
      <c r="S286" s="536" t="e">
        <f t="shared" si="67"/>
        <v>#DIV/0!</v>
      </c>
      <c r="T286" s="537" t="e">
        <f t="shared" si="72"/>
        <v>#DIV/0!</v>
      </c>
      <c r="U286" s="538" t="e">
        <f>IF(INPUTS!$B$15="yes",T286,S286)</f>
        <v>#DIV/0!</v>
      </c>
      <c r="V286" s="536" t="e">
        <f t="shared" si="68"/>
        <v>#DIV/0!</v>
      </c>
      <c r="W286" s="537" t="e">
        <f t="shared" si="73"/>
        <v>#DIV/0!</v>
      </c>
      <c r="X286" s="538" t="e">
        <f>IF(INPUTS!$B$15="yes",W286,V286)</f>
        <v>#DIV/0!</v>
      </c>
      <c r="Y286" s="536" t="e">
        <f t="shared" si="69"/>
        <v>#DIV/0!</v>
      </c>
      <c r="Z286" s="537" t="e">
        <f t="shared" si="74"/>
        <v>#DIV/0!</v>
      </c>
      <c r="AA286" s="538" t="e">
        <f>IF(INPUTS!$B$15="yes",Z286,Y286)</f>
        <v>#DIV/0!</v>
      </c>
      <c r="AB286" s="536" t="e">
        <f t="shared" si="70"/>
        <v>#DIV/0!</v>
      </c>
      <c r="AC286" s="537" t="e">
        <f t="shared" si="75"/>
        <v>#DIV/0!</v>
      </c>
      <c r="AD286" s="538" t="e">
        <f>IF(INPUTS!$B$15="yes",AC286,AB286)</f>
        <v>#DIV/0!</v>
      </c>
      <c r="AE286" s="36" t="str">
        <f t="shared" si="76"/>
        <v>no</v>
      </c>
      <c r="AF286" s="36"/>
      <c r="AG286" s="389" t="e">
        <f>P286*('upper bound Kenaga'!$F$36/100)</f>
        <v>#DIV/0!</v>
      </c>
      <c r="AH286" s="36"/>
      <c r="AI286" s="389" t="e">
        <f>P286*('upper bound Kenaga'!$F$96/100)</f>
        <v>#DIV/0!</v>
      </c>
      <c r="AJ286" s="36"/>
      <c r="AK286" s="36"/>
      <c r="AL286" s="36"/>
      <c r="AM286" s="36"/>
      <c r="AN286" s="36"/>
      <c r="AO286" s="36"/>
    </row>
    <row r="287" spans="10:41" s="1" customFormat="1">
      <c r="J287" s="6">
        <f>COUNTIF(K$21:K287,"=yes")</f>
        <v>1</v>
      </c>
      <c r="K287" s="533" t="str">
        <f>IF(LOOKUP(VALUE(M287),INPUTS!$G$6:$G$35)=M287,"yes","no")</f>
        <v>no</v>
      </c>
      <c r="L287" s="533">
        <f>IF(K287="yes",(LOOKUP(J287,INPUTS!$E$6:$E$35,INPUTS!$F$6:$F$35)),0)</f>
        <v>0</v>
      </c>
      <c r="M287" s="135">
        <f t="shared" si="64"/>
        <v>266</v>
      </c>
      <c r="N287" s="135">
        <f t="shared" si="65"/>
        <v>1</v>
      </c>
      <c r="O287" s="135">
        <f t="shared" si="66"/>
        <v>0</v>
      </c>
      <c r="P287" s="536" t="e">
        <f t="shared" ref="P287:P350" si="77">IF((N287&gt;N286),(EXP(-$R$16)*(P286)+$R$11),((EXP(-$R$16)*(P286))))</f>
        <v>#DIV/0!</v>
      </c>
      <c r="Q287" s="537" t="e">
        <f t="shared" si="71"/>
        <v>#DIV/0!</v>
      </c>
      <c r="R287" s="538" t="e">
        <f>IF(INPUTS!$B$15="yes",Q287,P287)</f>
        <v>#DIV/0!</v>
      </c>
      <c r="S287" s="536" t="e">
        <f t="shared" si="67"/>
        <v>#DIV/0!</v>
      </c>
      <c r="T287" s="537" t="e">
        <f t="shared" si="72"/>
        <v>#DIV/0!</v>
      </c>
      <c r="U287" s="538" t="e">
        <f>IF(INPUTS!$B$15="yes",T287,S287)</f>
        <v>#DIV/0!</v>
      </c>
      <c r="V287" s="536" t="e">
        <f t="shared" si="68"/>
        <v>#DIV/0!</v>
      </c>
      <c r="W287" s="537" t="e">
        <f t="shared" si="73"/>
        <v>#DIV/0!</v>
      </c>
      <c r="X287" s="538" t="e">
        <f>IF(INPUTS!$B$15="yes",W287,V287)</f>
        <v>#DIV/0!</v>
      </c>
      <c r="Y287" s="536" t="e">
        <f t="shared" si="69"/>
        <v>#DIV/0!</v>
      </c>
      <c r="Z287" s="537" t="e">
        <f t="shared" si="74"/>
        <v>#DIV/0!</v>
      </c>
      <c r="AA287" s="538" t="e">
        <f>IF(INPUTS!$B$15="yes",Z287,Y287)</f>
        <v>#DIV/0!</v>
      </c>
      <c r="AB287" s="536" t="e">
        <f t="shared" si="70"/>
        <v>#DIV/0!</v>
      </c>
      <c r="AC287" s="537" t="e">
        <f t="shared" si="75"/>
        <v>#DIV/0!</v>
      </c>
      <c r="AD287" s="538" t="e">
        <f>IF(INPUTS!$B$15="yes",AC287,AB287)</f>
        <v>#DIV/0!</v>
      </c>
      <c r="AE287" s="36" t="str">
        <f t="shared" si="76"/>
        <v>no</v>
      </c>
      <c r="AF287" s="36"/>
      <c r="AG287" s="389" t="e">
        <f>P287*('upper bound Kenaga'!$F$36/100)</f>
        <v>#DIV/0!</v>
      </c>
      <c r="AH287" s="36"/>
      <c r="AI287" s="389" t="e">
        <f>P287*('upper bound Kenaga'!$F$96/100)</f>
        <v>#DIV/0!</v>
      </c>
      <c r="AJ287" s="36"/>
      <c r="AK287" s="36"/>
      <c r="AL287" s="36"/>
      <c r="AM287" s="36"/>
      <c r="AN287" s="36"/>
      <c r="AO287" s="36"/>
    </row>
    <row r="288" spans="10:41" s="1" customFormat="1">
      <c r="J288" s="6">
        <f>COUNTIF(K$21:K288,"=yes")</f>
        <v>1</v>
      </c>
      <c r="K288" s="533" t="str">
        <f>IF(LOOKUP(VALUE(M288),INPUTS!$G$6:$G$35)=M288,"yes","no")</f>
        <v>no</v>
      </c>
      <c r="L288" s="533">
        <f>IF(K288="yes",(LOOKUP(J288,INPUTS!$E$6:$E$35,INPUTS!$F$6:$F$35)),0)</f>
        <v>0</v>
      </c>
      <c r="M288" s="135">
        <f t="shared" si="64"/>
        <v>267</v>
      </c>
      <c r="N288" s="135">
        <f t="shared" si="65"/>
        <v>1</v>
      </c>
      <c r="O288" s="135">
        <f t="shared" si="66"/>
        <v>0</v>
      </c>
      <c r="P288" s="536" t="e">
        <f t="shared" si="77"/>
        <v>#DIV/0!</v>
      </c>
      <c r="Q288" s="537" t="e">
        <f t="shared" si="71"/>
        <v>#DIV/0!</v>
      </c>
      <c r="R288" s="538" t="e">
        <f>IF(INPUTS!$B$15="yes",Q288,P288)</f>
        <v>#DIV/0!</v>
      </c>
      <c r="S288" s="536" t="e">
        <f t="shared" si="67"/>
        <v>#DIV/0!</v>
      </c>
      <c r="T288" s="537" t="e">
        <f t="shared" si="72"/>
        <v>#DIV/0!</v>
      </c>
      <c r="U288" s="538" t="e">
        <f>IF(INPUTS!$B$15="yes",T288,S288)</f>
        <v>#DIV/0!</v>
      </c>
      <c r="V288" s="536" t="e">
        <f t="shared" si="68"/>
        <v>#DIV/0!</v>
      </c>
      <c r="W288" s="537" t="e">
        <f t="shared" si="73"/>
        <v>#DIV/0!</v>
      </c>
      <c r="X288" s="538" t="e">
        <f>IF(INPUTS!$B$15="yes",W288,V288)</f>
        <v>#DIV/0!</v>
      </c>
      <c r="Y288" s="536" t="e">
        <f t="shared" si="69"/>
        <v>#DIV/0!</v>
      </c>
      <c r="Z288" s="537" t="e">
        <f t="shared" si="74"/>
        <v>#DIV/0!</v>
      </c>
      <c r="AA288" s="538" t="e">
        <f>IF(INPUTS!$B$15="yes",Z288,Y288)</f>
        <v>#DIV/0!</v>
      </c>
      <c r="AB288" s="536" t="e">
        <f t="shared" si="70"/>
        <v>#DIV/0!</v>
      </c>
      <c r="AC288" s="537" t="e">
        <f t="shared" si="75"/>
        <v>#DIV/0!</v>
      </c>
      <c r="AD288" s="538" t="e">
        <f>IF(INPUTS!$B$15="yes",AC288,AB288)</f>
        <v>#DIV/0!</v>
      </c>
      <c r="AE288" s="36" t="str">
        <f t="shared" si="76"/>
        <v>no</v>
      </c>
      <c r="AF288" s="36"/>
      <c r="AG288" s="389" t="e">
        <f>P288*('upper bound Kenaga'!$F$36/100)</f>
        <v>#DIV/0!</v>
      </c>
      <c r="AH288" s="36"/>
      <c r="AI288" s="389" t="e">
        <f>P288*('upper bound Kenaga'!$F$96/100)</f>
        <v>#DIV/0!</v>
      </c>
      <c r="AJ288" s="36"/>
      <c r="AK288" s="36"/>
      <c r="AL288" s="36"/>
      <c r="AM288" s="36"/>
      <c r="AN288" s="36"/>
      <c r="AO288" s="36"/>
    </row>
    <row r="289" spans="10:41" s="1" customFormat="1">
      <c r="J289" s="6">
        <f>COUNTIF(K$21:K289,"=yes")</f>
        <v>1</v>
      </c>
      <c r="K289" s="533" t="str">
        <f>IF(LOOKUP(VALUE(M289),INPUTS!$G$6:$G$35)=M289,"yes","no")</f>
        <v>no</v>
      </c>
      <c r="L289" s="533">
        <f>IF(K289="yes",(LOOKUP(J289,INPUTS!$E$6:$E$35,INPUTS!$F$6:$F$35)),0)</f>
        <v>0</v>
      </c>
      <c r="M289" s="135">
        <f t="shared" si="64"/>
        <v>268</v>
      </c>
      <c r="N289" s="135">
        <f t="shared" si="65"/>
        <v>1</v>
      </c>
      <c r="O289" s="135">
        <f t="shared" si="66"/>
        <v>0</v>
      </c>
      <c r="P289" s="536" t="e">
        <f t="shared" si="77"/>
        <v>#DIV/0!</v>
      </c>
      <c r="Q289" s="537" t="e">
        <f t="shared" si="71"/>
        <v>#DIV/0!</v>
      </c>
      <c r="R289" s="538" t="e">
        <f>IF(INPUTS!$B$15="yes",Q289,P289)</f>
        <v>#DIV/0!</v>
      </c>
      <c r="S289" s="536" t="e">
        <f t="shared" si="67"/>
        <v>#DIV/0!</v>
      </c>
      <c r="T289" s="537" t="e">
        <f t="shared" si="72"/>
        <v>#DIV/0!</v>
      </c>
      <c r="U289" s="538" t="e">
        <f>IF(INPUTS!$B$15="yes",T289,S289)</f>
        <v>#DIV/0!</v>
      </c>
      <c r="V289" s="536" t="e">
        <f t="shared" si="68"/>
        <v>#DIV/0!</v>
      </c>
      <c r="W289" s="537" t="e">
        <f t="shared" si="73"/>
        <v>#DIV/0!</v>
      </c>
      <c r="X289" s="538" t="e">
        <f>IF(INPUTS!$B$15="yes",W289,V289)</f>
        <v>#DIV/0!</v>
      </c>
      <c r="Y289" s="536" t="e">
        <f t="shared" si="69"/>
        <v>#DIV/0!</v>
      </c>
      <c r="Z289" s="537" t="e">
        <f t="shared" si="74"/>
        <v>#DIV/0!</v>
      </c>
      <c r="AA289" s="538" t="e">
        <f>IF(INPUTS!$B$15="yes",Z289,Y289)</f>
        <v>#DIV/0!</v>
      </c>
      <c r="AB289" s="536" t="e">
        <f t="shared" si="70"/>
        <v>#DIV/0!</v>
      </c>
      <c r="AC289" s="537" t="e">
        <f t="shared" si="75"/>
        <v>#DIV/0!</v>
      </c>
      <c r="AD289" s="538" t="e">
        <f>IF(INPUTS!$B$15="yes",AC289,AB289)</f>
        <v>#DIV/0!</v>
      </c>
      <c r="AE289" s="36" t="str">
        <f t="shared" si="76"/>
        <v>no</v>
      </c>
      <c r="AF289" s="36"/>
      <c r="AG289" s="389" t="e">
        <f>P289*('upper bound Kenaga'!$F$36/100)</f>
        <v>#DIV/0!</v>
      </c>
      <c r="AH289" s="36"/>
      <c r="AI289" s="389" t="e">
        <f>P289*('upper bound Kenaga'!$F$96/100)</f>
        <v>#DIV/0!</v>
      </c>
      <c r="AJ289" s="36"/>
      <c r="AK289" s="36"/>
      <c r="AL289" s="36"/>
      <c r="AM289" s="36"/>
      <c r="AN289" s="36"/>
      <c r="AO289" s="36"/>
    </row>
    <row r="290" spans="10:41" s="1" customFormat="1">
      <c r="J290" s="6">
        <f>COUNTIF(K$21:K290,"=yes")</f>
        <v>1</v>
      </c>
      <c r="K290" s="533" t="str">
        <f>IF(LOOKUP(VALUE(M290),INPUTS!$G$6:$G$35)=M290,"yes","no")</f>
        <v>no</v>
      </c>
      <c r="L290" s="533">
        <f>IF(K290="yes",(LOOKUP(J290,INPUTS!$E$6:$E$35,INPUTS!$F$6:$F$35)),0)</f>
        <v>0</v>
      </c>
      <c r="M290" s="135">
        <f t="shared" si="64"/>
        <v>269</v>
      </c>
      <c r="N290" s="135">
        <f t="shared" si="65"/>
        <v>1</v>
      </c>
      <c r="O290" s="135">
        <f t="shared" si="66"/>
        <v>0</v>
      </c>
      <c r="P290" s="536" t="e">
        <f t="shared" si="77"/>
        <v>#DIV/0!</v>
      </c>
      <c r="Q290" s="537" t="e">
        <f t="shared" si="71"/>
        <v>#DIV/0!</v>
      </c>
      <c r="R290" s="538" t="e">
        <f>IF(INPUTS!$B$15="yes",Q290,P290)</f>
        <v>#DIV/0!</v>
      </c>
      <c r="S290" s="536" t="e">
        <f t="shared" si="67"/>
        <v>#DIV/0!</v>
      </c>
      <c r="T290" s="537" t="e">
        <f t="shared" si="72"/>
        <v>#DIV/0!</v>
      </c>
      <c r="U290" s="538" t="e">
        <f>IF(INPUTS!$B$15="yes",T290,S290)</f>
        <v>#DIV/0!</v>
      </c>
      <c r="V290" s="536" t="e">
        <f t="shared" si="68"/>
        <v>#DIV/0!</v>
      </c>
      <c r="W290" s="537" t="e">
        <f t="shared" si="73"/>
        <v>#DIV/0!</v>
      </c>
      <c r="X290" s="538" t="e">
        <f>IF(INPUTS!$B$15="yes",W290,V290)</f>
        <v>#DIV/0!</v>
      </c>
      <c r="Y290" s="536" t="e">
        <f t="shared" si="69"/>
        <v>#DIV/0!</v>
      </c>
      <c r="Z290" s="537" t="e">
        <f t="shared" si="74"/>
        <v>#DIV/0!</v>
      </c>
      <c r="AA290" s="538" t="e">
        <f>IF(INPUTS!$B$15="yes",Z290,Y290)</f>
        <v>#DIV/0!</v>
      </c>
      <c r="AB290" s="536" t="e">
        <f t="shared" si="70"/>
        <v>#DIV/0!</v>
      </c>
      <c r="AC290" s="537" t="e">
        <f t="shared" si="75"/>
        <v>#DIV/0!</v>
      </c>
      <c r="AD290" s="538" t="e">
        <f>IF(INPUTS!$B$15="yes",AC290,AB290)</f>
        <v>#DIV/0!</v>
      </c>
      <c r="AE290" s="36" t="str">
        <f t="shared" si="76"/>
        <v>no</v>
      </c>
      <c r="AF290" s="36"/>
      <c r="AG290" s="389" t="e">
        <f>P290*('upper bound Kenaga'!$F$36/100)</f>
        <v>#DIV/0!</v>
      </c>
      <c r="AH290" s="36"/>
      <c r="AI290" s="389" t="e">
        <f>P290*('upper bound Kenaga'!$F$96/100)</f>
        <v>#DIV/0!</v>
      </c>
      <c r="AJ290" s="36"/>
      <c r="AK290" s="36"/>
      <c r="AL290" s="36"/>
      <c r="AM290" s="36"/>
      <c r="AN290" s="36"/>
      <c r="AO290" s="36"/>
    </row>
    <row r="291" spans="10:41" s="1" customFormat="1">
      <c r="J291" s="6">
        <f>COUNTIF(K$21:K291,"=yes")</f>
        <v>1</v>
      </c>
      <c r="K291" s="533" t="str">
        <f>IF(LOOKUP(VALUE(M291),INPUTS!$G$6:$G$35)=M291,"yes","no")</f>
        <v>no</v>
      </c>
      <c r="L291" s="533">
        <f>IF(K291="yes",(LOOKUP(J291,INPUTS!$E$6:$E$35,INPUTS!$F$6:$F$35)),0)</f>
        <v>0</v>
      </c>
      <c r="M291" s="135">
        <f t="shared" si="64"/>
        <v>270</v>
      </c>
      <c r="N291" s="135">
        <f t="shared" si="65"/>
        <v>1</v>
      </c>
      <c r="O291" s="135">
        <f t="shared" si="66"/>
        <v>0</v>
      </c>
      <c r="P291" s="536" t="e">
        <f t="shared" si="77"/>
        <v>#DIV/0!</v>
      </c>
      <c r="Q291" s="537" t="e">
        <f t="shared" si="71"/>
        <v>#DIV/0!</v>
      </c>
      <c r="R291" s="538" t="e">
        <f>IF(INPUTS!$B$15="yes",Q291,P291)</f>
        <v>#DIV/0!</v>
      </c>
      <c r="S291" s="536" t="e">
        <f t="shared" si="67"/>
        <v>#DIV/0!</v>
      </c>
      <c r="T291" s="537" t="e">
        <f t="shared" si="72"/>
        <v>#DIV/0!</v>
      </c>
      <c r="U291" s="538" t="e">
        <f>IF(INPUTS!$B$15="yes",T291,S291)</f>
        <v>#DIV/0!</v>
      </c>
      <c r="V291" s="536" t="e">
        <f t="shared" si="68"/>
        <v>#DIV/0!</v>
      </c>
      <c r="W291" s="537" t="e">
        <f t="shared" si="73"/>
        <v>#DIV/0!</v>
      </c>
      <c r="X291" s="538" t="e">
        <f>IF(INPUTS!$B$15="yes",W291,V291)</f>
        <v>#DIV/0!</v>
      </c>
      <c r="Y291" s="536" t="e">
        <f t="shared" si="69"/>
        <v>#DIV/0!</v>
      </c>
      <c r="Z291" s="537" t="e">
        <f t="shared" si="74"/>
        <v>#DIV/0!</v>
      </c>
      <c r="AA291" s="538" t="e">
        <f>IF(INPUTS!$B$15="yes",Z291,Y291)</f>
        <v>#DIV/0!</v>
      </c>
      <c r="AB291" s="536" t="e">
        <f t="shared" si="70"/>
        <v>#DIV/0!</v>
      </c>
      <c r="AC291" s="537" t="e">
        <f t="shared" si="75"/>
        <v>#DIV/0!</v>
      </c>
      <c r="AD291" s="538" t="e">
        <f>IF(INPUTS!$B$15="yes",AC291,AB291)</f>
        <v>#DIV/0!</v>
      </c>
      <c r="AE291" s="36" t="str">
        <f t="shared" si="76"/>
        <v>no</v>
      </c>
      <c r="AF291" s="36"/>
      <c r="AG291" s="389" t="e">
        <f>P291*('upper bound Kenaga'!$F$36/100)</f>
        <v>#DIV/0!</v>
      </c>
      <c r="AH291" s="36"/>
      <c r="AI291" s="389" t="e">
        <f>P291*('upper bound Kenaga'!$F$96/100)</f>
        <v>#DIV/0!</v>
      </c>
      <c r="AJ291" s="36"/>
      <c r="AK291" s="36"/>
      <c r="AL291" s="36"/>
      <c r="AM291" s="36"/>
      <c r="AN291" s="36"/>
      <c r="AO291" s="36"/>
    </row>
    <row r="292" spans="10:41" s="1" customFormat="1">
      <c r="J292" s="6">
        <f>COUNTIF(K$21:K292,"=yes")</f>
        <v>1</v>
      </c>
      <c r="K292" s="533" t="str">
        <f>IF(LOOKUP(VALUE(M292),INPUTS!$G$6:$G$35)=M292,"yes","no")</f>
        <v>no</v>
      </c>
      <c r="L292" s="533">
        <f>IF(K292="yes",(LOOKUP(J292,INPUTS!$E$6:$E$35,INPUTS!$F$6:$F$35)),0)</f>
        <v>0</v>
      </c>
      <c r="M292" s="135">
        <f t="shared" si="64"/>
        <v>271</v>
      </c>
      <c r="N292" s="135">
        <f t="shared" si="65"/>
        <v>1</v>
      </c>
      <c r="O292" s="135">
        <f t="shared" si="66"/>
        <v>0</v>
      </c>
      <c r="P292" s="536" t="e">
        <f t="shared" si="77"/>
        <v>#DIV/0!</v>
      </c>
      <c r="Q292" s="537" t="e">
        <f t="shared" si="71"/>
        <v>#DIV/0!</v>
      </c>
      <c r="R292" s="538" t="e">
        <f>IF(INPUTS!$B$15="yes",Q292,P292)</f>
        <v>#DIV/0!</v>
      </c>
      <c r="S292" s="536" t="e">
        <f t="shared" si="67"/>
        <v>#DIV/0!</v>
      </c>
      <c r="T292" s="537" t="e">
        <f t="shared" si="72"/>
        <v>#DIV/0!</v>
      </c>
      <c r="U292" s="538" t="e">
        <f>IF(INPUTS!$B$15="yes",T292,S292)</f>
        <v>#DIV/0!</v>
      </c>
      <c r="V292" s="536" t="e">
        <f t="shared" si="68"/>
        <v>#DIV/0!</v>
      </c>
      <c r="W292" s="537" t="e">
        <f t="shared" si="73"/>
        <v>#DIV/0!</v>
      </c>
      <c r="X292" s="538" t="e">
        <f>IF(INPUTS!$B$15="yes",W292,V292)</f>
        <v>#DIV/0!</v>
      </c>
      <c r="Y292" s="536" t="e">
        <f t="shared" si="69"/>
        <v>#DIV/0!</v>
      </c>
      <c r="Z292" s="537" t="e">
        <f t="shared" si="74"/>
        <v>#DIV/0!</v>
      </c>
      <c r="AA292" s="538" t="e">
        <f>IF(INPUTS!$B$15="yes",Z292,Y292)</f>
        <v>#DIV/0!</v>
      </c>
      <c r="AB292" s="536" t="e">
        <f t="shared" si="70"/>
        <v>#DIV/0!</v>
      </c>
      <c r="AC292" s="537" t="e">
        <f t="shared" si="75"/>
        <v>#DIV/0!</v>
      </c>
      <c r="AD292" s="538" t="e">
        <f>IF(INPUTS!$B$15="yes",AC292,AB292)</f>
        <v>#DIV/0!</v>
      </c>
      <c r="AE292" s="36" t="str">
        <f t="shared" si="76"/>
        <v>no</v>
      </c>
      <c r="AF292" s="36"/>
      <c r="AG292" s="389" t="e">
        <f>P292*('upper bound Kenaga'!$F$36/100)</f>
        <v>#DIV/0!</v>
      </c>
      <c r="AH292" s="36"/>
      <c r="AI292" s="389" t="e">
        <f>P292*('upper bound Kenaga'!$F$96/100)</f>
        <v>#DIV/0!</v>
      </c>
      <c r="AJ292" s="36"/>
      <c r="AK292" s="36"/>
      <c r="AL292" s="36"/>
      <c r="AM292" s="36"/>
      <c r="AN292" s="36"/>
      <c r="AO292" s="36"/>
    </row>
    <row r="293" spans="10:41" s="1" customFormat="1">
      <c r="J293" s="6">
        <f>COUNTIF(K$21:K293,"=yes")</f>
        <v>1</v>
      </c>
      <c r="K293" s="533" t="str">
        <f>IF(LOOKUP(VALUE(M293),INPUTS!$G$6:$G$35)=M293,"yes","no")</f>
        <v>no</v>
      </c>
      <c r="L293" s="533">
        <f>IF(K293="yes",(LOOKUP(J293,INPUTS!$E$6:$E$35,INPUTS!$F$6:$F$35)),0)</f>
        <v>0</v>
      </c>
      <c r="M293" s="135">
        <f t="shared" si="64"/>
        <v>272</v>
      </c>
      <c r="N293" s="135">
        <f t="shared" si="65"/>
        <v>1</v>
      </c>
      <c r="O293" s="135">
        <f t="shared" si="66"/>
        <v>0</v>
      </c>
      <c r="P293" s="536" t="e">
        <f t="shared" si="77"/>
        <v>#DIV/0!</v>
      </c>
      <c r="Q293" s="537" t="e">
        <f t="shared" si="71"/>
        <v>#DIV/0!</v>
      </c>
      <c r="R293" s="538" t="e">
        <f>IF(INPUTS!$B$15="yes",Q293,P293)</f>
        <v>#DIV/0!</v>
      </c>
      <c r="S293" s="536" t="e">
        <f t="shared" si="67"/>
        <v>#DIV/0!</v>
      </c>
      <c r="T293" s="537" t="e">
        <f t="shared" si="72"/>
        <v>#DIV/0!</v>
      </c>
      <c r="U293" s="538" t="e">
        <f>IF(INPUTS!$B$15="yes",T293,S293)</f>
        <v>#DIV/0!</v>
      </c>
      <c r="V293" s="536" t="e">
        <f t="shared" si="68"/>
        <v>#DIV/0!</v>
      </c>
      <c r="W293" s="537" t="e">
        <f t="shared" si="73"/>
        <v>#DIV/0!</v>
      </c>
      <c r="X293" s="538" t="e">
        <f>IF(INPUTS!$B$15="yes",W293,V293)</f>
        <v>#DIV/0!</v>
      </c>
      <c r="Y293" s="536" t="e">
        <f t="shared" si="69"/>
        <v>#DIV/0!</v>
      </c>
      <c r="Z293" s="537" t="e">
        <f t="shared" si="74"/>
        <v>#DIV/0!</v>
      </c>
      <c r="AA293" s="538" t="e">
        <f>IF(INPUTS!$B$15="yes",Z293,Y293)</f>
        <v>#DIV/0!</v>
      </c>
      <c r="AB293" s="536" t="e">
        <f t="shared" si="70"/>
        <v>#DIV/0!</v>
      </c>
      <c r="AC293" s="537" t="e">
        <f t="shared" si="75"/>
        <v>#DIV/0!</v>
      </c>
      <c r="AD293" s="538" t="e">
        <f>IF(INPUTS!$B$15="yes",AC293,AB293)</f>
        <v>#DIV/0!</v>
      </c>
      <c r="AE293" s="36" t="str">
        <f t="shared" si="76"/>
        <v>no</v>
      </c>
      <c r="AF293" s="36"/>
      <c r="AG293" s="389" t="e">
        <f>P293*('upper bound Kenaga'!$F$36/100)</f>
        <v>#DIV/0!</v>
      </c>
      <c r="AH293" s="36"/>
      <c r="AI293" s="389" t="e">
        <f>P293*('upper bound Kenaga'!$F$96/100)</f>
        <v>#DIV/0!</v>
      </c>
      <c r="AJ293" s="36"/>
      <c r="AK293" s="36"/>
      <c r="AL293" s="36"/>
      <c r="AM293" s="36"/>
      <c r="AN293" s="36"/>
      <c r="AO293" s="36"/>
    </row>
    <row r="294" spans="10:41" s="1" customFormat="1">
      <c r="J294" s="6">
        <f>COUNTIF(K$21:K294,"=yes")</f>
        <v>1</v>
      </c>
      <c r="K294" s="533" t="str">
        <f>IF(LOOKUP(VALUE(M294),INPUTS!$G$6:$G$35)=M294,"yes","no")</f>
        <v>no</v>
      </c>
      <c r="L294" s="533">
        <f>IF(K294="yes",(LOOKUP(J294,INPUTS!$E$6:$E$35,INPUTS!$F$6:$F$35)),0)</f>
        <v>0</v>
      </c>
      <c r="M294" s="135">
        <f t="shared" si="64"/>
        <v>273</v>
      </c>
      <c r="N294" s="135">
        <f t="shared" si="65"/>
        <v>1</v>
      </c>
      <c r="O294" s="135">
        <f t="shared" si="66"/>
        <v>0</v>
      </c>
      <c r="P294" s="536" t="e">
        <f t="shared" si="77"/>
        <v>#DIV/0!</v>
      </c>
      <c r="Q294" s="537" t="e">
        <f t="shared" si="71"/>
        <v>#DIV/0!</v>
      </c>
      <c r="R294" s="538" t="e">
        <f>IF(INPUTS!$B$15="yes",Q294,P294)</f>
        <v>#DIV/0!</v>
      </c>
      <c r="S294" s="536" t="e">
        <f t="shared" si="67"/>
        <v>#DIV/0!</v>
      </c>
      <c r="T294" s="537" t="e">
        <f t="shared" si="72"/>
        <v>#DIV/0!</v>
      </c>
      <c r="U294" s="538" t="e">
        <f>IF(INPUTS!$B$15="yes",T294,S294)</f>
        <v>#DIV/0!</v>
      </c>
      <c r="V294" s="536" t="e">
        <f t="shared" si="68"/>
        <v>#DIV/0!</v>
      </c>
      <c r="W294" s="537" t="e">
        <f t="shared" si="73"/>
        <v>#DIV/0!</v>
      </c>
      <c r="X294" s="538" t="e">
        <f>IF(INPUTS!$B$15="yes",W294,V294)</f>
        <v>#DIV/0!</v>
      </c>
      <c r="Y294" s="536" t="e">
        <f t="shared" si="69"/>
        <v>#DIV/0!</v>
      </c>
      <c r="Z294" s="537" t="e">
        <f t="shared" si="74"/>
        <v>#DIV/0!</v>
      </c>
      <c r="AA294" s="538" t="e">
        <f>IF(INPUTS!$B$15="yes",Z294,Y294)</f>
        <v>#DIV/0!</v>
      </c>
      <c r="AB294" s="536" t="e">
        <f t="shared" si="70"/>
        <v>#DIV/0!</v>
      </c>
      <c r="AC294" s="537" t="e">
        <f t="shared" si="75"/>
        <v>#DIV/0!</v>
      </c>
      <c r="AD294" s="538" t="e">
        <f>IF(INPUTS!$B$15="yes",AC294,AB294)</f>
        <v>#DIV/0!</v>
      </c>
      <c r="AE294" s="36" t="str">
        <f t="shared" si="76"/>
        <v>no</v>
      </c>
      <c r="AF294" s="36"/>
      <c r="AG294" s="389" t="e">
        <f>P294*('upper bound Kenaga'!$F$36/100)</f>
        <v>#DIV/0!</v>
      </c>
      <c r="AH294" s="36"/>
      <c r="AI294" s="389" t="e">
        <f>P294*('upper bound Kenaga'!$F$96/100)</f>
        <v>#DIV/0!</v>
      </c>
      <c r="AJ294" s="36"/>
      <c r="AK294" s="36"/>
      <c r="AL294" s="36"/>
      <c r="AM294" s="36"/>
      <c r="AN294" s="36"/>
      <c r="AO294" s="36"/>
    </row>
    <row r="295" spans="10:41" s="1" customFormat="1">
      <c r="J295" s="6">
        <f>COUNTIF(K$21:K295,"=yes")</f>
        <v>1</v>
      </c>
      <c r="K295" s="533" t="str">
        <f>IF(LOOKUP(VALUE(M295),INPUTS!$G$6:$G$35)=M295,"yes","no")</f>
        <v>no</v>
      </c>
      <c r="L295" s="533">
        <f>IF(K295="yes",(LOOKUP(J295,INPUTS!$E$6:$E$35,INPUTS!$F$6:$F$35)),0)</f>
        <v>0</v>
      </c>
      <c r="M295" s="135">
        <f t="shared" si="64"/>
        <v>274</v>
      </c>
      <c r="N295" s="135">
        <f t="shared" si="65"/>
        <v>1</v>
      </c>
      <c r="O295" s="135">
        <f t="shared" si="66"/>
        <v>0</v>
      </c>
      <c r="P295" s="536" t="e">
        <f t="shared" si="77"/>
        <v>#DIV/0!</v>
      </c>
      <c r="Q295" s="537" t="e">
        <f t="shared" si="71"/>
        <v>#DIV/0!</v>
      </c>
      <c r="R295" s="538" t="e">
        <f>IF(INPUTS!$B$15="yes",Q295,P295)</f>
        <v>#DIV/0!</v>
      </c>
      <c r="S295" s="536" t="e">
        <f t="shared" si="67"/>
        <v>#DIV/0!</v>
      </c>
      <c r="T295" s="537" t="e">
        <f t="shared" si="72"/>
        <v>#DIV/0!</v>
      </c>
      <c r="U295" s="538" t="e">
        <f>IF(INPUTS!$B$15="yes",T295,S295)</f>
        <v>#DIV/0!</v>
      </c>
      <c r="V295" s="536" t="e">
        <f t="shared" si="68"/>
        <v>#DIV/0!</v>
      </c>
      <c r="W295" s="537" t="e">
        <f t="shared" si="73"/>
        <v>#DIV/0!</v>
      </c>
      <c r="X295" s="538" t="e">
        <f>IF(INPUTS!$B$15="yes",W295,V295)</f>
        <v>#DIV/0!</v>
      </c>
      <c r="Y295" s="536" t="e">
        <f t="shared" si="69"/>
        <v>#DIV/0!</v>
      </c>
      <c r="Z295" s="537" t="e">
        <f t="shared" si="74"/>
        <v>#DIV/0!</v>
      </c>
      <c r="AA295" s="538" t="e">
        <f>IF(INPUTS!$B$15="yes",Z295,Y295)</f>
        <v>#DIV/0!</v>
      </c>
      <c r="AB295" s="536" t="e">
        <f t="shared" si="70"/>
        <v>#DIV/0!</v>
      </c>
      <c r="AC295" s="537" t="e">
        <f t="shared" si="75"/>
        <v>#DIV/0!</v>
      </c>
      <c r="AD295" s="538" t="e">
        <f>IF(INPUTS!$B$15="yes",AC295,AB295)</f>
        <v>#DIV/0!</v>
      </c>
      <c r="AE295" s="36" t="str">
        <f t="shared" si="76"/>
        <v>no</v>
      </c>
      <c r="AF295" s="36"/>
      <c r="AG295" s="389" t="e">
        <f>P295*('upper bound Kenaga'!$F$36/100)</f>
        <v>#DIV/0!</v>
      </c>
      <c r="AH295" s="36"/>
      <c r="AI295" s="389" t="e">
        <f>P295*('upper bound Kenaga'!$F$96/100)</f>
        <v>#DIV/0!</v>
      </c>
      <c r="AJ295" s="36"/>
      <c r="AK295" s="36"/>
      <c r="AL295" s="36"/>
      <c r="AM295" s="36"/>
      <c r="AN295" s="36"/>
      <c r="AO295" s="36"/>
    </row>
    <row r="296" spans="10:41" s="1" customFormat="1">
      <c r="J296" s="6">
        <f>COUNTIF(K$21:K296,"=yes")</f>
        <v>1</v>
      </c>
      <c r="K296" s="533" t="str">
        <f>IF(LOOKUP(VALUE(M296),INPUTS!$G$6:$G$35)=M296,"yes","no")</f>
        <v>no</v>
      </c>
      <c r="L296" s="533">
        <f>IF(K296="yes",(LOOKUP(J296,INPUTS!$E$6:$E$35,INPUTS!$F$6:$F$35)),0)</f>
        <v>0</v>
      </c>
      <c r="M296" s="135">
        <f t="shared" si="64"/>
        <v>275</v>
      </c>
      <c r="N296" s="135">
        <f t="shared" si="65"/>
        <v>1</v>
      </c>
      <c r="O296" s="135">
        <f t="shared" si="66"/>
        <v>0</v>
      </c>
      <c r="P296" s="536" t="e">
        <f t="shared" si="77"/>
        <v>#DIV/0!</v>
      </c>
      <c r="Q296" s="537" t="e">
        <f t="shared" si="71"/>
        <v>#DIV/0!</v>
      </c>
      <c r="R296" s="538" t="e">
        <f>IF(INPUTS!$B$15="yes",Q296,P296)</f>
        <v>#DIV/0!</v>
      </c>
      <c r="S296" s="536" t="e">
        <f t="shared" si="67"/>
        <v>#DIV/0!</v>
      </c>
      <c r="T296" s="537" t="e">
        <f t="shared" si="72"/>
        <v>#DIV/0!</v>
      </c>
      <c r="U296" s="538" t="e">
        <f>IF(INPUTS!$B$15="yes",T296,S296)</f>
        <v>#DIV/0!</v>
      </c>
      <c r="V296" s="536" t="e">
        <f t="shared" si="68"/>
        <v>#DIV/0!</v>
      </c>
      <c r="W296" s="537" t="e">
        <f t="shared" si="73"/>
        <v>#DIV/0!</v>
      </c>
      <c r="X296" s="538" t="e">
        <f>IF(INPUTS!$B$15="yes",W296,V296)</f>
        <v>#DIV/0!</v>
      </c>
      <c r="Y296" s="536" t="e">
        <f t="shared" si="69"/>
        <v>#DIV/0!</v>
      </c>
      <c r="Z296" s="537" t="e">
        <f t="shared" si="74"/>
        <v>#DIV/0!</v>
      </c>
      <c r="AA296" s="538" t="e">
        <f>IF(INPUTS!$B$15="yes",Z296,Y296)</f>
        <v>#DIV/0!</v>
      </c>
      <c r="AB296" s="536" t="e">
        <f t="shared" si="70"/>
        <v>#DIV/0!</v>
      </c>
      <c r="AC296" s="537" t="e">
        <f t="shared" si="75"/>
        <v>#DIV/0!</v>
      </c>
      <c r="AD296" s="538" t="e">
        <f>IF(INPUTS!$B$15="yes",AC296,AB296)</f>
        <v>#DIV/0!</v>
      </c>
      <c r="AE296" s="36" t="str">
        <f t="shared" si="76"/>
        <v>no</v>
      </c>
      <c r="AF296" s="36"/>
      <c r="AG296" s="389" t="e">
        <f>P296*('upper bound Kenaga'!$F$36/100)</f>
        <v>#DIV/0!</v>
      </c>
      <c r="AH296" s="36"/>
      <c r="AI296" s="389" t="e">
        <f>P296*('upper bound Kenaga'!$F$96/100)</f>
        <v>#DIV/0!</v>
      </c>
      <c r="AJ296" s="36"/>
      <c r="AK296" s="36"/>
      <c r="AL296" s="36"/>
      <c r="AM296" s="36"/>
      <c r="AN296" s="36"/>
      <c r="AO296" s="36"/>
    </row>
    <row r="297" spans="10:41" s="1" customFormat="1">
      <c r="J297" s="6">
        <f>COUNTIF(K$21:K297,"=yes")</f>
        <v>1</v>
      </c>
      <c r="K297" s="533" t="str">
        <f>IF(LOOKUP(VALUE(M297),INPUTS!$G$6:$G$35)=M297,"yes","no")</f>
        <v>no</v>
      </c>
      <c r="L297" s="533">
        <f>IF(K297="yes",(LOOKUP(J297,INPUTS!$E$6:$E$35,INPUTS!$F$6:$F$35)),0)</f>
        <v>0</v>
      </c>
      <c r="M297" s="135">
        <f t="shared" si="64"/>
        <v>276</v>
      </c>
      <c r="N297" s="135">
        <f t="shared" si="65"/>
        <v>1</v>
      </c>
      <c r="O297" s="135">
        <f t="shared" si="66"/>
        <v>0</v>
      </c>
      <c r="P297" s="536" t="e">
        <f t="shared" si="77"/>
        <v>#DIV/0!</v>
      </c>
      <c r="Q297" s="537" t="e">
        <f t="shared" si="71"/>
        <v>#DIV/0!</v>
      </c>
      <c r="R297" s="538" t="e">
        <f>IF(INPUTS!$B$15="yes",Q297,P297)</f>
        <v>#DIV/0!</v>
      </c>
      <c r="S297" s="536" t="e">
        <f t="shared" si="67"/>
        <v>#DIV/0!</v>
      </c>
      <c r="T297" s="537" t="e">
        <f t="shared" si="72"/>
        <v>#DIV/0!</v>
      </c>
      <c r="U297" s="538" t="e">
        <f>IF(INPUTS!$B$15="yes",T297,S297)</f>
        <v>#DIV/0!</v>
      </c>
      <c r="V297" s="536" t="e">
        <f t="shared" si="68"/>
        <v>#DIV/0!</v>
      </c>
      <c r="W297" s="537" t="e">
        <f t="shared" si="73"/>
        <v>#DIV/0!</v>
      </c>
      <c r="X297" s="538" t="e">
        <f>IF(INPUTS!$B$15="yes",W297,V297)</f>
        <v>#DIV/0!</v>
      </c>
      <c r="Y297" s="536" t="e">
        <f t="shared" si="69"/>
        <v>#DIV/0!</v>
      </c>
      <c r="Z297" s="537" t="e">
        <f t="shared" si="74"/>
        <v>#DIV/0!</v>
      </c>
      <c r="AA297" s="538" t="e">
        <f>IF(INPUTS!$B$15="yes",Z297,Y297)</f>
        <v>#DIV/0!</v>
      </c>
      <c r="AB297" s="536" t="e">
        <f t="shared" si="70"/>
        <v>#DIV/0!</v>
      </c>
      <c r="AC297" s="537" t="e">
        <f t="shared" si="75"/>
        <v>#DIV/0!</v>
      </c>
      <c r="AD297" s="538" t="e">
        <f>IF(INPUTS!$B$15="yes",AC297,AB297)</f>
        <v>#DIV/0!</v>
      </c>
      <c r="AE297" s="36" t="str">
        <f t="shared" si="76"/>
        <v>no</v>
      </c>
      <c r="AF297" s="36"/>
      <c r="AG297" s="389" t="e">
        <f>P297*('upper bound Kenaga'!$F$36/100)</f>
        <v>#DIV/0!</v>
      </c>
      <c r="AH297" s="36"/>
      <c r="AI297" s="389" t="e">
        <f>P297*('upper bound Kenaga'!$F$96/100)</f>
        <v>#DIV/0!</v>
      </c>
      <c r="AJ297" s="36"/>
      <c r="AK297" s="36"/>
      <c r="AL297" s="36"/>
      <c r="AM297" s="36"/>
      <c r="AN297" s="36"/>
      <c r="AO297" s="36"/>
    </row>
    <row r="298" spans="10:41" s="1" customFormat="1">
      <c r="J298" s="6">
        <f>COUNTIF(K$21:K298,"=yes")</f>
        <v>1</v>
      </c>
      <c r="K298" s="533" t="str">
        <f>IF(LOOKUP(VALUE(M298),INPUTS!$G$6:$G$35)=M298,"yes","no")</f>
        <v>no</v>
      </c>
      <c r="L298" s="533">
        <f>IF(K298="yes",(LOOKUP(J298,INPUTS!$E$6:$E$35,INPUTS!$F$6:$F$35)),0)</f>
        <v>0</v>
      </c>
      <c r="M298" s="135">
        <f t="shared" si="64"/>
        <v>277</v>
      </c>
      <c r="N298" s="135">
        <f t="shared" si="65"/>
        <v>1</v>
      </c>
      <c r="O298" s="135">
        <f t="shared" si="66"/>
        <v>0</v>
      </c>
      <c r="P298" s="536" t="e">
        <f t="shared" si="77"/>
        <v>#DIV/0!</v>
      </c>
      <c r="Q298" s="537" t="e">
        <f t="shared" si="71"/>
        <v>#DIV/0!</v>
      </c>
      <c r="R298" s="538" t="e">
        <f>IF(INPUTS!$B$15="yes",Q298,P298)</f>
        <v>#DIV/0!</v>
      </c>
      <c r="S298" s="536" t="e">
        <f t="shared" si="67"/>
        <v>#DIV/0!</v>
      </c>
      <c r="T298" s="537" t="e">
        <f t="shared" si="72"/>
        <v>#DIV/0!</v>
      </c>
      <c r="U298" s="538" t="e">
        <f>IF(INPUTS!$B$15="yes",T298,S298)</f>
        <v>#DIV/0!</v>
      </c>
      <c r="V298" s="536" t="e">
        <f t="shared" si="68"/>
        <v>#DIV/0!</v>
      </c>
      <c r="W298" s="537" t="e">
        <f t="shared" si="73"/>
        <v>#DIV/0!</v>
      </c>
      <c r="X298" s="538" t="e">
        <f>IF(INPUTS!$B$15="yes",W298,V298)</f>
        <v>#DIV/0!</v>
      </c>
      <c r="Y298" s="536" t="e">
        <f t="shared" si="69"/>
        <v>#DIV/0!</v>
      </c>
      <c r="Z298" s="537" t="e">
        <f t="shared" si="74"/>
        <v>#DIV/0!</v>
      </c>
      <c r="AA298" s="538" t="e">
        <f>IF(INPUTS!$B$15="yes",Z298,Y298)</f>
        <v>#DIV/0!</v>
      </c>
      <c r="AB298" s="536" t="e">
        <f t="shared" si="70"/>
        <v>#DIV/0!</v>
      </c>
      <c r="AC298" s="537" t="e">
        <f t="shared" si="75"/>
        <v>#DIV/0!</v>
      </c>
      <c r="AD298" s="538" t="e">
        <f>IF(INPUTS!$B$15="yes",AC298,AB298)</f>
        <v>#DIV/0!</v>
      </c>
      <c r="AE298" s="36" t="str">
        <f t="shared" si="76"/>
        <v>no</v>
      </c>
      <c r="AF298" s="36"/>
      <c r="AG298" s="389" t="e">
        <f>P298*('upper bound Kenaga'!$F$36/100)</f>
        <v>#DIV/0!</v>
      </c>
      <c r="AH298" s="36"/>
      <c r="AI298" s="389" t="e">
        <f>P298*('upper bound Kenaga'!$F$96/100)</f>
        <v>#DIV/0!</v>
      </c>
      <c r="AJ298" s="36"/>
      <c r="AK298" s="36"/>
      <c r="AL298" s="36"/>
      <c r="AM298" s="36"/>
      <c r="AN298" s="36"/>
      <c r="AO298" s="36"/>
    </row>
    <row r="299" spans="10:41" s="1" customFormat="1">
      <c r="J299" s="6">
        <f>COUNTIF(K$21:K299,"=yes")</f>
        <v>1</v>
      </c>
      <c r="K299" s="533" t="str">
        <f>IF(LOOKUP(VALUE(M299),INPUTS!$G$6:$G$35)=M299,"yes","no")</f>
        <v>no</v>
      </c>
      <c r="L299" s="533">
        <f>IF(K299="yes",(LOOKUP(J299,INPUTS!$E$6:$E$35,INPUTS!$F$6:$F$35)),0)</f>
        <v>0</v>
      </c>
      <c r="M299" s="135">
        <f t="shared" si="64"/>
        <v>278</v>
      </c>
      <c r="N299" s="135">
        <f t="shared" si="65"/>
        <v>1</v>
      </c>
      <c r="O299" s="135">
        <f t="shared" si="66"/>
        <v>0</v>
      </c>
      <c r="P299" s="536" t="e">
        <f t="shared" si="77"/>
        <v>#DIV/0!</v>
      </c>
      <c r="Q299" s="537" t="e">
        <f t="shared" si="71"/>
        <v>#DIV/0!</v>
      </c>
      <c r="R299" s="538" t="e">
        <f>IF(INPUTS!$B$15="yes",Q299,P299)</f>
        <v>#DIV/0!</v>
      </c>
      <c r="S299" s="536" t="e">
        <f t="shared" si="67"/>
        <v>#DIV/0!</v>
      </c>
      <c r="T299" s="537" t="e">
        <f t="shared" si="72"/>
        <v>#DIV/0!</v>
      </c>
      <c r="U299" s="538" t="e">
        <f>IF(INPUTS!$B$15="yes",T299,S299)</f>
        <v>#DIV/0!</v>
      </c>
      <c r="V299" s="536" t="e">
        <f t="shared" si="68"/>
        <v>#DIV/0!</v>
      </c>
      <c r="W299" s="537" t="e">
        <f t="shared" si="73"/>
        <v>#DIV/0!</v>
      </c>
      <c r="X299" s="538" t="e">
        <f>IF(INPUTS!$B$15="yes",W299,V299)</f>
        <v>#DIV/0!</v>
      </c>
      <c r="Y299" s="536" t="e">
        <f t="shared" si="69"/>
        <v>#DIV/0!</v>
      </c>
      <c r="Z299" s="537" t="e">
        <f t="shared" si="74"/>
        <v>#DIV/0!</v>
      </c>
      <c r="AA299" s="538" t="e">
        <f>IF(INPUTS!$B$15="yes",Z299,Y299)</f>
        <v>#DIV/0!</v>
      </c>
      <c r="AB299" s="536" t="e">
        <f t="shared" si="70"/>
        <v>#DIV/0!</v>
      </c>
      <c r="AC299" s="537" t="e">
        <f t="shared" si="75"/>
        <v>#DIV/0!</v>
      </c>
      <c r="AD299" s="538" t="e">
        <f>IF(INPUTS!$B$15="yes",AC299,AB299)</f>
        <v>#DIV/0!</v>
      </c>
      <c r="AE299" s="36" t="str">
        <f t="shared" si="76"/>
        <v>no</v>
      </c>
      <c r="AF299" s="36"/>
      <c r="AG299" s="389" t="e">
        <f>P299*('upper bound Kenaga'!$F$36/100)</f>
        <v>#DIV/0!</v>
      </c>
      <c r="AH299" s="36"/>
      <c r="AI299" s="389" t="e">
        <f>P299*('upper bound Kenaga'!$F$96/100)</f>
        <v>#DIV/0!</v>
      </c>
      <c r="AJ299" s="36"/>
      <c r="AK299" s="36"/>
      <c r="AL299" s="36"/>
      <c r="AM299" s="36"/>
      <c r="AN299" s="36"/>
      <c r="AO299" s="36"/>
    </row>
    <row r="300" spans="10:41" s="1" customFormat="1">
      <c r="J300" s="6">
        <f>COUNTIF(K$21:K300,"=yes")</f>
        <v>1</v>
      </c>
      <c r="K300" s="533" t="str">
        <f>IF(LOOKUP(VALUE(M300),INPUTS!$G$6:$G$35)=M300,"yes","no")</f>
        <v>no</v>
      </c>
      <c r="L300" s="533">
        <f>IF(K300="yes",(LOOKUP(J300,INPUTS!$E$6:$E$35,INPUTS!$F$6:$F$35)),0)</f>
        <v>0</v>
      </c>
      <c r="M300" s="135">
        <f t="shared" si="64"/>
        <v>279</v>
      </c>
      <c r="N300" s="135">
        <f t="shared" si="65"/>
        <v>1</v>
      </c>
      <c r="O300" s="135">
        <f t="shared" si="66"/>
        <v>0</v>
      </c>
      <c r="P300" s="536" t="e">
        <f t="shared" si="77"/>
        <v>#DIV/0!</v>
      </c>
      <c r="Q300" s="537" t="e">
        <f t="shared" si="71"/>
        <v>#DIV/0!</v>
      </c>
      <c r="R300" s="538" t="e">
        <f>IF(INPUTS!$B$15="yes",Q300,P300)</f>
        <v>#DIV/0!</v>
      </c>
      <c r="S300" s="536" t="e">
        <f t="shared" si="67"/>
        <v>#DIV/0!</v>
      </c>
      <c r="T300" s="537" t="e">
        <f t="shared" si="72"/>
        <v>#DIV/0!</v>
      </c>
      <c r="U300" s="538" t="e">
        <f>IF(INPUTS!$B$15="yes",T300,S300)</f>
        <v>#DIV/0!</v>
      </c>
      <c r="V300" s="536" t="e">
        <f t="shared" si="68"/>
        <v>#DIV/0!</v>
      </c>
      <c r="W300" s="537" t="e">
        <f t="shared" si="73"/>
        <v>#DIV/0!</v>
      </c>
      <c r="X300" s="538" t="e">
        <f>IF(INPUTS!$B$15="yes",W300,V300)</f>
        <v>#DIV/0!</v>
      </c>
      <c r="Y300" s="536" t="e">
        <f t="shared" si="69"/>
        <v>#DIV/0!</v>
      </c>
      <c r="Z300" s="537" t="e">
        <f t="shared" si="74"/>
        <v>#DIV/0!</v>
      </c>
      <c r="AA300" s="538" t="e">
        <f>IF(INPUTS!$B$15="yes",Z300,Y300)</f>
        <v>#DIV/0!</v>
      </c>
      <c r="AB300" s="536" t="e">
        <f t="shared" si="70"/>
        <v>#DIV/0!</v>
      </c>
      <c r="AC300" s="537" t="e">
        <f t="shared" si="75"/>
        <v>#DIV/0!</v>
      </c>
      <c r="AD300" s="538" t="e">
        <f>IF(INPUTS!$B$15="yes",AC300,AB300)</f>
        <v>#DIV/0!</v>
      </c>
      <c r="AE300" s="36" t="str">
        <f t="shared" si="76"/>
        <v>no</v>
      </c>
      <c r="AF300" s="36"/>
      <c r="AG300" s="389" t="e">
        <f>P300*('upper bound Kenaga'!$F$36/100)</f>
        <v>#DIV/0!</v>
      </c>
      <c r="AH300" s="36"/>
      <c r="AI300" s="389" t="e">
        <f>P300*('upper bound Kenaga'!$F$96/100)</f>
        <v>#DIV/0!</v>
      </c>
      <c r="AJ300" s="36"/>
      <c r="AK300" s="36"/>
      <c r="AL300" s="36"/>
      <c r="AM300" s="36"/>
      <c r="AN300" s="36"/>
      <c r="AO300" s="36"/>
    </row>
    <row r="301" spans="10:41" s="1" customFormat="1">
      <c r="J301" s="6">
        <f>COUNTIF(K$21:K301,"=yes")</f>
        <v>1</v>
      </c>
      <c r="K301" s="533" t="str">
        <f>IF(LOOKUP(VALUE(M301),INPUTS!$G$6:$G$35)=M301,"yes","no")</f>
        <v>no</v>
      </c>
      <c r="L301" s="533">
        <f>IF(K301="yes",(LOOKUP(J301,INPUTS!$E$6:$E$35,INPUTS!$F$6:$F$35)),0)</f>
        <v>0</v>
      </c>
      <c r="M301" s="135">
        <f t="shared" si="64"/>
        <v>280</v>
      </c>
      <c r="N301" s="135">
        <f t="shared" si="65"/>
        <v>1</v>
      </c>
      <c r="O301" s="135">
        <f t="shared" si="66"/>
        <v>0</v>
      </c>
      <c r="P301" s="536" t="e">
        <f t="shared" si="77"/>
        <v>#DIV/0!</v>
      </c>
      <c r="Q301" s="537" t="e">
        <f t="shared" si="71"/>
        <v>#DIV/0!</v>
      </c>
      <c r="R301" s="538" t="e">
        <f>IF(INPUTS!$B$15="yes",Q301,P301)</f>
        <v>#DIV/0!</v>
      </c>
      <c r="S301" s="536" t="e">
        <f t="shared" si="67"/>
        <v>#DIV/0!</v>
      </c>
      <c r="T301" s="537" t="e">
        <f t="shared" si="72"/>
        <v>#DIV/0!</v>
      </c>
      <c r="U301" s="538" t="e">
        <f>IF(INPUTS!$B$15="yes",T301,S301)</f>
        <v>#DIV/0!</v>
      </c>
      <c r="V301" s="536" t="e">
        <f t="shared" si="68"/>
        <v>#DIV/0!</v>
      </c>
      <c r="W301" s="537" t="e">
        <f t="shared" si="73"/>
        <v>#DIV/0!</v>
      </c>
      <c r="X301" s="538" t="e">
        <f>IF(INPUTS!$B$15="yes",W301,V301)</f>
        <v>#DIV/0!</v>
      </c>
      <c r="Y301" s="536" t="e">
        <f t="shared" si="69"/>
        <v>#DIV/0!</v>
      </c>
      <c r="Z301" s="537" t="e">
        <f t="shared" si="74"/>
        <v>#DIV/0!</v>
      </c>
      <c r="AA301" s="538" t="e">
        <f>IF(INPUTS!$B$15="yes",Z301,Y301)</f>
        <v>#DIV/0!</v>
      </c>
      <c r="AB301" s="536" t="e">
        <f t="shared" si="70"/>
        <v>#DIV/0!</v>
      </c>
      <c r="AC301" s="537" t="e">
        <f t="shared" si="75"/>
        <v>#DIV/0!</v>
      </c>
      <c r="AD301" s="538" t="e">
        <f>IF(INPUTS!$B$15="yes",AC301,AB301)</f>
        <v>#DIV/0!</v>
      </c>
      <c r="AE301" s="36" t="str">
        <f t="shared" si="76"/>
        <v>no</v>
      </c>
      <c r="AF301" s="36"/>
      <c r="AG301" s="389" t="e">
        <f>P301*('upper bound Kenaga'!$F$36/100)</f>
        <v>#DIV/0!</v>
      </c>
      <c r="AH301" s="36"/>
      <c r="AI301" s="389" t="e">
        <f>P301*('upper bound Kenaga'!$F$96/100)</f>
        <v>#DIV/0!</v>
      </c>
      <c r="AJ301" s="36"/>
      <c r="AK301" s="36"/>
      <c r="AL301" s="36"/>
      <c r="AM301" s="36"/>
      <c r="AN301" s="36"/>
      <c r="AO301" s="36"/>
    </row>
    <row r="302" spans="10:41" s="1" customFormat="1">
      <c r="J302" s="6">
        <f>COUNTIF(K$21:K302,"=yes")</f>
        <v>1</v>
      </c>
      <c r="K302" s="533" t="str">
        <f>IF(LOOKUP(VALUE(M302),INPUTS!$G$6:$G$35)=M302,"yes","no")</f>
        <v>no</v>
      </c>
      <c r="L302" s="533">
        <f>IF(K302="yes",(LOOKUP(J302,INPUTS!$E$6:$E$35,INPUTS!$F$6:$F$35)),0)</f>
        <v>0</v>
      </c>
      <c r="M302" s="135">
        <f t="shared" si="64"/>
        <v>281</v>
      </c>
      <c r="N302" s="135">
        <f t="shared" si="65"/>
        <v>1</v>
      </c>
      <c r="O302" s="135">
        <f t="shared" si="66"/>
        <v>0</v>
      </c>
      <c r="P302" s="536" t="e">
        <f t="shared" si="77"/>
        <v>#DIV/0!</v>
      </c>
      <c r="Q302" s="537" t="e">
        <f t="shared" si="71"/>
        <v>#DIV/0!</v>
      </c>
      <c r="R302" s="538" t="e">
        <f>IF(INPUTS!$B$15="yes",Q302,P302)</f>
        <v>#DIV/0!</v>
      </c>
      <c r="S302" s="536" t="e">
        <f t="shared" si="67"/>
        <v>#DIV/0!</v>
      </c>
      <c r="T302" s="537" t="e">
        <f t="shared" si="72"/>
        <v>#DIV/0!</v>
      </c>
      <c r="U302" s="538" t="e">
        <f>IF(INPUTS!$B$15="yes",T302,S302)</f>
        <v>#DIV/0!</v>
      </c>
      <c r="V302" s="536" t="e">
        <f t="shared" si="68"/>
        <v>#DIV/0!</v>
      </c>
      <c r="W302" s="537" t="e">
        <f t="shared" si="73"/>
        <v>#DIV/0!</v>
      </c>
      <c r="X302" s="538" t="e">
        <f>IF(INPUTS!$B$15="yes",W302,V302)</f>
        <v>#DIV/0!</v>
      </c>
      <c r="Y302" s="536" t="e">
        <f t="shared" si="69"/>
        <v>#DIV/0!</v>
      </c>
      <c r="Z302" s="537" t="e">
        <f t="shared" si="74"/>
        <v>#DIV/0!</v>
      </c>
      <c r="AA302" s="538" t="e">
        <f>IF(INPUTS!$B$15="yes",Z302,Y302)</f>
        <v>#DIV/0!</v>
      </c>
      <c r="AB302" s="536" t="e">
        <f t="shared" si="70"/>
        <v>#DIV/0!</v>
      </c>
      <c r="AC302" s="537" t="e">
        <f t="shared" si="75"/>
        <v>#DIV/0!</v>
      </c>
      <c r="AD302" s="538" t="e">
        <f>IF(INPUTS!$B$15="yes",AC302,AB302)</f>
        <v>#DIV/0!</v>
      </c>
      <c r="AE302" s="36" t="str">
        <f t="shared" si="76"/>
        <v>no</v>
      </c>
      <c r="AF302" s="36"/>
      <c r="AG302" s="389" t="e">
        <f>P302*('upper bound Kenaga'!$F$36/100)</f>
        <v>#DIV/0!</v>
      </c>
      <c r="AH302" s="36"/>
      <c r="AI302" s="389" t="e">
        <f>P302*('upper bound Kenaga'!$F$96/100)</f>
        <v>#DIV/0!</v>
      </c>
      <c r="AJ302" s="36"/>
      <c r="AK302" s="36"/>
      <c r="AL302" s="36"/>
      <c r="AM302" s="36"/>
      <c r="AN302" s="36"/>
      <c r="AO302" s="36"/>
    </row>
    <row r="303" spans="10:41" s="1" customFormat="1">
      <c r="J303" s="6">
        <f>COUNTIF(K$21:K303,"=yes")</f>
        <v>1</v>
      </c>
      <c r="K303" s="533" t="str">
        <f>IF(LOOKUP(VALUE(M303),INPUTS!$G$6:$G$35)=M303,"yes","no")</f>
        <v>no</v>
      </c>
      <c r="L303" s="533">
        <f>IF(K303="yes",(LOOKUP(J303,INPUTS!$E$6:$E$35,INPUTS!$F$6:$F$35)),0)</f>
        <v>0</v>
      </c>
      <c r="M303" s="135">
        <f t="shared" si="64"/>
        <v>282</v>
      </c>
      <c r="N303" s="135">
        <f t="shared" si="65"/>
        <v>1</v>
      </c>
      <c r="O303" s="135">
        <f t="shared" si="66"/>
        <v>0</v>
      </c>
      <c r="P303" s="536" t="e">
        <f t="shared" si="77"/>
        <v>#DIV/0!</v>
      </c>
      <c r="Q303" s="537" t="e">
        <f t="shared" si="71"/>
        <v>#DIV/0!</v>
      </c>
      <c r="R303" s="538" t="e">
        <f>IF(INPUTS!$B$15="yes",Q303,P303)</f>
        <v>#DIV/0!</v>
      </c>
      <c r="S303" s="536" t="e">
        <f t="shared" si="67"/>
        <v>#DIV/0!</v>
      </c>
      <c r="T303" s="537" t="e">
        <f t="shared" si="72"/>
        <v>#DIV/0!</v>
      </c>
      <c r="U303" s="538" t="e">
        <f>IF(INPUTS!$B$15="yes",T303,S303)</f>
        <v>#DIV/0!</v>
      </c>
      <c r="V303" s="536" t="e">
        <f t="shared" si="68"/>
        <v>#DIV/0!</v>
      </c>
      <c r="W303" s="537" t="e">
        <f t="shared" si="73"/>
        <v>#DIV/0!</v>
      </c>
      <c r="X303" s="538" t="e">
        <f>IF(INPUTS!$B$15="yes",W303,V303)</f>
        <v>#DIV/0!</v>
      </c>
      <c r="Y303" s="536" t="e">
        <f t="shared" si="69"/>
        <v>#DIV/0!</v>
      </c>
      <c r="Z303" s="537" t="e">
        <f t="shared" si="74"/>
        <v>#DIV/0!</v>
      </c>
      <c r="AA303" s="538" t="e">
        <f>IF(INPUTS!$B$15="yes",Z303,Y303)</f>
        <v>#DIV/0!</v>
      </c>
      <c r="AB303" s="536" t="e">
        <f t="shared" si="70"/>
        <v>#DIV/0!</v>
      </c>
      <c r="AC303" s="537" t="e">
        <f t="shared" si="75"/>
        <v>#DIV/0!</v>
      </c>
      <c r="AD303" s="538" t="e">
        <f>IF(INPUTS!$B$15="yes",AC303,AB303)</f>
        <v>#DIV/0!</v>
      </c>
      <c r="AE303" s="36" t="str">
        <f t="shared" si="76"/>
        <v>no</v>
      </c>
      <c r="AF303" s="36"/>
      <c r="AG303" s="389" t="e">
        <f>P303*('upper bound Kenaga'!$F$36/100)</f>
        <v>#DIV/0!</v>
      </c>
      <c r="AH303" s="36"/>
      <c r="AI303" s="389" t="e">
        <f>P303*('upper bound Kenaga'!$F$96/100)</f>
        <v>#DIV/0!</v>
      </c>
      <c r="AJ303" s="36"/>
      <c r="AK303" s="36"/>
      <c r="AL303" s="36"/>
      <c r="AM303" s="36"/>
      <c r="AN303" s="36"/>
      <c r="AO303" s="36"/>
    </row>
    <row r="304" spans="10:41" s="1" customFormat="1">
      <c r="J304" s="6">
        <f>COUNTIF(K$21:K304,"=yes")</f>
        <v>1</v>
      </c>
      <c r="K304" s="533" t="str">
        <f>IF(LOOKUP(VALUE(M304),INPUTS!$G$6:$G$35)=M304,"yes","no")</f>
        <v>no</v>
      </c>
      <c r="L304" s="533">
        <f>IF(K304="yes",(LOOKUP(J304,INPUTS!$E$6:$E$35,INPUTS!$F$6:$F$35)),0)</f>
        <v>0</v>
      </c>
      <c r="M304" s="135">
        <f t="shared" si="64"/>
        <v>283</v>
      </c>
      <c r="N304" s="135">
        <f t="shared" si="65"/>
        <v>1</v>
      </c>
      <c r="O304" s="135">
        <f t="shared" si="66"/>
        <v>0</v>
      </c>
      <c r="P304" s="536" t="e">
        <f t="shared" si="77"/>
        <v>#DIV/0!</v>
      </c>
      <c r="Q304" s="537" t="e">
        <f t="shared" si="71"/>
        <v>#DIV/0!</v>
      </c>
      <c r="R304" s="538" t="e">
        <f>IF(INPUTS!$B$15="yes",Q304,P304)</f>
        <v>#DIV/0!</v>
      </c>
      <c r="S304" s="536" t="e">
        <f t="shared" si="67"/>
        <v>#DIV/0!</v>
      </c>
      <c r="T304" s="537" t="e">
        <f t="shared" si="72"/>
        <v>#DIV/0!</v>
      </c>
      <c r="U304" s="538" t="e">
        <f>IF(INPUTS!$B$15="yes",T304,S304)</f>
        <v>#DIV/0!</v>
      </c>
      <c r="V304" s="536" t="e">
        <f t="shared" si="68"/>
        <v>#DIV/0!</v>
      </c>
      <c r="W304" s="537" t="e">
        <f t="shared" si="73"/>
        <v>#DIV/0!</v>
      </c>
      <c r="X304" s="538" t="e">
        <f>IF(INPUTS!$B$15="yes",W304,V304)</f>
        <v>#DIV/0!</v>
      </c>
      <c r="Y304" s="536" t="e">
        <f t="shared" si="69"/>
        <v>#DIV/0!</v>
      </c>
      <c r="Z304" s="537" t="e">
        <f t="shared" si="74"/>
        <v>#DIV/0!</v>
      </c>
      <c r="AA304" s="538" t="e">
        <f>IF(INPUTS!$B$15="yes",Z304,Y304)</f>
        <v>#DIV/0!</v>
      </c>
      <c r="AB304" s="536" t="e">
        <f t="shared" si="70"/>
        <v>#DIV/0!</v>
      </c>
      <c r="AC304" s="537" t="e">
        <f t="shared" si="75"/>
        <v>#DIV/0!</v>
      </c>
      <c r="AD304" s="538" t="e">
        <f>IF(INPUTS!$B$15="yes",AC304,AB304)</f>
        <v>#DIV/0!</v>
      </c>
      <c r="AE304" s="36" t="str">
        <f t="shared" si="76"/>
        <v>no</v>
      </c>
      <c r="AF304" s="36"/>
      <c r="AG304" s="389" t="e">
        <f>P304*('upper bound Kenaga'!$F$36/100)</f>
        <v>#DIV/0!</v>
      </c>
      <c r="AH304" s="36"/>
      <c r="AI304" s="389" t="e">
        <f>P304*('upper bound Kenaga'!$F$96/100)</f>
        <v>#DIV/0!</v>
      </c>
      <c r="AJ304" s="36"/>
      <c r="AK304" s="36"/>
      <c r="AL304" s="36"/>
      <c r="AM304" s="36"/>
      <c r="AN304" s="36"/>
      <c r="AO304" s="36"/>
    </row>
    <row r="305" spans="10:41" s="1" customFormat="1">
      <c r="J305" s="6">
        <f>COUNTIF(K$21:K305,"=yes")</f>
        <v>1</v>
      </c>
      <c r="K305" s="533" t="str">
        <f>IF(LOOKUP(VALUE(M305),INPUTS!$G$6:$G$35)=M305,"yes","no")</f>
        <v>no</v>
      </c>
      <c r="L305" s="533">
        <f>IF(K305="yes",(LOOKUP(J305,INPUTS!$E$6:$E$35,INPUTS!$F$6:$F$35)),0)</f>
        <v>0</v>
      </c>
      <c r="M305" s="135">
        <f t="shared" si="64"/>
        <v>284</v>
      </c>
      <c r="N305" s="135">
        <f t="shared" si="65"/>
        <v>1</v>
      </c>
      <c r="O305" s="135">
        <f t="shared" si="66"/>
        <v>0</v>
      </c>
      <c r="P305" s="536" t="e">
        <f t="shared" si="77"/>
        <v>#DIV/0!</v>
      </c>
      <c r="Q305" s="537" t="e">
        <f t="shared" si="71"/>
        <v>#DIV/0!</v>
      </c>
      <c r="R305" s="538" t="e">
        <f>IF(INPUTS!$B$15="yes",Q305,P305)</f>
        <v>#DIV/0!</v>
      </c>
      <c r="S305" s="536" t="e">
        <f t="shared" si="67"/>
        <v>#DIV/0!</v>
      </c>
      <c r="T305" s="537" t="e">
        <f t="shared" si="72"/>
        <v>#DIV/0!</v>
      </c>
      <c r="U305" s="538" t="e">
        <f>IF(INPUTS!$B$15="yes",T305,S305)</f>
        <v>#DIV/0!</v>
      </c>
      <c r="V305" s="536" t="e">
        <f t="shared" si="68"/>
        <v>#DIV/0!</v>
      </c>
      <c r="W305" s="537" t="e">
        <f t="shared" si="73"/>
        <v>#DIV/0!</v>
      </c>
      <c r="X305" s="538" t="e">
        <f>IF(INPUTS!$B$15="yes",W305,V305)</f>
        <v>#DIV/0!</v>
      </c>
      <c r="Y305" s="536" t="e">
        <f t="shared" si="69"/>
        <v>#DIV/0!</v>
      </c>
      <c r="Z305" s="537" t="e">
        <f t="shared" si="74"/>
        <v>#DIV/0!</v>
      </c>
      <c r="AA305" s="538" t="e">
        <f>IF(INPUTS!$B$15="yes",Z305,Y305)</f>
        <v>#DIV/0!</v>
      </c>
      <c r="AB305" s="536" t="e">
        <f t="shared" si="70"/>
        <v>#DIV/0!</v>
      </c>
      <c r="AC305" s="537" t="e">
        <f t="shared" si="75"/>
        <v>#DIV/0!</v>
      </c>
      <c r="AD305" s="538" t="e">
        <f>IF(INPUTS!$B$15="yes",AC305,AB305)</f>
        <v>#DIV/0!</v>
      </c>
      <c r="AE305" s="36" t="str">
        <f t="shared" si="76"/>
        <v>no</v>
      </c>
      <c r="AF305" s="36"/>
      <c r="AG305" s="389" t="e">
        <f>P305*('upper bound Kenaga'!$F$36/100)</f>
        <v>#DIV/0!</v>
      </c>
      <c r="AH305" s="36"/>
      <c r="AI305" s="389" t="e">
        <f>P305*('upper bound Kenaga'!$F$96/100)</f>
        <v>#DIV/0!</v>
      </c>
      <c r="AJ305" s="36"/>
      <c r="AK305" s="36"/>
      <c r="AL305" s="36"/>
      <c r="AM305" s="36"/>
      <c r="AN305" s="36"/>
      <c r="AO305" s="36"/>
    </row>
    <row r="306" spans="10:41" s="1" customFormat="1">
      <c r="J306" s="6">
        <f>COUNTIF(K$21:K306,"=yes")</f>
        <v>1</v>
      </c>
      <c r="K306" s="533" t="str">
        <f>IF(LOOKUP(VALUE(M306),INPUTS!$G$6:$G$35)=M306,"yes","no")</f>
        <v>no</v>
      </c>
      <c r="L306" s="533">
        <f>IF(K306="yes",(LOOKUP(J306,INPUTS!$E$6:$E$35,INPUTS!$F$6:$F$35)),0)</f>
        <v>0</v>
      </c>
      <c r="M306" s="135">
        <f t="shared" si="64"/>
        <v>285</v>
      </c>
      <c r="N306" s="135">
        <f t="shared" si="65"/>
        <v>1</v>
      </c>
      <c r="O306" s="135">
        <f t="shared" si="66"/>
        <v>0</v>
      </c>
      <c r="P306" s="536" t="e">
        <f t="shared" si="77"/>
        <v>#DIV/0!</v>
      </c>
      <c r="Q306" s="537" t="e">
        <f t="shared" si="71"/>
        <v>#DIV/0!</v>
      </c>
      <c r="R306" s="538" t="e">
        <f>IF(INPUTS!$B$15="yes",Q306,P306)</f>
        <v>#DIV/0!</v>
      </c>
      <c r="S306" s="536" t="e">
        <f t="shared" si="67"/>
        <v>#DIV/0!</v>
      </c>
      <c r="T306" s="537" t="e">
        <f t="shared" si="72"/>
        <v>#DIV/0!</v>
      </c>
      <c r="U306" s="538" t="e">
        <f>IF(INPUTS!$B$15="yes",T306,S306)</f>
        <v>#DIV/0!</v>
      </c>
      <c r="V306" s="536" t="e">
        <f t="shared" si="68"/>
        <v>#DIV/0!</v>
      </c>
      <c r="W306" s="537" t="e">
        <f t="shared" si="73"/>
        <v>#DIV/0!</v>
      </c>
      <c r="X306" s="538" t="e">
        <f>IF(INPUTS!$B$15="yes",W306,V306)</f>
        <v>#DIV/0!</v>
      </c>
      <c r="Y306" s="536" t="e">
        <f t="shared" si="69"/>
        <v>#DIV/0!</v>
      </c>
      <c r="Z306" s="537" t="e">
        <f t="shared" si="74"/>
        <v>#DIV/0!</v>
      </c>
      <c r="AA306" s="538" t="e">
        <f>IF(INPUTS!$B$15="yes",Z306,Y306)</f>
        <v>#DIV/0!</v>
      </c>
      <c r="AB306" s="536" t="e">
        <f t="shared" si="70"/>
        <v>#DIV/0!</v>
      </c>
      <c r="AC306" s="537" t="e">
        <f t="shared" si="75"/>
        <v>#DIV/0!</v>
      </c>
      <c r="AD306" s="538" t="e">
        <f>IF(INPUTS!$B$15="yes",AC306,AB306)</f>
        <v>#DIV/0!</v>
      </c>
      <c r="AE306" s="36" t="str">
        <f t="shared" si="76"/>
        <v>no</v>
      </c>
      <c r="AF306" s="36"/>
      <c r="AG306" s="389" t="e">
        <f>P306*('upper bound Kenaga'!$F$36/100)</f>
        <v>#DIV/0!</v>
      </c>
      <c r="AH306" s="36"/>
      <c r="AI306" s="389" t="e">
        <f>P306*('upper bound Kenaga'!$F$96/100)</f>
        <v>#DIV/0!</v>
      </c>
      <c r="AJ306" s="36"/>
      <c r="AK306" s="36"/>
      <c r="AL306" s="36"/>
      <c r="AM306" s="36"/>
      <c r="AN306" s="36"/>
      <c r="AO306" s="36"/>
    </row>
    <row r="307" spans="10:41" s="1" customFormat="1">
      <c r="J307" s="6">
        <f>COUNTIF(K$21:K307,"=yes")</f>
        <v>1</v>
      </c>
      <c r="K307" s="533" t="str">
        <f>IF(LOOKUP(VALUE(M307),INPUTS!$G$6:$G$35)=M307,"yes","no")</f>
        <v>no</v>
      </c>
      <c r="L307" s="533">
        <f>IF(K307="yes",(LOOKUP(J307,INPUTS!$E$6:$E$35,INPUTS!$F$6:$F$35)),0)</f>
        <v>0</v>
      </c>
      <c r="M307" s="135">
        <f t="shared" si="64"/>
        <v>286</v>
      </c>
      <c r="N307" s="135">
        <f t="shared" si="65"/>
        <v>1</v>
      </c>
      <c r="O307" s="135">
        <f t="shared" si="66"/>
        <v>0</v>
      </c>
      <c r="P307" s="536" t="e">
        <f t="shared" si="77"/>
        <v>#DIV/0!</v>
      </c>
      <c r="Q307" s="537" t="e">
        <f t="shared" si="71"/>
        <v>#DIV/0!</v>
      </c>
      <c r="R307" s="538" t="e">
        <f>IF(INPUTS!$B$15="yes",Q307,P307)</f>
        <v>#DIV/0!</v>
      </c>
      <c r="S307" s="536" t="e">
        <f t="shared" si="67"/>
        <v>#DIV/0!</v>
      </c>
      <c r="T307" s="537" t="e">
        <f t="shared" si="72"/>
        <v>#DIV/0!</v>
      </c>
      <c r="U307" s="538" t="e">
        <f>IF(INPUTS!$B$15="yes",T307,S307)</f>
        <v>#DIV/0!</v>
      </c>
      <c r="V307" s="536" t="e">
        <f t="shared" si="68"/>
        <v>#DIV/0!</v>
      </c>
      <c r="W307" s="537" t="e">
        <f t="shared" si="73"/>
        <v>#DIV/0!</v>
      </c>
      <c r="X307" s="538" t="e">
        <f>IF(INPUTS!$B$15="yes",W307,V307)</f>
        <v>#DIV/0!</v>
      </c>
      <c r="Y307" s="536" t="e">
        <f t="shared" si="69"/>
        <v>#DIV/0!</v>
      </c>
      <c r="Z307" s="537" t="e">
        <f t="shared" si="74"/>
        <v>#DIV/0!</v>
      </c>
      <c r="AA307" s="538" t="e">
        <f>IF(INPUTS!$B$15="yes",Z307,Y307)</f>
        <v>#DIV/0!</v>
      </c>
      <c r="AB307" s="536" t="e">
        <f t="shared" si="70"/>
        <v>#DIV/0!</v>
      </c>
      <c r="AC307" s="537" t="e">
        <f t="shared" si="75"/>
        <v>#DIV/0!</v>
      </c>
      <c r="AD307" s="538" t="e">
        <f>IF(INPUTS!$B$15="yes",AC307,AB307)</f>
        <v>#DIV/0!</v>
      </c>
      <c r="AE307" s="36" t="str">
        <f t="shared" si="76"/>
        <v>no</v>
      </c>
      <c r="AF307" s="36"/>
      <c r="AG307" s="389" t="e">
        <f>P307*('upper bound Kenaga'!$F$36/100)</f>
        <v>#DIV/0!</v>
      </c>
      <c r="AH307" s="36"/>
      <c r="AI307" s="389" t="e">
        <f>P307*('upper bound Kenaga'!$F$96/100)</f>
        <v>#DIV/0!</v>
      </c>
      <c r="AJ307" s="36"/>
      <c r="AK307" s="36"/>
      <c r="AL307" s="36"/>
      <c r="AM307" s="36"/>
      <c r="AN307" s="36"/>
      <c r="AO307" s="36"/>
    </row>
    <row r="308" spans="10:41" s="1" customFormat="1">
      <c r="J308" s="6">
        <f>COUNTIF(K$21:K308,"=yes")</f>
        <v>1</v>
      </c>
      <c r="K308" s="533" t="str">
        <f>IF(LOOKUP(VALUE(M308),INPUTS!$G$6:$G$35)=M308,"yes","no")</f>
        <v>no</v>
      </c>
      <c r="L308" s="533">
        <f>IF(K308="yes",(LOOKUP(J308,INPUTS!$E$6:$E$35,INPUTS!$F$6:$F$35)),0)</f>
        <v>0</v>
      </c>
      <c r="M308" s="135">
        <f t="shared" si="64"/>
        <v>287</v>
      </c>
      <c r="N308" s="135">
        <f t="shared" si="65"/>
        <v>1</v>
      </c>
      <c r="O308" s="135">
        <f t="shared" si="66"/>
        <v>0</v>
      </c>
      <c r="P308" s="536" t="e">
        <f t="shared" si="77"/>
        <v>#DIV/0!</v>
      </c>
      <c r="Q308" s="537" t="e">
        <f t="shared" si="71"/>
        <v>#DIV/0!</v>
      </c>
      <c r="R308" s="538" t="e">
        <f>IF(INPUTS!$B$15="yes",Q308,P308)</f>
        <v>#DIV/0!</v>
      </c>
      <c r="S308" s="536" t="e">
        <f t="shared" si="67"/>
        <v>#DIV/0!</v>
      </c>
      <c r="T308" s="537" t="e">
        <f t="shared" si="72"/>
        <v>#DIV/0!</v>
      </c>
      <c r="U308" s="538" t="e">
        <f>IF(INPUTS!$B$15="yes",T308,S308)</f>
        <v>#DIV/0!</v>
      </c>
      <c r="V308" s="536" t="e">
        <f t="shared" si="68"/>
        <v>#DIV/0!</v>
      </c>
      <c r="W308" s="537" t="e">
        <f t="shared" si="73"/>
        <v>#DIV/0!</v>
      </c>
      <c r="X308" s="538" t="e">
        <f>IF(INPUTS!$B$15="yes",W308,V308)</f>
        <v>#DIV/0!</v>
      </c>
      <c r="Y308" s="536" t="e">
        <f t="shared" si="69"/>
        <v>#DIV/0!</v>
      </c>
      <c r="Z308" s="537" t="e">
        <f t="shared" si="74"/>
        <v>#DIV/0!</v>
      </c>
      <c r="AA308" s="538" t="e">
        <f>IF(INPUTS!$B$15="yes",Z308,Y308)</f>
        <v>#DIV/0!</v>
      </c>
      <c r="AB308" s="536" t="e">
        <f t="shared" si="70"/>
        <v>#DIV/0!</v>
      </c>
      <c r="AC308" s="537" t="e">
        <f t="shared" si="75"/>
        <v>#DIV/0!</v>
      </c>
      <c r="AD308" s="538" t="e">
        <f>IF(INPUTS!$B$15="yes",AC308,AB308)</f>
        <v>#DIV/0!</v>
      </c>
      <c r="AE308" s="36" t="str">
        <f t="shared" si="76"/>
        <v>no</v>
      </c>
      <c r="AF308" s="36"/>
      <c r="AG308" s="389" t="e">
        <f>P308*('upper bound Kenaga'!$F$36/100)</f>
        <v>#DIV/0!</v>
      </c>
      <c r="AH308" s="36"/>
      <c r="AI308" s="389" t="e">
        <f>P308*('upper bound Kenaga'!$F$96/100)</f>
        <v>#DIV/0!</v>
      </c>
      <c r="AJ308" s="36"/>
      <c r="AK308" s="36"/>
      <c r="AL308" s="36"/>
      <c r="AM308" s="36"/>
      <c r="AN308" s="36"/>
      <c r="AO308" s="36"/>
    </row>
    <row r="309" spans="10:41" s="1" customFormat="1">
      <c r="J309" s="6">
        <f>COUNTIF(K$21:K309,"=yes")</f>
        <v>1</v>
      </c>
      <c r="K309" s="533" t="str">
        <f>IF(LOOKUP(VALUE(M309),INPUTS!$G$6:$G$35)=M309,"yes","no")</f>
        <v>no</v>
      </c>
      <c r="L309" s="533">
        <f>IF(K309="yes",(LOOKUP(J309,INPUTS!$E$6:$E$35,INPUTS!$F$6:$F$35)),0)</f>
        <v>0</v>
      </c>
      <c r="M309" s="135">
        <f t="shared" si="64"/>
        <v>288</v>
      </c>
      <c r="N309" s="135">
        <f t="shared" si="65"/>
        <v>1</v>
      </c>
      <c r="O309" s="135">
        <f t="shared" si="66"/>
        <v>0</v>
      </c>
      <c r="P309" s="536" t="e">
        <f t="shared" si="77"/>
        <v>#DIV/0!</v>
      </c>
      <c r="Q309" s="537" t="e">
        <f t="shared" si="71"/>
        <v>#DIV/0!</v>
      </c>
      <c r="R309" s="538" t="e">
        <f>IF(INPUTS!$B$15="yes",Q309,P309)</f>
        <v>#DIV/0!</v>
      </c>
      <c r="S309" s="536" t="e">
        <f t="shared" si="67"/>
        <v>#DIV/0!</v>
      </c>
      <c r="T309" s="537" t="e">
        <f t="shared" si="72"/>
        <v>#DIV/0!</v>
      </c>
      <c r="U309" s="538" t="e">
        <f>IF(INPUTS!$B$15="yes",T309,S309)</f>
        <v>#DIV/0!</v>
      </c>
      <c r="V309" s="536" t="e">
        <f t="shared" si="68"/>
        <v>#DIV/0!</v>
      </c>
      <c r="W309" s="537" t="e">
        <f t="shared" si="73"/>
        <v>#DIV/0!</v>
      </c>
      <c r="X309" s="538" t="e">
        <f>IF(INPUTS!$B$15="yes",W309,V309)</f>
        <v>#DIV/0!</v>
      </c>
      <c r="Y309" s="536" t="e">
        <f t="shared" si="69"/>
        <v>#DIV/0!</v>
      </c>
      <c r="Z309" s="537" t="e">
        <f t="shared" si="74"/>
        <v>#DIV/0!</v>
      </c>
      <c r="AA309" s="538" t="e">
        <f>IF(INPUTS!$B$15="yes",Z309,Y309)</f>
        <v>#DIV/0!</v>
      </c>
      <c r="AB309" s="536" t="e">
        <f t="shared" si="70"/>
        <v>#DIV/0!</v>
      </c>
      <c r="AC309" s="537" t="e">
        <f t="shared" si="75"/>
        <v>#DIV/0!</v>
      </c>
      <c r="AD309" s="538" t="e">
        <f>IF(INPUTS!$B$15="yes",AC309,AB309)</f>
        <v>#DIV/0!</v>
      </c>
      <c r="AE309" s="36" t="str">
        <f t="shared" si="76"/>
        <v>no</v>
      </c>
      <c r="AF309" s="36"/>
      <c r="AG309" s="389" t="e">
        <f>P309*('upper bound Kenaga'!$F$36/100)</f>
        <v>#DIV/0!</v>
      </c>
      <c r="AH309" s="36"/>
      <c r="AI309" s="389" t="e">
        <f>P309*('upper bound Kenaga'!$F$96/100)</f>
        <v>#DIV/0!</v>
      </c>
      <c r="AJ309" s="36"/>
      <c r="AK309" s="36"/>
      <c r="AL309" s="36"/>
      <c r="AM309" s="36"/>
      <c r="AN309" s="36"/>
      <c r="AO309" s="36"/>
    </row>
    <row r="310" spans="10:41" s="1" customFormat="1">
      <c r="J310" s="6">
        <f>COUNTIF(K$21:K310,"=yes")</f>
        <v>1</v>
      </c>
      <c r="K310" s="533" t="str">
        <f>IF(LOOKUP(VALUE(M310),INPUTS!$G$6:$G$35)=M310,"yes","no")</f>
        <v>no</v>
      </c>
      <c r="L310" s="533">
        <f>IF(K310="yes",(LOOKUP(J310,INPUTS!$E$6:$E$35,INPUTS!$F$6:$F$35)),0)</f>
        <v>0</v>
      </c>
      <c r="M310" s="135">
        <f t="shared" si="64"/>
        <v>289</v>
      </c>
      <c r="N310" s="135">
        <f t="shared" si="65"/>
        <v>1</v>
      </c>
      <c r="O310" s="135">
        <f t="shared" si="66"/>
        <v>0</v>
      </c>
      <c r="P310" s="536" t="e">
        <f t="shared" si="77"/>
        <v>#DIV/0!</v>
      </c>
      <c r="Q310" s="537" t="e">
        <f t="shared" si="71"/>
        <v>#DIV/0!</v>
      </c>
      <c r="R310" s="538" t="e">
        <f>IF(INPUTS!$B$15="yes",Q310,P310)</f>
        <v>#DIV/0!</v>
      </c>
      <c r="S310" s="536" t="e">
        <f t="shared" si="67"/>
        <v>#DIV/0!</v>
      </c>
      <c r="T310" s="537" t="e">
        <f t="shared" si="72"/>
        <v>#DIV/0!</v>
      </c>
      <c r="U310" s="538" t="e">
        <f>IF(INPUTS!$B$15="yes",T310,S310)</f>
        <v>#DIV/0!</v>
      </c>
      <c r="V310" s="536" t="e">
        <f t="shared" si="68"/>
        <v>#DIV/0!</v>
      </c>
      <c r="W310" s="537" t="e">
        <f t="shared" si="73"/>
        <v>#DIV/0!</v>
      </c>
      <c r="X310" s="538" t="e">
        <f>IF(INPUTS!$B$15="yes",W310,V310)</f>
        <v>#DIV/0!</v>
      </c>
      <c r="Y310" s="536" t="e">
        <f t="shared" si="69"/>
        <v>#DIV/0!</v>
      </c>
      <c r="Z310" s="537" t="e">
        <f t="shared" si="74"/>
        <v>#DIV/0!</v>
      </c>
      <c r="AA310" s="538" t="e">
        <f>IF(INPUTS!$B$15="yes",Z310,Y310)</f>
        <v>#DIV/0!</v>
      </c>
      <c r="AB310" s="536" t="e">
        <f t="shared" si="70"/>
        <v>#DIV/0!</v>
      </c>
      <c r="AC310" s="537" t="e">
        <f t="shared" si="75"/>
        <v>#DIV/0!</v>
      </c>
      <c r="AD310" s="538" t="e">
        <f>IF(INPUTS!$B$15="yes",AC310,AB310)</f>
        <v>#DIV/0!</v>
      </c>
      <c r="AE310" s="36" t="str">
        <f t="shared" si="76"/>
        <v>no</v>
      </c>
      <c r="AF310" s="36"/>
      <c r="AG310" s="389" t="e">
        <f>P310*('upper bound Kenaga'!$F$36/100)</f>
        <v>#DIV/0!</v>
      </c>
      <c r="AH310" s="36"/>
      <c r="AI310" s="389" t="e">
        <f>P310*('upper bound Kenaga'!$F$96/100)</f>
        <v>#DIV/0!</v>
      </c>
      <c r="AJ310" s="36"/>
      <c r="AK310" s="36"/>
      <c r="AL310" s="36"/>
      <c r="AM310" s="36"/>
      <c r="AN310" s="36"/>
      <c r="AO310" s="36"/>
    </row>
    <row r="311" spans="10:41" s="1" customFormat="1">
      <c r="J311" s="6">
        <f>COUNTIF(K$21:K311,"=yes")</f>
        <v>1</v>
      </c>
      <c r="K311" s="533" t="str">
        <f>IF(LOOKUP(VALUE(M311),INPUTS!$G$6:$G$35)=M311,"yes","no")</f>
        <v>no</v>
      </c>
      <c r="L311" s="533">
        <f>IF(K311="yes",(LOOKUP(J311,INPUTS!$E$6:$E$35,INPUTS!$F$6:$F$35)),0)</f>
        <v>0</v>
      </c>
      <c r="M311" s="135">
        <f t="shared" si="64"/>
        <v>290</v>
      </c>
      <c r="N311" s="135">
        <f t="shared" si="65"/>
        <v>1</v>
      </c>
      <c r="O311" s="135">
        <f t="shared" si="66"/>
        <v>0</v>
      </c>
      <c r="P311" s="536" t="e">
        <f t="shared" si="77"/>
        <v>#DIV/0!</v>
      </c>
      <c r="Q311" s="537" t="e">
        <f t="shared" si="71"/>
        <v>#DIV/0!</v>
      </c>
      <c r="R311" s="538" t="e">
        <f>IF(INPUTS!$B$15="yes",Q311,P311)</f>
        <v>#DIV/0!</v>
      </c>
      <c r="S311" s="536" t="e">
        <f t="shared" si="67"/>
        <v>#DIV/0!</v>
      </c>
      <c r="T311" s="537" t="e">
        <f t="shared" si="72"/>
        <v>#DIV/0!</v>
      </c>
      <c r="U311" s="538" t="e">
        <f>IF(INPUTS!$B$15="yes",T311,S311)</f>
        <v>#DIV/0!</v>
      </c>
      <c r="V311" s="536" t="e">
        <f t="shared" si="68"/>
        <v>#DIV/0!</v>
      </c>
      <c r="W311" s="537" t="e">
        <f t="shared" si="73"/>
        <v>#DIV/0!</v>
      </c>
      <c r="X311" s="538" t="e">
        <f>IF(INPUTS!$B$15="yes",W311,V311)</f>
        <v>#DIV/0!</v>
      </c>
      <c r="Y311" s="536" t="e">
        <f t="shared" si="69"/>
        <v>#DIV/0!</v>
      </c>
      <c r="Z311" s="537" t="e">
        <f t="shared" si="74"/>
        <v>#DIV/0!</v>
      </c>
      <c r="AA311" s="538" t="e">
        <f>IF(INPUTS!$B$15="yes",Z311,Y311)</f>
        <v>#DIV/0!</v>
      </c>
      <c r="AB311" s="536" t="e">
        <f t="shared" si="70"/>
        <v>#DIV/0!</v>
      </c>
      <c r="AC311" s="537" t="e">
        <f t="shared" si="75"/>
        <v>#DIV/0!</v>
      </c>
      <c r="AD311" s="538" t="e">
        <f>IF(INPUTS!$B$15="yes",AC311,AB311)</f>
        <v>#DIV/0!</v>
      </c>
      <c r="AE311" s="36" t="str">
        <f t="shared" si="76"/>
        <v>no</v>
      </c>
      <c r="AF311" s="36"/>
      <c r="AG311" s="389" t="e">
        <f>P311*('upper bound Kenaga'!$F$36/100)</f>
        <v>#DIV/0!</v>
      </c>
      <c r="AH311" s="36"/>
      <c r="AI311" s="389" t="e">
        <f>P311*('upper bound Kenaga'!$F$96/100)</f>
        <v>#DIV/0!</v>
      </c>
      <c r="AJ311" s="36"/>
      <c r="AK311" s="36"/>
      <c r="AL311" s="36"/>
      <c r="AM311" s="36"/>
      <c r="AN311" s="36"/>
      <c r="AO311" s="36"/>
    </row>
    <row r="312" spans="10:41" s="1" customFormat="1">
      <c r="J312" s="6">
        <f>COUNTIF(K$21:K312,"=yes")</f>
        <v>1</v>
      </c>
      <c r="K312" s="533" t="str">
        <f>IF(LOOKUP(VALUE(M312),INPUTS!$G$6:$G$35)=M312,"yes","no")</f>
        <v>no</v>
      </c>
      <c r="L312" s="533">
        <f>IF(K312="yes",(LOOKUP(J312,INPUTS!$E$6:$E$35,INPUTS!$F$6:$F$35)),0)</f>
        <v>0</v>
      </c>
      <c r="M312" s="135">
        <f t="shared" si="64"/>
        <v>291</v>
      </c>
      <c r="N312" s="135">
        <f t="shared" si="65"/>
        <v>1</v>
      </c>
      <c r="O312" s="135">
        <f t="shared" si="66"/>
        <v>0</v>
      </c>
      <c r="P312" s="536" t="e">
        <f t="shared" si="77"/>
        <v>#DIV/0!</v>
      </c>
      <c r="Q312" s="537" t="e">
        <f t="shared" si="71"/>
        <v>#DIV/0!</v>
      </c>
      <c r="R312" s="538" t="e">
        <f>IF(INPUTS!$B$15="yes",Q312,P312)</f>
        <v>#DIV/0!</v>
      </c>
      <c r="S312" s="536" t="e">
        <f t="shared" si="67"/>
        <v>#DIV/0!</v>
      </c>
      <c r="T312" s="537" t="e">
        <f t="shared" si="72"/>
        <v>#DIV/0!</v>
      </c>
      <c r="U312" s="538" t="e">
        <f>IF(INPUTS!$B$15="yes",T312,S312)</f>
        <v>#DIV/0!</v>
      </c>
      <c r="V312" s="536" t="e">
        <f t="shared" si="68"/>
        <v>#DIV/0!</v>
      </c>
      <c r="W312" s="537" t="e">
        <f t="shared" si="73"/>
        <v>#DIV/0!</v>
      </c>
      <c r="X312" s="538" t="e">
        <f>IF(INPUTS!$B$15="yes",W312,V312)</f>
        <v>#DIV/0!</v>
      </c>
      <c r="Y312" s="536" t="e">
        <f t="shared" si="69"/>
        <v>#DIV/0!</v>
      </c>
      <c r="Z312" s="537" t="e">
        <f t="shared" si="74"/>
        <v>#DIV/0!</v>
      </c>
      <c r="AA312" s="538" t="e">
        <f>IF(INPUTS!$B$15="yes",Z312,Y312)</f>
        <v>#DIV/0!</v>
      </c>
      <c r="AB312" s="536" t="e">
        <f t="shared" si="70"/>
        <v>#DIV/0!</v>
      </c>
      <c r="AC312" s="537" t="e">
        <f t="shared" si="75"/>
        <v>#DIV/0!</v>
      </c>
      <c r="AD312" s="538" t="e">
        <f>IF(INPUTS!$B$15="yes",AC312,AB312)</f>
        <v>#DIV/0!</v>
      </c>
      <c r="AE312" s="36" t="str">
        <f t="shared" si="76"/>
        <v>no</v>
      </c>
      <c r="AF312" s="36"/>
      <c r="AG312" s="389" t="e">
        <f>P312*('upper bound Kenaga'!$F$36/100)</f>
        <v>#DIV/0!</v>
      </c>
      <c r="AH312" s="36"/>
      <c r="AI312" s="389" t="e">
        <f>P312*('upper bound Kenaga'!$F$96/100)</f>
        <v>#DIV/0!</v>
      </c>
      <c r="AJ312" s="36"/>
      <c r="AK312" s="36"/>
      <c r="AL312" s="36"/>
      <c r="AM312" s="36"/>
      <c r="AN312" s="36"/>
      <c r="AO312" s="36"/>
    </row>
    <row r="313" spans="10:41" s="1" customFormat="1">
      <c r="J313" s="6">
        <f>COUNTIF(K$21:K313,"=yes")</f>
        <v>1</v>
      </c>
      <c r="K313" s="533" t="str">
        <f>IF(LOOKUP(VALUE(M313),INPUTS!$G$6:$G$35)=M313,"yes","no")</f>
        <v>no</v>
      </c>
      <c r="L313" s="533">
        <f>IF(K313="yes",(LOOKUP(J313,INPUTS!$E$6:$E$35,INPUTS!$F$6:$F$35)),0)</f>
        <v>0</v>
      </c>
      <c r="M313" s="135">
        <f t="shared" si="64"/>
        <v>292</v>
      </c>
      <c r="N313" s="135">
        <f t="shared" si="65"/>
        <v>1</v>
      </c>
      <c r="O313" s="135">
        <f t="shared" si="66"/>
        <v>0</v>
      </c>
      <c r="P313" s="536" t="e">
        <f t="shared" si="77"/>
        <v>#DIV/0!</v>
      </c>
      <c r="Q313" s="537" t="e">
        <f t="shared" si="71"/>
        <v>#DIV/0!</v>
      </c>
      <c r="R313" s="538" t="e">
        <f>IF(INPUTS!$B$15="yes",Q313,P313)</f>
        <v>#DIV/0!</v>
      </c>
      <c r="S313" s="536" t="e">
        <f t="shared" si="67"/>
        <v>#DIV/0!</v>
      </c>
      <c r="T313" s="537" t="e">
        <f t="shared" si="72"/>
        <v>#DIV/0!</v>
      </c>
      <c r="U313" s="538" t="e">
        <f>IF(INPUTS!$B$15="yes",T313,S313)</f>
        <v>#DIV/0!</v>
      </c>
      <c r="V313" s="536" t="e">
        <f t="shared" si="68"/>
        <v>#DIV/0!</v>
      </c>
      <c r="W313" s="537" t="e">
        <f t="shared" si="73"/>
        <v>#DIV/0!</v>
      </c>
      <c r="X313" s="538" t="e">
        <f>IF(INPUTS!$B$15="yes",W313,V313)</f>
        <v>#DIV/0!</v>
      </c>
      <c r="Y313" s="536" t="e">
        <f t="shared" si="69"/>
        <v>#DIV/0!</v>
      </c>
      <c r="Z313" s="537" t="e">
        <f t="shared" si="74"/>
        <v>#DIV/0!</v>
      </c>
      <c r="AA313" s="538" t="e">
        <f>IF(INPUTS!$B$15="yes",Z313,Y313)</f>
        <v>#DIV/0!</v>
      </c>
      <c r="AB313" s="536" t="e">
        <f t="shared" si="70"/>
        <v>#DIV/0!</v>
      </c>
      <c r="AC313" s="537" t="e">
        <f t="shared" si="75"/>
        <v>#DIV/0!</v>
      </c>
      <c r="AD313" s="538" t="e">
        <f>IF(INPUTS!$B$15="yes",AC313,AB313)</f>
        <v>#DIV/0!</v>
      </c>
      <c r="AE313" s="36" t="str">
        <f t="shared" si="76"/>
        <v>no</v>
      </c>
      <c r="AF313" s="36"/>
      <c r="AG313" s="389" t="e">
        <f>P313*('upper bound Kenaga'!$F$36/100)</f>
        <v>#DIV/0!</v>
      </c>
      <c r="AH313" s="36"/>
      <c r="AI313" s="389" t="e">
        <f>P313*('upper bound Kenaga'!$F$96/100)</f>
        <v>#DIV/0!</v>
      </c>
      <c r="AJ313" s="36"/>
      <c r="AK313" s="36"/>
      <c r="AL313" s="36"/>
      <c r="AM313" s="36"/>
      <c r="AN313" s="36"/>
      <c r="AO313" s="36"/>
    </row>
    <row r="314" spans="10:41" s="1" customFormat="1">
      <c r="J314" s="6">
        <f>COUNTIF(K$21:K314,"=yes")</f>
        <v>1</v>
      </c>
      <c r="K314" s="533" t="str">
        <f>IF(LOOKUP(VALUE(M314),INPUTS!$G$6:$G$35)=M314,"yes","no")</f>
        <v>no</v>
      </c>
      <c r="L314" s="533">
        <f>IF(K314="yes",(LOOKUP(J314,INPUTS!$E$6:$E$35,INPUTS!$F$6:$F$35)),0)</f>
        <v>0</v>
      </c>
      <c r="M314" s="135">
        <f t="shared" si="64"/>
        <v>293</v>
      </c>
      <c r="N314" s="135">
        <f t="shared" si="65"/>
        <v>1</v>
      </c>
      <c r="O314" s="135">
        <f t="shared" si="66"/>
        <v>0</v>
      </c>
      <c r="P314" s="536" t="e">
        <f t="shared" si="77"/>
        <v>#DIV/0!</v>
      </c>
      <c r="Q314" s="537" t="e">
        <f t="shared" si="71"/>
        <v>#DIV/0!</v>
      </c>
      <c r="R314" s="538" t="e">
        <f>IF(INPUTS!$B$15="yes",Q314,P314)</f>
        <v>#DIV/0!</v>
      </c>
      <c r="S314" s="536" t="e">
        <f t="shared" si="67"/>
        <v>#DIV/0!</v>
      </c>
      <c r="T314" s="537" t="e">
        <f t="shared" si="72"/>
        <v>#DIV/0!</v>
      </c>
      <c r="U314" s="538" t="e">
        <f>IF(INPUTS!$B$15="yes",T314,S314)</f>
        <v>#DIV/0!</v>
      </c>
      <c r="V314" s="536" t="e">
        <f t="shared" si="68"/>
        <v>#DIV/0!</v>
      </c>
      <c r="W314" s="537" t="e">
        <f t="shared" si="73"/>
        <v>#DIV/0!</v>
      </c>
      <c r="X314" s="538" t="e">
        <f>IF(INPUTS!$B$15="yes",W314,V314)</f>
        <v>#DIV/0!</v>
      </c>
      <c r="Y314" s="536" t="e">
        <f t="shared" si="69"/>
        <v>#DIV/0!</v>
      </c>
      <c r="Z314" s="537" t="e">
        <f t="shared" si="74"/>
        <v>#DIV/0!</v>
      </c>
      <c r="AA314" s="538" t="e">
        <f>IF(INPUTS!$B$15="yes",Z314,Y314)</f>
        <v>#DIV/0!</v>
      </c>
      <c r="AB314" s="536" t="e">
        <f t="shared" si="70"/>
        <v>#DIV/0!</v>
      </c>
      <c r="AC314" s="537" t="e">
        <f t="shared" si="75"/>
        <v>#DIV/0!</v>
      </c>
      <c r="AD314" s="538" t="e">
        <f>IF(INPUTS!$B$15="yes",AC314,AB314)</f>
        <v>#DIV/0!</v>
      </c>
      <c r="AE314" s="36" t="str">
        <f t="shared" si="76"/>
        <v>no</v>
      </c>
      <c r="AF314" s="36"/>
      <c r="AG314" s="389" t="e">
        <f>P314*('upper bound Kenaga'!$F$36/100)</f>
        <v>#DIV/0!</v>
      </c>
      <c r="AH314" s="36"/>
      <c r="AI314" s="389" t="e">
        <f>P314*('upper bound Kenaga'!$F$96/100)</f>
        <v>#DIV/0!</v>
      </c>
      <c r="AJ314" s="36"/>
      <c r="AK314" s="36"/>
      <c r="AL314" s="36"/>
      <c r="AM314" s="36"/>
      <c r="AN314" s="36"/>
      <c r="AO314" s="36"/>
    </row>
    <row r="315" spans="10:41" s="1" customFormat="1">
      <c r="J315" s="6">
        <f>COUNTIF(K$21:K315,"=yes")</f>
        <v>1</v>
      </c>
      <c r="K315" s="533" t="str">
        <f>IF(LOOKUP(VALUE(M315),INPUTS!$G$6:$G$35)=M315,"yes","no")</f>
        <v>no</v>
      </c>
      <c r="L315" s="533">
        <f>IF(K315="yes",(LOOKUP(J315,INPUTS!$E$6:$E$35,INPUTS!$F$6:$F$35)),0)</f>
        <v>0</v>
      </c>
      <c r="M315" s="135">
        <f t="shared" si="64"/>
        <v>294</v>
      </c>
      <c r="N315" s="135">
        <f t="shared" si="65"/>
        <v>1</v>
      </c>
      <c r="O315" s="135">
        <f t="shared" si="66"/>
        <v>0</v>
      </c>
      <c r="P315" s="536" t="e">
        <f t="shared" si="77"/>
        <v>#DIV/0!</v>
      </c>
      <c r="Q315" s="537" t="e">
        <f t="shared" si="71"/>
        <v>#DIV/0!</v>
      </c>
      <c r="R315" s="538" t="e">
        <f>IF(INPUTS!$B$15="yes",Q315,P315)</f>
        <v>#DIV/0!</v>
      </c>
      <c r="S315" s="536" t="e">
        <f t="shared" si="67"/>
        <v>#DIV/0!</v>
      </c>
      <c r="T315" s="537" t="e">
        <f t="shared" si="72"/>
        <v>#DIV/0!</v>
      </c>
      <c r="U315" s="538" t="e">
        <f>IF(INPUTS!$B$15="yes",T315,S315)</f>
        <v>#DIV/0!</v>
      </c>
      <c r="V315" s="536" t="e">
        <f t="shared" si="68"/>
        <v>#DIV/0!</v>
      </c>
      <c r="W315" s="537" t="e">
        <f t="shared" si="73"/>
        <v>#DIV/0!</v>
      </c>
      <c r="X315" s="538" t="e">
        <f>IF(INPUTS!$B$15="yes",W315,V315)</f>
        <v>#DIV/0!</v>
      </c>
      <c r="Y315" s="536" t="e">
        <f t="shared" si="69"/>
        <v>#DIV/0!</v>
      </c>
      <c r="Z315" s="537" t="e">
        <f t="shared" si="74"/>
        <v>#DIV/0!</v>
      </c>
      <c r="AA315" s="538" t="e">
        <f>IF(INPUTS!$B$15="yes",Z315,Y315)</f>
        <v>#DIV/0!</v>
      </c>
      <c r="AB315" s="536" t="e">
        <f t="shared" si="70"/>
        <v>#DIV/0!</v>
      </c>
      <c r="AC315" s="537" t="e">
        <f t="shared" si="75"/>
        <v>#DIV/0!</v>
      </c>
      <c r="AD315" s="538" t="e">
        <f>IF(INPUTS!$B$15="yes",AC315,AB315)</f>
        <v>#DIV/0!</v>
      </c>
      <c r="AE315" s="36" t="str">
        <f t="shared" si="76"/>
        <v>no</v>
      </c>
      <c r="AF315" s="36"/>
      <c r="AG315" s="389" t="e">
        <f>P315*('upper bound Kenaga'!$F$36/100)</f>
        <v>#DIV/0!</v>
      </c>
      <c r="AH315" s="36"/>
      <c r="AI315" s="389" t="e">
        <f>P315*('upper bound Kenaga'!$F$96/100)</f>
        <v>#DIV/0!</v>
      </c>
      <c r="AJ315" s="36"/>
      <c r="AK315" s="36"/>
      <c r="AL315" s="36"/>
      <c r="AM315" s="36"/>
      <c r="AN315" s="36"/>
      <c r="AO315" s="36"/>
    </row>
    <row r="316" spans="10:41" s="1" customFormat="1">
      <c r="J316" s="6">
        <f>COUNTIF(K$21:K316,"=yes")</f>
        <v>1</v>
      </c>
      <c r="K316" s="533" t="str">
        <f>IF(LOOKUP(VALUE(M316),INPUTS!$G$6:$G$35)=M316,"yes","no")</f>
        <v>no</v>
      </c>
      <c r="L316" s="533">
        <f>IF(K316="yes",(LOOKUP(J316,INPUTS!$E$6:$E$35,INPUTS!$F$6:$F$35)),0)</f>
        <v>0</v>
      </c>
      <c r="M316" s="135">
        <f t="shared" si="64"/>
        <v>295</v>
      </c>
      <c r="N316" s="135">
        <f t="shared" si="65"/>
        <v>1</v>
      </c>
      <c r="O316" s="135">
        <f t="shared" si="66"/>
        <v>0</v>
      </c>
      <c r="P316" s="536" t="e">
        <f t="shared" si="77"/>
        <v>#DIV/0!</v>
      </c>
      <c r="Q316" s="537" t="e">
        <f t="shared" si="71"/>
        <v>#DIV/0!</v>
      </c>
      <c r="R316" s="538" t="e">
        <f>IF(INPUTS!$B$15="yes",Q316,P316)</f>
        <v>#DIV/0!</v>
      </c>
      <c r="S316" s="536" t="e">
        <f t="shared" si="67"/>
        <v>#DIV/0!</v>
      </c>
      <c r="T316" s="537" t="e">
        <f t="shared" si="72"/>
        <v>#DIV/0!</v>
      </c>
      <c r="U316" s="538" t="e">
        <f>IF(INPUTS!$B$15="yes",T316,S316)</f>
        <v>#DIV/0!</v>
      </c>
      <c r="V316" s="536" t="e">
        <f t="shared" si="68"/>
        <v>#DIV/0!</v>
      </c>
      <c r="W316" s="537" t="e">
        <f t="shared" si="73"/>
        <v>#DIV/0!</v>
      </c>
      <c r="X316" s="538" t="e">
        <f>IF(INPUTS!$B$15="yes",W316,V316)</f>
        <v>#DIV/0!</v>
      </c>
      <c r="Y316" s="536" t="e">
        <f t="shared" si="69"/>
        <v>#DIV/0!</v>
      </c>
      <c r="Z316" s="537" t="e">
        <f t="shared" si="74"/>
        <v>#DIV/0!</v>
      </c>
      <c r="AA316" s="538" t="e">
        <f>IF(INPUTS!$B$15="yes",Z316,Y316)</f>
        <v>#DIV/0!</v>
      </c>
      <c r="AB316" s="536" t="e">
        <f t="shared" si="70"/>
        <v>#DIV/0!</v>
      </c>
      <c r="AC316" s="537" t="e">
        <f t="shared" si="75"/>
        <v>#DIV/0!</v>
      </c>
      <c r="AD316" s="538" t="e">
        <f>IF(INPUTS!$B$15="yes",AC316,AB316)</f>
        <v>#DIV/0!</v>
      </c>
      <c r="AE316" s="36" t="str">
        <f t="shared" si="76"/>
        <v>no</v>
      </c>
      <c r="AF316" s="36"/>
      <c r="AG316" s="389" t="e">
        <f>P316*('upper bound Kenaga'!$F$36/100)</f>
        <v>#DIV/0!</v>
      </c>
      <c r="AH316" s="36"/>
      <c r="AI316" s="389" t="e">
        <f>P316*('upper bound Kenaga'!$F$96/100)</f>
        <v>#DIV/0!</v>
      </c>
      <c r="AJ316" s="36"/>
      <c r="AK316" s="36"/>
      <c r="AL316" s="36"/>
      <c r="AM316" s="36"/>
      <c r="AN316" s="36"/>
      <c r="AO316" s="36"/>
    </row>
    <row r="317" spans="10:41" s="1" customFormat="1">
      <c r="J317" s="6">
        <f>COUNTIF(K$21:K317,"=yes")</f>
        <v>1</v>
      </c>
      <c r="K317" s="533" t="str">
        <f>IF(LOOKUP(VALUE(M317),INPUTS!$G$6:$G$35)=M317,"yes","no")</f>
        <v>no</v>
      </c>
      <c r="L317" s="533">
        <f>IF(K317="yes",(LOOKUP(J317,INPUTS!$E$6:$E$35,INPUTS!$F$6:$F$35)),0)</f>
        <v>0</v>
      </c>
      <c r="M317" s="135">
        <f t="shared" si="64"/>
        <v>296</v>
      </c>
      <c r="N317" s="135">
        <f t="shared" si="65"/>
        <v>1</v>
      </c>
      <c r="O317" s="135">
        <f t="shared" si="66"/>
        <v>0</v>
      </c>
      <c r="P317" s="536" t="e">
        <f t="shared" si="77"/>
        <v>#DIV/0!</v>
      </c>
      <c r="Q317" s="537" t="e">
        <f t="shared" si="71"/>
        <v>#DIV/0!</v>
      </c>
      <c r="R317" s="538" t="e">
        <f>IF(INPUTS!$B$15="yes",Q317,P317)</f>
        <v>#DIV/0!</v>
      </c>
      <c r="S317" s="536" t="e">
        <f t="shared" si="67"/>
        <v>#DIV/0!</v>
      </c>
      <c r="T317" s="537" t="e">
        <f t="shared" si="72"/>
        <v>#DIV/0!</v>
      </c>
      <c r="U317" s="538" t="e">
        <f>IF(INPUTS!$B$15="yes",T317,S317)</f>
        <v>#DIV/0!</v>
      </c>
      <c r="V317" s="536" t="e">
        <f t="shared" si="68"/>
        <v>#DIV/0!</v>
      </c>
      <c r="W317" s="537" t="e">
        <f t="shared" si="73"/>
        <v>#DIV/0!</v>
      </c>
      <c r="X317" s="538" t="e">
        <f>IF(INPUTS!$B$15="yes",W317,V317)</f>
        <v>#DIV/0!</v>
      </c>
      <c r="Y317" s="536" t="e">
        <f t="shared" si="69"/>
        <v>#DIV/0!</v>
      </c>
      <c r="Z317" s="537" t="e">
        <f t="shared" si="74"/>
        <v>#DIV/0!</v>
      </c>
      <c r="AA317" s="538" t="e">
        <f>IF(INPUTS!$B$15="yes",Z317,Y317)</f>
        <v>#DIV/0!</v>
      </c>
      <c r="AB317" s="536" t="e">
        <f t="shared" si="70"/>
        <v>#DIV/0!</v>
      </c>
      <c r="AC317" s="537" t="e">
        <f t="shared" si="75"/>
        <v>#DIV/0!</v>
      </c>
      <c r="AD317" s="538" t="e">
        <f>IF(INPUTS!$B$15="yes",AC317,AB317)</f>
        <v>#DIV/0!</v>
      </c>
      <c r="AE317" s="36" t="str">
        <f t="shared" si="76"/>
        <v>no</v>
      </c>
      <c r="AF317" s="36"/>
      <c r="AG317" s="389" t="e">
        <f>P317*('upper bound Kenaga'!$F$36/100)</f>
        <v>#DIV/0!</v>
      </c>
      <c r="AH317" s="36"/>
      <c r="AI317" s="389" t="e">
        <f>P317*('upper bound Kenaga'!$F$96/100)</f>
        <v>#DIV/0!</v>
      </c>
      <c r="AJ317" s="36"/>
      <c r="AK317" s="36"/>
      <c r="AL317" s="36"/>
      <c r="AM317" s="36"/>
      <c r="AN317" s="36"/>
      <c r="AO317" s="36"/>
    </row>
    <row r="318" spans="10:41" s="1" customFormat="1">
      <c r="J318" s="6">
        <f>COUNTIF(K$21:K318,"=yes")</f>
        <v>1</v>
      </c>
      <c r="K318" s="533" t="str">
        <f>IF(LOOKUP(VALUE(M318),INPUTS!$G$6:$G$35)=M318,"yes","no")</f>
        <v>no</v>
      </c>
      <c r="L318" s="533">
        <f>IF(K318="yes",(LOOKUP(J318,INPUTS!$E$6:$E$35,INPUTS!$F$6:$F$35)),0)</f>
        <v>0</v>
      </c>
      <c r="M318" s="135">
        <f t="shared" si="64"/>
        <v>297</v>
      </c>
      <c r="N318" s="135">
        <f t="shared" si="65"/>
        <v>1</v>
      </c>
      <c r="O318" s="135">
        <f t="shared" si="66"/>
        <v>0</v>
      </c>
      <c r="P318" s="536" t="e">
        <f t="shared" si="77"/>
        <v>#DIV/0!</v>
      </c>
      <c r="Q318" s="537" t="e">
        <f t="shared" si="71"/>
        <v>#DIV/0!</v>
      </c>
      <c r="R318" s="538" t="e">
        <f>IF(INPUTS!$B$15="yes",Q318,P318)</f>
        <v>#DIV/0!</v>
      </c>
      <c r="S318" s="536" t="e">
        <f t="shared" si="67"/>
        <v>#DIV/0!</v>
      </c>
      <c r="T318" s="537" t="e">
        <f t="shared" si="72"/>
        <v>#DIV/0!</v>
      </c>
      <c r="U318" s="538" t="e">
        <f>IF(INPUTS!$B$15="yes",T318,S318)</f>
        <v>#DIV/0!</v>
      </c>
      <c r="V318" s="536" t="e">
        <f t="shared" si="68"/>
        <v>#DIV/0!</v>
      </c>
      <c r="W318" s="537" t="e">
        <f t="shared" si="73"/>
        <v>#DIV/0!</v>
      </c>
      <c r="X318" s="538" t="e">
        <f>IF(INPUTS!$B$15="yes",W318,V318)</f>
        <v>#DIV/0!</v>
      </c>
      <c r="Y318" s="536" t="e">
        <f t="shared" si="69"/>
        <v>#DIV/0!</v>
      </c>
      <c r="Z318" s="537" t="e">
        <f t="shared" si="74"/>
        <v>#DIV/0!</v>
      </c>
      <c r="AA318" s="538" t="e">
        <f>IF(INPUTS!$B$15="yes",Z318,Y318)</f>
        <v>#DIV/0!</v>
      </c>
      <c r="AB318" s="536" t="e">
        <f t="shared" si="70"/>
        <v>#DIV/0!</v>
      </c>
      <c r="AC318" s="537" t="e">
        <f t="shared" si="75"/>
        <v>#DIV/0!</v>
      </c>
      <c r="AD318" s="538" t="e">
        <f>IF(INPUTS!$B$15="yes",AC318,AB318)</f>
        <v>#DIV/0!</v>
      </c>
      <c r="AE318" s="36" t="str">
        <f t="shared" si="76"/>
        <v>no</v>
      </c>
      <c r="AF318" s="36"/>
      <c r="AG318" s="389" t="e">
        <f>P318*('upper bound Kenaga'!$F$36/100)</f>
        <v>#DIV/0!</v>
      </c>
      <c r="AH318" s="36"/>
      <c r="AI318" s="389" t="e">
        <f>P318*('upper bound Kenaga'!$F$96/100)</f>
        <v>#DIV/0!</v>
      </c>
      <c r="AJ318" s="36"/>
      <c r="AK318" s="36"/>
      <c r="AL318" s="36"/>
      <c r="AM318" s="36"/>
      <c r="AN318" s="36"/>
      <c r="AO318" s="36"/>
    </row>
    <row r="319" spans="10:41" s="1" customFormat="1">
      <c r="J319" s="6">
        <f>COUNTIF(K$21:K319,"=yes")</f>
        <v>1</v>
      </c>
      <c r="K319" s="533" t="str">
        <f>IF(LOOKUP(VALUE(M319),INPUTS!$G$6:$G$35)=M319,"yes","no")</f>
        <v>no</v>
      </c>
      <c r="L319" s="533">
        <f>IF(K319="yes",(LOOKUP(J319,INPUTS!$E$6:$E$35,INPUTS!$F$6:$F$35)),0)</f>
        <v>0</v>
      </c>
      <c r="M319" s="135">
        <f t="shared" si="64"/>
        <v>298</v>
      </c>
      <c r="N319" s="135">
        <f t="shared" si="65"/>
        <v>1</v>
      </c>
      <c r="O319" s="135">
        <f t="shared" si="66"/>
        <v>0</v>
      </c>
      <c r="P319" s="536" t="e">
        <f t="shared" si="77"/>
        <v>#DIV/0!</v>
      </c>
      <c r="Q319" s="537" t="e">
        <f t="shared" si="71"/>
        <v>#DIV/0!</v>
      </c>
      <c r="R319" s="538" t="e">
        <f>IF(INPUTS!$B$15="yes",Q319,P319)</f>
        <v>#DIV/0!</v>
      </c>
      <c r="S319" s="536" t="e">
        <f t="shared" si="67"/>
        <v>#DIV/0!</v>
      </c>
      <c r="T319" s="537" t="e">
        <f t="shared" si="72"/>
        <v>#DIV/0!</v>
      </c>
      <c r="U319" s="538" t="e">
        <f>IF(INPUTS!$B$15="yes",T319,S319)</f>
        <v>#DIV/0!</v>
      </c>
      <c r="V319" s="536" t="e">
        <f t="shared" si="68"/>
        <v>#DIV/0!</v>
      </c>
      <c r="W319" s="537" t="e">
        <f t="shared" si="73"/>
        <v>#DIV/0!</v>
      </c>
      <c r="X319" s="538" t="e">
        <f>IF(INPUTS!$B$15="yes",W319,V319)</f>
        <v>#DIV/0!</v>
      </c>
      <c r="Y319" s="536" t="e">
        <f t="shared" si="69"/>
        <v>#DIV/0!</v>
      </c>
      <c r="Z319" s="537" t="e">
        <f t="shared" si="74"/>
        <v>#DIV/0!</v>
      </c>
      <c r="AA319" s="538" t="e">
        <f>IF(INPUTS!$B$15="yes",Z319,Y319)</f>
        <v>#DIV/0!</v>
      </c>
      <c r="AB319" s="536" t="e">
        <f t="shared" si="70"/>
        <v>#DIV/0!</v>
      </c>
      <c r="AC319" s="537" t="e">
        <f t="shared" si="75"/>
        <v>#DIV/0!</v>
      </c>
      <c r="AD319" s="538" t="e">
        <f>IF(INPUTS!$B$15="yes",AC319,AB319)</f>
        <v>#DIV/0!</v>
      </c>
      <c r="AE319" s="36" t="str">
        <f t="shared" si="76"/>
        <v>no</v>
      </c>
      <c r="AF319" s="36"/>
      <c r="AG319" s="389" t="e">
        <f>P319*('upper bound Kenaga'!$F$36/100)</f>
        <v>#DIV/0!</v>
      </c>
      <c r="AH319" s="36"/>
      <c r="AI319" s="389" t="e">
        <f>P319*('upper bound Kenaga'!$F$96/100)</f>
        <v>#DIV/0!</v>
      </c>
      <c r="AJ319" s="36"/>
      <c r="AK319" s="36"/>
      <c r="AL319" s="36"/>
      <c r="AM319" s="36"/>
      <c r="AN319" s="36"/>
      <c r="AO319" s="36"/>
    </row>
    <row r="320" spans="10:41" s="1" customFormat="1">
      <c r="J320" s="6">
        <f>COUNTIF(K$21:K320,"=yes")</f>
        <v>1</v>
      </c>
      <c r="K320" s="533" t="str">
        <f>IF(LOOKUP(VALUE(M320),INPUTS!$G$6:$G$35)=M320,"yes","no")</f>
        <v>no</v>
      </c>
      <c r="L320" s="533">
        <f>IF(K320="yes",(LOOKUP(J320,INPUTS!$E$6:$E$35,INPUTS!$F$6:$F$35)),0)</f>
        <v>0</v>
      </c>
      <c r="M320" s="135">
        <f t="shared" si="64"/>
        <v>299</v>
      </c>
      <c r="N320" s="135">
        <f t="shared" si="65"/>
        <v>1</v>
      </c>
      <c r="O320" s="135">
        <f t="shared" si="66"/>
        <v>0</v>
      </c>
      <c r="P320" s="536" t="e">
        <f t="shared" si="77"/>
        <v>#DIV/0!</v>
      </c>
      <c r="Q320" s="537" t="e">
        <f t="shared" si="71"/>
        <v>#DIV/0!</v>
      </c>
      <c r="R320" s="538" t="e">
        <f>IF(INPUTS!$B$15="yes",Q320,P320)</f>
        <v>#DIV/0!</v>
      </c>
      <c r="S320" s="536" t="e">
        <f t="shared" si="67"/>
        <v>#DIV/0!</v>
      </c>
      <c r="T320" s="537" t="e">
        <f t="shared" si="72"/>
        <v>#DIV/0!</v>
      </c>
      <c r="U320" s="538" t="e">
        <f>IF(INPUTS!$B$15="yes",T320,S320)</f>
        <v>#DIV/0!</v>
      </c>
      <c r="V320" s="536" t="e">
        <f t="shared" si="68"/>
        <v>#DIV/0!</v>
      </c>
      <c r="W320" s="537" t="e">
        <f t="shared" si="73"/>
        <v>#DIV/0!</v>
      </c>
      <c r="X320" s="538" t="e">
        <f>IF(INPUTS!$B$15="yes",W320,V320)</f>
        <v>#DIV/0!</v>
      </c>
      <c r="Y320" s="536" t="e">
        <f t="shared" si="69"/>
        <v>#DIV/0!</v>
      </c>
      <c r="Z320" s="537" t="e">
        <f t="shared" si="74"/>
        <v>#DIV/0!</v>
      </c>
      <c r="AA320" s="538" t="e">
        <f>IF(INPUTS!$B$15="yes",Z320,Y320)</f>
        <v>#DIV/0!</v>
      </c>
      <c r="AB320" s="536" t="e">
        <f t="shared" si="70"/>
        <v>#DIV/0!</v>
      </c>
      <c r="AC320" s="537" t="e">
        <f t="shared" si="75"/>
        <v>#DIV/0!</v>
      </c>
      <c r="AD320" s="538" t="e">
        <f>IF(INPUTS!$B$15="yes",AC320,AB320)</f>
        <v>#DIV/0!</v>
      </c>
      <c r="AE320" s="36" t="str">
        <f t="shared" si="76"/>
        <v>no</v>
      </c>
      <c r="AF320" s="36"/>
      <c r="AG320" s="389" t="e">
        <f>P320*('upper bound Kenaga'!$F$36/100)</f>
        <v>#DIV/0!</v>
      </c>
      <c r="AH320" s="36"/>
      <c r="AI320" s="389" t="e">
        <f>P320*('upper bound Kenaga'!$F$96/100)</f>
        <v>#DIV/0!</v>
      </c>
      <c r="AJ320" s="36"/>
      <c r="AK320" s="36"/>
      <c r="AL320" s="36"/>
      <c r="AM320" s="36"/>
      <c r="AN320" s="36"/>
      <c r="AO320" s="36"/>
    </row>
    <row r="321" spans="10:41" s="1" customFormat="1">
      <c r="J321" s="6">
        <f>COUNTIF(K$21:K321,"=yes")</f>
        <v>1</v>
      </c>
      <c r="K321" s="533" t="str">
        <f>IF(LOOKUP(VALUE(M321),INPUTS!$G$6:$G$35)=M321,"yes","no")</f>
        <v>no</v>
      </c>
      <c r="L321" s="533">
        <f>IF(K321="yes",(LOOKUP(J321,INPUTS!$E$6:$E$35,INPUTS!$F$6:$F$35)),0)</f>
        <v>0</v>
      </c>
      <c r="M321" s="135">
        <f t="shared" si="64"/>
        <v>300</v>
      </c>
      <c r="N321" s="135">
        <f t="shared" si="65"/>
        <v>1</v>
      </c>
      <c r="O321" s="135">
        <f t="shared" si="66"/>
        <v>0</v>
      </c>
      <c r="P321" s="536" t="e">
        <f t="shared" si="77"/>
        <v>#DIV/0!</v>
      </c>
      <c r="Q321" s="537" t="e">
        <f t="shared" si="71"/>
        <v>#DIV/0!</v>
      </c>
      <c r="R321" s="538" t="e">
        <f>IF(INPUTS!$B$15="yes",Q321,P321)</f>
        <v>#DIV/0!</v>
      </c>
      <c r="S321" s="536" t="e">
        <f t="shared" si="67"/>
        <v>#DIV/0!</v>
      </c>
      <c r="T321" s="537" t="e">
        <f t="shared" si="72"/>
        <v>#DIV/0!</v>
      </c>
      <c r="U321" s="538" t="e">
        <f>IF(INPUTS!$B$15="yes",T321,S321)</f>
        <v>#DIV/0!</v>
      </c>
      <c r="V321" s="536" t="e">
        <f t="shared" si="68"/>
        <v>#DIV/0!</v>
      </c>
      <c r="W321" s="537" t="e">
        <f t="shared" si="73"/>
        <v>#DIV/0!</v>
      </c>
      <c r="X321" s="538" t="e">
        <f>IF(INPUTS!$B$15="yes",W321,V321)</f>
        <v>#DIV/0!</v>
      </c>
      <c r="Y321" s="536" t="e">
        <f t="shared" si="69"/>
        <v>#DIV/0!</v>
      </c>
      <c r="Z321" s="537" t="e">
        <f t="shared" si="74"/>
        <v>#DIV/0!</v>
      </c>
      <c r="AA321" s="538" t="e">
        <f>IF(INPUTS!$B$15="yes",Z321,Y321)</f>
        <v>#DIV/0!</v>
      </c>
      <c r="AB321" s="536" t="e">
        <f t="shared" si="70"/>
        <v>#DIV/0!</v>
      </c>
      <c r="AC321" s="537" t="e">
        <f t="shared" si="75"/>
        <v>#DIV/0!</v>
      </c>
      <c r="AD321" s="538" t="e">
        <f>IF(INPUTS!$B$15="yes",AC321,AB321)</f>
        <v>#DIV/0!</v>
      </c>
      <c r="AE321" s="36" t="str">
        <f t="shared" si="76"/>
        <v>no</v>
      </c>
      <c r="AF321" s="36"/>
      <c r="AG321" s="389" t="e">
        <f>P321*('upper bound Kenaga'!$F$36/100)</f>
        <v>#DIV/0!</v>
      </c>
      <c r="AH321" s="36"/>
      <c r="AI321" s="389" t="e">
        <f>P321*('upper bound Kenaga'!$F$96/100)</f>
        <v>#DIV/0!</v>
      </c>
      <c r="AJ321" s="36"/>
      <c r="AK321" s="36"/>
      <c r="AL321" s="36"/>
      <c r="AM321" s="36"/>
      <c r="AN321" s="36"/>
      <c r="AO321" s="36"/>
    </row>
    <row r="322" spans="10:41" s="1" customFormat="1">
      <c r="J322" s="6">
        <f>COUNTIF(K$21:K322,"=yes")</f>
        <v>1</v>
      </c>
      <c r="K322" s="533" t="str">
        <f>IF(LOOKUP(VALUE(M322),INPUTS!$G$6:$G$35)=M322,"yes","no")</f>
        <v>no</v>
      </c>
      <c r="L322" s="533">
        <f>IF(K322="yes",(LOOKUP(J322,INPUTS!$E$6:$E$35,INPUTS!$F$6:$F$35)),0)</f>
        <v>0</v>
      </c>
      <c r="M322" s="135">
        <f t="shared" si="64"/>
        <v>301</v>
      </c>
      <c r="N322" s="135">
        <f t="shared" si="65"/>
        <v>1</v>
      </c>
      <c r="O322" s="135">
        <f t="shared" si="66"/>
        <v>0</v>
      </c>
      <c r="P322" s="536" t="e">
        <f t="shared" si="77"/>
        <v>#DIV/0!</v>
      </c>
      <c r="Q322" s="537" t="e">
        <f t="shared" si="71"/>
        <v>#DIV/0!</v>
      </c>
      <c r="R322" s="538" t="e">
        <f>IF(INPUTS!$B$15="yes",Q322,P322)</f>
        <v>#DIV/0!</v>
      </c>
      <c r="S322" s="536" t="e">
        <f t="shared" si="67"/>
        <v>#DIV/0!</v>
      </c>
      <c r="T322" s="537" t="e">
        <f t="shared" si="72"/>
        <v>#DIV/0!</v>
      </c>
      <c r="U322" s="538" t="e">
        <f>IF(INPUTS!$B$15="yes",T322,S322)</f>
        <v>#DIV/0!</v>
      </c>
      <c r="V322" s="536" t="e">
        <f t="shared" si="68"/>
        <v>#DIV/0!</v>
      </c>
      <c r="W322" s="537" t="e">
        <f t="shared" si="73"/>
        <v>#DIV/0!</v>
      </c>
      <c r="X322" s="538" t="e">
        <f>IF(INPUTS!$B$15="yes",W322,V322)</f>
        <v>#DIV/0!</v>
      </c>
      <c r="Y322" s="536" t="e">
        <f t="shared" si="69"/>
        <v>#DIV/0!</v>
      </c>
      <c r="Z322" s="537" t="e">
        <f t="shared" si="74"/>
        <v>#DIV/0!</v>
      </c>
      <c r="AA322" s="538" t="e">
        <f>IF(INPUTS!$B$15="yes",Z322,Y322)</f>
        <v>#DIV/0!</v>
      </c>
      <c r="AB322" s="536" t="e">
        <f t="shared" si="70"/>
        <v>#DIV/0!</v>
      </c>
      <c r="AC322" s="537" t="e">
        <f t="shared" si="75"/>
        <v>#DIV/0!</v>
      </c>
      <c r="AD322" s="538" t="e">
        <f>IF(INPUTS!$B$15="yes",AC322,AB322)</f>
        <v>#DIV/0!</v>
      </c>
      <c r="AE322" s="36" t="str">
        <f t="shared" si="76"/>
        <v>no</v>
      </c>
      <c r="AF322" s="36"/>
      <c r="AG322" s="389" t="e">
        <f>P322*('upper bound Kenaga'!$F$36/100)</f>
        <v>#DIV/0!</v>
      </c>
      <c r="AH322" s="36"/>
      <c r="AI322" s="389" t="e">
        <f>P322*('upper bound Kenaga'!$F$96/100)</f>
        <v>#DIV/0!</v>
      </c>
      <c r="AJ322" s="36"/>
      <c r="AK322" s="36"/>
      <c r="AL322" s="36"/>
      <c r="AM322" s="36"/>
      <c r="AN322" s="36"/>
      <c r="AO322" s="36"/>
    </row>
    <row r="323" spans="10:41" s="1" customFormat="1">
      <c r="J323" s="6">
        <f>COUNTIF(K$21:K323,"=yes")</f>
        <v>1</v>
      </c>
      <c r="K323" s="533" t="str">
        <f>IF(LOOKUP(VALUE(M323),INPUTS!$G$6:$G$35)=M323,"yes","no")</f>
        <v>no</v>
      </c>
      <c r="L323" s="533">
        <f>IF(K323="yes",(LOOKUP(J323,INPUTS!$E$6:$E$35,INPUTS!$F$6:$F$35)),0)</f>
        <v>0</v>
      </c>
      <c r="M323" s="135">
        <f t="shared" si="64"/>
        <v>302</v>
      </c>
      <c r="N323" s="135">
        <f t="shared" si="65"/>
        <v>1</v>
      </c>
      <c r="O323" s="135">
        <f t="shared" si="66"/>
        <v>0</v>
      </c>
      <c r="P323" s="536" t="e">
        <f t="shared" si="77"/>
        <v>#DIV/0!</v>
      </c>
      <c r="Q323" s="537" t="e">
        <f t="shared" si="71"/>
        <v>#DIV/0!</v>
      </c>
      <c r="R323" s="538" t="e">
        <f>IF(INPUTS!$B$15="yes",Q323,P323)</f>
        <v>#DIV/0!</v>
      </c>
      <c r="S323" s="536" t="e">
        <f t="shared" si="67"/>
        <v>#DIV/0!</v>
      </c>
      <c r="T323" s="537" t="e">
        <f t="shared" si="72"/>
        <v>#DIV/0!</v>
      </c>
      <c r="U323" s="538" t="e">
        <f>IF(INPUTS!$B$15="yes",T323,S323)</f>
        <v>#DIV/0!</v>
      </c>
      <c r="V323" s="536" t="e">
        <f t="shared" si="68"/>
        <v>#DIV/0!</v>
      </c>
      <c r="W323" s="537" t="e">
        <f t="shared" si="73"/>
        <v>#DIV/0!</v>
      </c>
      <c r="X323" s="538" t="e">
        <f>IF(INPUTS!$B$15="yes",W323,V323)</f>
        <v>#DIV/0!</v>
      </c>
      <c r="Y323" s="536" t="e">
        <f t="shared" si="69"/>
        <v>#DIV/0!</v>
      </c>
      <c r="Z323" s="537" t="e">
        <f t="shared" si="74"/>
        <v>#DIV/0!</v>
      </c>
      <c r="AA323" s="538" t="e">
        <f>IF(INPUTS!$B$15="yes",Z323,Y323)</f>
        <v>#DIV/0!</v>
      </c>
      <c r="AB323" s="536" t="e">
        <f t="shared" si="70"/>
        <v>#DIV/0!</v>
      </c>
      <c r="AC323" s="537" t="e">
        <f t="shared" si="75"/>
        <v>#DIV/0!</v>
      </c>
      <c r="AD323" s="538" t="e">
        <f>IF(INPUTS!$B$15="yes",AC323,AB323)</f>
        <v>#DIV/0!</v>
      </c>
      <c r="AE323" s="36" t="str">
        <f t="shared" si="76"/>
        <v>no</v>
      </c>
      <c r="AF323" s="36"/>
      <c r="AG323" s="389" t="e">
        <f>P323*('upper bound Kenaga'!$F$36/100)</f>
        <v>#DIV/0!</v>
      </c>
      <c r="AH323" s="36"/>
      <c r="AI323" s="389" t="e">
        <f>P323*('upper bound Kenaga'!$F$96/100)</f>
        <v>#DIV/0!</v>
      </c>
      <c r="AJ323" s="36"/>
      <c r="AK323" s="36"/>
      <c r="AL323" s="36"/>
      <c r="AM323" s="36"/>
      <c r="AN323" s="36"/>
      <c r="AO323" s="36"/>
    </row>
    <row r="324" spans="10:41" s="1" customFormat="1">
      <c r="J324" s="6">
        <f>COUNTIF(K$21:K324,"=yes")</f>
        <v>1</v>
      </c>
      <c r="K324" s="533" t="str">
        <f>IF(LOOKUP(VALUE(M324),INPUTS!$G$6:$G$35)=M324,"yes","no")</f>
        <v>no</v>
      </c>
      <c r="L324" s="533">
        <f>IF(K324="yes",(LOOKUP(J324,INPUTS!$E$6:$E$35,INPUTS!$F$6:$F$35)),0)</f>
        <v>0</v>
      </c>
      <c r="M324" s="135">
        <f t="shared" si="64"/>
        <v>303</v>
      </c>
      <c r="N324" s="135">
        <f t="shared" si="65"/>
        <v>1</v>
      </c>
      <c r="O324" s="135">
        <f t="shared" si="66"/>
        <v>0</v>
      </c>
      <c r="P324" s="536" t="e">
        <f t="shared" si="77"/>
        <v>#DIV/0!</v>
      </c>
      <c r="Q324" s="537" t="e">
        <f t="shared" si="71"/>
        <v>#DIV/0!</v>
      </c>
      <c r="R324" s="538" t="e">
        <f>IF(INPUTS!$B$15="yes",Q324,P324)</f>
        <v>#DIV/0!</v>
      </c>
      <c r="S324" s="536" t="e">
        <f t="shared" si="67"/>
        <v>#DIV/0!</v>
      </c>
      <c r="T324" s="537" t="e">
        <f t="shared" si="72"/>
        <v>#DIV/0!</v>
      </c>
      <c r="U324" s="538" t="e">
        <f>IF(INPUTS!$B$15="yes",T324,S324)</f>
        <v>#DIV/0!</v>
      </c>
      <c r="V324" s="536" t="e">
        <f t="shared" si="68"/>
        <v>#DIV/0!</v>
      </c>
      <c r="W324" s="537" t="e">
        <f t="shared" si="73"/>
        <v>#DIV/0!</v>
      </c>
      <c r="X324" s="538" t="e">
        <f>IF(INPUTS!$B$15="yes",W324,V324)</f>
        <v>#DIV/0!</v>
      </c>
      <c r="Y324" s="536" t="e">
        <f t="shared" si="69"/>
        <v>#DIV/0!</v>
      </c>
      <c r="Z324" s="537" t="e">
        <f t="shared" si="74"/>
        <v>#DIV/0!</v>
      </c>
      <c r="AA324" s="538" t="e">
        <f>IF(INPUTS!$B$15="yes",Z324,Y324)</f>
        <v>#DIV/0!</v>
      </c>
      <c r="AB324" s="536" t="e">
        <f t="shared" si="70"/>
        <v>#DIV/0!</v>
      </c>
      <c r="AC324" s="537" t="e">
        <f t="shared" si="75"/>
        <v>#DIV/0!</v>
      </c>
      <c r="AD324" s="538" t="e">
        <f>IF(INPUTS!$B$15="yes",AC324,AB324)</f>
        <v>#DIV/0!</v>
      </c>
      <c r="AE324" s="36" t="str">
        <f t="shared" si="76"/>
        <v>no</v>
      </c>
      <c r="AF324" s="36"/>
      <c r="AG324" s="389" t="e">
        <f>P324*('upper bound Kenaga'!$F$36/100)</f>
        <v>#DIV/0!</v>
      </c>
      <c r="AH324" s="36"/>
      <c r="AI324" s="389" t="e">
        <f>P324*('upper bound Kenaga'!$F$96/100)</f>
        <v>#DIV/0!</v>
      </c>
      <c r="AJ324" s="36"/>
      <c r="AK324" s="36"/>
      <c r="AL324" s="36"/>
      <c r="AM324" s="36"/>
      <c r="AN324" s="36"/>
      <c r="AO324" s="36"/>
    </row>
    <row r="325" spans="10:41" s="1" customFormat="1">
      <c r="J325" s="6">
        <f>COUNTIF(K$21:K325,"=yes")</f>
        <v>1</v>
      </c>
      <c r="K325" s="533" t="str">
        <f>IF(LOOKUP(VALUE(M325),INPUTS!$G$6:$G$35)=M325,"yes","no")</f>
        <v>no</v>
      </c>
      <c r="L325" s="533">
        <f>IF(K325="yes",(LOOKUP(J325,INPUTS!$E$6:$E$35,INPUTS!$F$6:$F$35)),0)</f>
        <v>0</v>
      </c>
      <c r="M325" s="135">
        <f t="shared" si="64"/>
        <v>304</v>
      </c>
      <c r="N325" s="135">
        <f t="shared" si="65"/>
        <v>1</v>
      </c>
      <c r="O325" s="135">
        <f t="shared" si="66"/>
        <v>0</v>
      </c>
      <c r="P325" s="536" t="e">
        <f t="shared" si="77"/>
        <v>#DIV/0!</v>
      </c>
      <c r="Q325" s="537" t="e">
        <f t="shared" si="71"/>
        <v>#DIV/0!</v>
      </c>
      <c r="R325" s="538" t="e">
        <f>IF(INPUTS!$B$15="yes",Q325,P325)</f>
        <v>#DIV/0!</v>
      </c>
      <c r="S325" s="536" t="e">
        <f t="shared" si="67"/>
        <v>#DIV/0!</v>
      </c>
      <c r="T325" s="537" t="e">
        <f t="shared" si="72"/>
        <v>#DIV/0!</v>
      </c>
      <c r="U325" s="538" t="e">
        <f>IF(INPUTS!$B$15="yes",T325,S325)</f>
        <v>#DIV/0!</v>
      </c>
      <c r="V325" s="536" t="e">
        <f t="shared" si="68"/>
        <v>#DIV/0!</v>
      </c>
      <c r="W325" s="537" t="e">
        <f t="shared" si="73"/>
        <v>#DIV/0!</v>
      </c>
      <c r="X325" s="538" t="e">
        <f>IF(INPUTS!$B$15="yes",W325,V325)</f>
        <v>#DIV/0!</v>
      </c>
      <c r="Y325" s="536" t="e">
        <f t="shared" si="69"/>
        <v>#DIV/0!</v>
      </c>
      <c r="Z325" s="537" t="e">
        <f t="shared" si="74"/>
        <v>#DIV/0!</v>
      </c>
      <c r="AA325" s="538" t="e">
        <f>IF(INPUTS!$B$15="yes",Z325,Y325)</f>
        <v>#DIV/0!</v>
      </c>
      <c r="AB325" s="536" t="e">
        <f t="shared" si="70"/>
        <v>#DIV/0!</v>
      </c>
      <c r="AC325" s="537" t="e">
        <f t="shared" si="75"/>
        <v>#DIV/0!</v>
      </c>
      <c r="AD325" s="538" t="e">
        <f>IF(INPUTS!$B$15="yes",AC325,AB325)</f>
        <v>#DIV/0!</v>
      </c>
      <c r="AE325" s="36" t="str">
        <f t="shared" si="76"/>
        <v>no</v>
      </c>
      <c r="AF325" s="36"/>
      <c r="AG325" s="389" t="e">
        <f>P325*('upper bound Kenaga'!$F$36/100)</f>
        <v>#DIV/0!</v>
      </c>
      <c r="AH325" s="36"/>
      <c r="AI325" s="389" t="e">
        <f>P325*('upper bound Kenaga'!$F$96/100)</f>
        <v>#DIV/0!</v>
      </c>
      <c r="AJ325" s="36"/>
      <c r="AK325" s="36"/>
      <c r="AL325" s="36"/>
      <c r="AM325" s="36"/>
      <c r="AN325" s="36"/>
      <c r="AO325" s="36"/>
    </row>
    <row r="326" spans="10:41" s="1" customFormat="1">
      <c r="J326" s="6">
        <f>COUNTIF(K$21:K326,"=yes")</f>
        <v>1</v>
      </c>
      <c r="K326" s="533" t="str">
        <f>IF(LOOKUP(VALUE(M326),INPUTS!$G$6:$G$35)=M326,"yes","no")</f>
        <v>no</v>
      </c>
      <c r="L326" s="533">
        <f>IF(K326="yes",(LOOKUP(J326,INPUTS!$E$6:$E$35,INPUTS!$F$6:$F$35)),0)</f>
        <v>0</v>
      </c>
      <c r="M326" s="135">
        <f t="shared" si="64"/>
        <v>305</v>
      </c>
      <c r="N326" s="135">
        <f t="shared" si="65"/>
        <v>1</v>
      </c>
      <c r="O326" s="135">
        <f t="shared" si="66"/>
        <v>0</v>
      </c>
      <c r="P326" s="536" t="e">
        <f t="shared" si="77"/>
        <v>#DIV/0!</v>
      </c>
      <c r="Q326" s="537" t="e">
        <f t="shared" si="71"/>
        <v>#DIV/0!</v>
      </c>
      <c r="R326" s="538" t="e">
        <f>IF(INPUTS!$B$15="yes",Q326,P326)</f>
        <v>#DIV/0!</v>
      </c>
      <c r="S326" s="536" t="e">
        <f t="shared" si="67"/>
        <v>#DIV/0!</v>
      </c>
      <c r="T326" s="537" t="e">
        <f t="shared" si="72"/>
        <v>#DIV/0!</v>
      </c>
      <c r="U326" s="538" t="e">
        <f>IF(INPUTS!$B$15="yes",T326,S326)</f>
        <v>#DIV/0!</v>
      </c>
      <c r="V326" s="536" t="e">
        <f t="shared" si="68"/>
        <v>#DIV/0!</v>
      </c>
      <c r="W326" s="537" t="e">
        <f t="shared" si="73"/>
        <v>#DIV/0!</v>
      </c>
      <c r="X326" s="538" t="e">
        <f>IF(INPUTS!$B$15="yes",W326,V326)</f>
        <v>#DIV/0!</v>
      </c>
      <c r="Y326" s="536" t="e">
        <f t="shared" si="69"/>
        <v>#DIV/0!</v>
      </c>
      <c r="Z326" s="537" t="e">
        <f t="shared" si="74"/>
        <v>#DIV/0!</v>
      </c>
      <c r="AA326" s="538" t="e">
        <f>IF(INPUTS!$B$15="yes",Z326,Y326)</f>
        <v>#DIV/0!</v>
      </c>
      <c r="AB326" s="536" t="e">
        <f t="shared" si="70"/>
        <v>#DIV/0!</v>
      </c>
      <c r="AC326" s="537" t="e">
        <f t="shared" si="75"/>
        <v>#DIV/0!</v>
      </c>
      <c r="AD326" s="538" t="e">
        <f>IF(INPUTS!$B$15="yes",AC326,AB326)</f>
        <v>#DIV/0!</v>
      </c>
      <c r="AE326" s="36" t="str">
        <f t="shared" si="76"/>
        <v>no</v>
      </c>
      <c r="AF326" s="36"/>
      <c r="AG326" s="389" t="e">
        <f>P326*('upper bound Kenaga'!$F$36/100)</f>
        <v>#DIV/0!</v>
      </c>
      <c r="AH326" s="36"/>
      <c r="AI326" s="389" t="e">
        <f>P326*('upper bound Kenaga'!$F$96/100)</f>
        <v>#DIV/0!</v>
      </c>
      <c r="AJ326" s="36"/>
      <c r="AK326" s="36"/>
      <c r="AL326" s="36"/>
      <c r="AM326" s="36"/>
      <c r="AN326" s="36"/>
      <c r="AO326" s="36"/>
    </row>
    <row r="327" spans="10:41" s="1" customFormat="1">
      <c r="J327" s="6">
        <f>COUNTIF(K$21:K327,"=yes")</f>
        <v>1</v>
      </c>
      <c r="K327" s="533" t="str">
        <f>IF(LOOKUP(VALUE(M327),INPUTS!$G$6:$G$35)=M327,"yes","no")</f>
        <v>no</v>
      </c>
      <c r="L327" s="533">
        <f>IF(K327="yes",(LOOKUP(J327,INPUTS!$E$6:$E$35,INPUTS!$F$6:$F$35)),0)</f>
        <v>0</v>
      </c>
      <c r="M327" s="135">
        <f t="shared" si="64"/>
        <v>306</v>
      </c>
      <c r="N327" s="135">
        <f t="shared" si="65"/>
        <v>1</v>
      </c>
      <c r="O327" s="135">
        <f t="shared" si="66"/>
        <v>0</v>
      </c>
      <c r="P327" s="536" t="e">
        <f t="shared" si="77"/>
        <v>#DIV/0!</v>
      </c>
      <c r="Q327" s="537" t="e">
        <f t="shared" si="71"/>
        <v>#DIV/0!</v>
      </c>
      <c r="R327" s="538" t="e">
        <f>IF(INPUTS!$B$15="yes",Q327,P327)</f>
        <v>#DIV/0!</v>
      </c>
      <c r="S327" s="536" t="e">
        <f t="shared" si="67"/>
        <v>#DIV/0!</v>
      </c>
      <c r="T327" s="537" t="e">
        <f t="shared" si="72"/>
        <v>#DIV/0!</v>
      </c>
      <c r="U327" s="538" t="e">
        <f>IF(INPUTS!$B$15="yes",T327,S327)</f>
        <v>#DIV/0!</v>
      </c>
      <c r="V327" s="536" t="e">
        <f t="shared" si="68"/>
        <v>#DIV/0!</v>
      </c>
      <c r="W327" s="537" t="e">
        <f t="shared" si="73"/>
        <v>#DIV/0!</v>
      </c>
      <c r="X327" s="538" t="e">
        <f>IF(INPUTS!$B$15="yes",W327,V327)</f>
        <v>#DIV/0!</v>
      </c>
      <c r="Y327" s="536" t="e">
        <f t="shared" si="69"/>
        <v>#DIV/0!</v>
      </c>
      <c r="Z327" s="537" t="e">
        <f t="shared" si="74"/>
        <v>#DIV/0!</v>
      </c>
      <c r="AA327" s="538" t="e">
        <f>IF(INPUTS!$B$15="yes",Z327,Y327)</f>
        <v>#DIV/0!</v>
      </c>
      <c r="AB327" s="536" t="e">
        <f t="shared" si="70"/>
        <v>#DIV/0!</v>
      </c>
      <c r="AC327" s="537" t="e">
        <f t="shared" si="75"/>
        <v>#DIV/0!</v>
      </c>
      <c r="AD327" s="538" t="e">
        <f>IF(INPUTS!$B$15="yes",AC327,AB327)</f>
        <v>#DIV/0!</v>
      </c>
      <c r="AE327" s="36" t="str">
        <f t="shared" si="76"/>
        <v>no</v>
      </c>
      <c r="AF327" s="36"/>
      <c r="AG327" s="389" t="e">
        <f>P327*('upper bound Kenaga'!$F$36/100)</f>
        <v>#DIV/0!</v>
      </c>
      <c r="AH327" s="36"/>
      <c r="AI327" s="389" t="e">
        <f>P327*('upper bound Kenaga'!$F$96/100)</f>
        <v>#DIV/0!</v>
      </c>
      <c r="AJ327" s="36"/>
      <c r="AK327" s="36"/>
      <c r="AL327" s="36"/>
      <c r="AM327" s="36"/>
      <c r="AN327" s="36"/>
      <c r="AO327" s="36"/>
    </row>
    <row r="328" spans="10:41" s="1" customFormat="1">
      <c r="J328" s="6">
        <f>COUNTIF(K$21:K328,"=yes")</f>
        <v>1</v>
      </c>
      <c r="K328" s="533" t="str">
        <f>IF(LOOKUP(VALUE(M328),INPUTS!$G$6:$G$35)=M328,"yes","no")</f>
        <v>no</v>
      </c>
      <c r="L328" s="533">
        <f>IF(K328="yes",(LOOKUP(J328,INPUTS!$E$6:$E$35,INPUTS!$F$6:$F$35)),0)</f>
        <v>0</v>
      </c>
      <c r="M328" s="135">
        <f t="shared" si="64"/>
        <v>307</v>
      </c>
      <c r="N328" s="135">
        <f t="shared" si="65"/>
        <v>1</v>
      </c>
      <c r="O328" s="135">
        <f t="shared" si="66"/>
        <v>0</v>
      </c>
      <c r="P328" s="536" t="e">
        <f t="shared" si="77"/>
        <v>#DIV/0!</v>
      </c>
      <c r="Q328" s="537" t="e">
        <f t="shared" si="71"/>
        <v>#DIV/0!</v>
      </c>
      <c r="R328" s="538" t="e">
        <f>IF(INPUTS!$B$15="yes",Q328,P328)</f>
        <v>#DIV/0!</v>
      </c>
      <c r="S328" s="536" t="e">
        <f t="shared" si="67"/>
        <v>#DIV/0!</v>
      </c>
      <c r="T328" s="537" t="e">
        <f t="shared" si="72"/>
        <v>#DIV/0!</v>
      </c>
      <c r="U328" s="538" t="e">
        <f>IF(INPUTS!$B$15="yes",T328,S328)</f>
        <v>#DIV/0!</v>
      </c>
      <c r="V328" s="536" t="e">
        <f t="shared" si="68"/>
        <v>#DIV/0!</v>
      </c>
      <c r="W328" s="537" t="e">
        <f t="shared" si="73"/>
        <v>#DIV/0!</v>
      </c>
      <c r="X328" s="538" t="e">
        <f>IF(INPUTS!$B$15="yes",W328,V328)</f>
        <v>#DIV/0!</v>
      </c>
      <c r="Y328" s="536" t="e">
        <f t="shared" si="69"/>
        <v>#DIV/0!</v>
      </c>
      <c r="Z328" s="537" t="e">
        <f t="shared" si="74"/>
        <v>#DIV/0!</v>
      </c>
      <c r="AA328" s="538" t="e">
        <f>IF(INPUTS!$B$15="yes",Z328,Y328)</f>
        <v>#DIV/0!</v>
      </c>
      <c r="AB328" s="536" t="e">
        <f t="shared" si="70"/>
        <v>#DIV/0!</v>
      </c>
      <c r="AC328" s="537" t="e">
        <f t="shared" si="75"/>
        <v>#DIV/0!</v>
      </c>
      <c r="AD328" s="538" t="e">
        <f>IF(INPUTS!$B$15="yes",AC328,AB328)</f>
        <v>#DIV/0!</v>
      </c>
      <c r="AE328" s="36" t="str">
        <f t="shared" si="76"/>
        <v>no</v>
      </c>
      <c r="AF328" s="36"/>
      <c r="AG328" s="389" t="e">
        <f>P328*('upper bound Kenaga'!$F$36/100)</f>
        <v>#DIV/0!</v>
      </c>
      <c r="AH328" s="36"/>
      <c r="AI328" s="389" t="e">
        <f>P328*('upper bound Kenaga'!$F$96/100)</f>
        <v>#DIV/0!</v>
      </c>
      <c r="AJ328" s="36"/>
      <c r="AK328" s="36"/>
      <c r="AL328" s="36"/>
      <c r="AM328" s="36"/>
      <c r="AN328" s="36"/>
      <c r="AO328" s="36"/>
    </row>
    <row r="329" spans="10:41" s="1" customFormat="1">
      <c r="J329" s="6">
        <f>COUNTIF(K$21:K329,"=yes")</f>
        <v>1</v>
      </c>
      <c r="K329" s="533" t="str">
        <f>IF(LOOKUP(VALUE(M329),INPUTS!$G$6:$G$35)=M329,"yes","no")</f>
        <v>no</v>
      </c>
      <c r="L329" s="533">
        <f>IF(K329="yes",(LOOKUP(J329,INPUTS!$E$6:$E$35,INPUTS!$F$6:$F$35)),0)</f>
        <v>0</v>
      </c>
      <c r="M329" s="135">
        <f t="shared" si="64"/>
        <v>308</v>
      </c>
      <c r="N329" s="135">
        <f t="shared" si="65"/>
        <v>1</v>
      </c>
      <c r="O329" s="135">
        <f t="shared" si="66"/>
        <v>0</v>
      </c>
      <c r="P329" s="536" t="e">
        <f t="shared" si="77"/>
        <v>#DIV/0!</v>
      </c>
      <c r="Q329" s="537" t="e">
        <f t="shared" si="71"/>
        <v>#DIV/0!</v>
      </c>
      <c r="R329" s="538" t="e">
        <f>IF(INPUTS!$B$15="yes",Q329,P329)</f>
        <v>#DIV/0!</v>
      </c>
      <c r="S329" s="536" t="e">
        <f t="shared" si="67"/>
        <v>#DIV/0!</v>
      </c>
      <c r="T329" s="537" t="e">
        <f t="shared" si="72"/>
        <v>#DIV/0!</v>
      </c>
      <c r="U329" s="538" t="e">
        <f>IF(INPUTS!$B$15="yes",T329,S329)</f>
        <v>#DIV/0!</v>
      </c>
      <c r="V329" s="536" t="e">
        <f t="shared" si="68"/>
        <v>#DIV/0!</v>
      </c>
      <c r="W329" s="537" t="e">
        <f t="shared" si="73"/>
        <v>#DIV/0!</v>
      </c>
      <c r="X329" s="538" t="e">
        <f>IF(INPUTS!$B$15="yes",W329,V329)</f>
        <v>#DIV/0!</v>
      </c>
      <c r="Y329" s="536" t="e">
        <f t="shared" si="69"/>
        <v>#DIV/0!</v>
      </c>
      <c r="Z329" s="537" t="e">
        <f t="shared" si="74"/>
        <v>#DIV/0!</v>
      </c>
      <c r="AA329" s="538" t="e">
        <f>IF(INPUTS!$B$15="yes",Z329,Y329)</f>
        <v>#DIV/0!</v>
      </c>
      <c r="AB329" s="536" t="e">
        <f t="shared" si="70"/>
        <v>#DIV/0!</v>
      </c>
      <c r="AC329" s="537" t="e">
        <f t="shared" si="75"/>
        <v>#DIV/0!</v>
      </c>
      <c r="AD329" s="538" t="e">
        <f>IF(INPUTS!$B$15="yes",AC329,AB329)</f>
        <v>#DIV/0!</v>
      </c>
      <c r="AE329" s="36" t="str">
        <f t="shared" si="76"/>
        <v>no</v>
      </c>
      <c r="AF329" s="36"/>
      <c r="AG329" s="389" t="e">
        <f>P329*('upper bound Kenaga'!$F$36/100)</f>
        <v>#DIV/0!</v>
      </c>
      <c r="AH329" s="36"/>
      <c r="AI329" s="389" t="e">
        <f>P329*('upper bound Kenaga'!$F$96/100)</f>
        <v>#DIV/0!</v>
      </c>
      <c r="AJ329" s="36"/>
      <c r="AK329" s="36"/>
      <c r="AL329" s="36"/>
      <c r="AM329" s="36"/>
      <c r="AN329" s="36"/>
      <c r="AO329" s="36"/>
    </row>
    <row r="330" spans="10:41" s="1" customFormat="1">
      <c r="J330" s="6">
        <f>COUNTIF(K$21:K330,"=yes")</f>
        <v>1</v>
      </c>
      <c r="K330" s="533" t="str">
        <f>IF(LOOKUP(VALUE(M330),INPUTS!$G$6:$G$35)=M330,"yes","no")</f>
        <v>no</v>
      </c>
      <c r="L330" s="533">
        <f>IF(K330="yes",(LOOKUP(J330,INPUTS!$E$6:$E$35,INPUTS!$F$6:$F$35)),0)</f>
        <v>0</v>
      </c>
      <c r="M330" s="135">
        <f t="shared" si="64"/>
        <v>309</v>
      </c>
      <c r="N330" s="135">
        <f t="shared" si="65"/>
        <v>1</v>
      </c>
      <c r="O330" s="135">
        <f t="shared" si="66"/>
        <v>0</v>
      </c>
      <c r="P330" s="536" t="e">
        <f t="shared" si="77"/>
        <v>#DIV/0!</v>
      </c>
      <c r="Q330" s="537" t="e">
        <f t="shared" si="71"/>
        <v>#DIV/0!</v>
      </c>
      <c r="R330" s="538" t="e">
        <f>IF(INPUTS!$B$15="yes",Q330,P330)</f>
        <v>#DIV/0!</v>
      </c>
      <c r="S330" s="536" t="e">
        <f t="shared" si="67"/>
        <v>#DIV/0!</v>
      </c>
      <c r="T330" s="537" t="e">
        <f t="shared" si="72"/>
        <v>#DIV/0!</v>
      </c>
      <c r="U330" s="538" t="e">
        <f>IF(INPUTS!$B$15="yes",T330,S330)</f>
        <v>#DIV/0!</v>
      </c>
      <c r="V330" s="536" t="e">
        <f t="shared" si="68"/>
        <v>#DIV/0!</v>
      </c>
      <c r="W330" s="537" t="e">
        <f t="shared" si="73"/>
        <v>#DIV/0!</v>
      </c>
      <c r="X330" s="538" t="e">
        <f>IF(INPUTS!$B$15="yes",W330,V330)</f>
        <v>#DIV/0!</v>
      </c>
      <c r="Y330" s="536" t="e">
        <f t="shared" si="69"/>
        <v>#DIV/0!</v>
      </c>
      <c r="Z330" s="537" t="e">
        <f t="shared" si="74"/>
        <v>#DIV/0!</v>
      </c>
      <c r="AA330" s="538" t="e">
        <f>IF(INPUTS!$B$15="yes",Z330,Y330)</f>
        <v>#DIV/0!</v>
      </c>
      <c r="AB330" s="536" t="e">
        <f t="shared" si="70"/>
        <v>#DIV/0!</v>
      </c>
      <c r="AC330" s="537" t="e">
        <f t="shared" si="75"/>
        <v>#DIV/0!</v>
      </c>
      <c r="AD330" s="538" t="e">
        <f>IF(INPUTS!$B$15="yes",AC330,AB330)</f>
        <v>#DIV/0!</v>
      </c>
      <c r="AE330" s="36" t="str">
        <f t="shared" si="76"/>
        <v>no</v>
      </c>
      <c r="AF330" s="36"/>
      <c r="AG330" s="389" t="e">
        <f>P330*('upper bound Kenaga'!$F$36/100)</f>
        <v>#DIV/0!</v>
      </c>
      <c r="AH330" s="36"/>
      <c r="AI330" s="389" t="e">
        <f>P330*('upper bound Kenaga'!$F$96/100)</f>
        <v>#DIV/0!</v>
      </c>
      <c r="AJ330" s="36"/>
      <c r="AK330" s="36"/>
      <c r="AL330" s="36"/>
      <c r="AM330" s="36"/>
      <c r="AN330" s="36"/>
      <c r="AO330" s="36"/>
    </row>
    <row r="331" spans="10:41" s="1" customFormat="1">
      <c r="J331" s="6">
        <f>COUNTIF(K$21:K331,"=yes")</f>
        <v>1</v>
      </c>
      <c r="K331" s="533" t="str">
        <f>IF(LOOKUP(VALUE(M331),INPUTS!$G$6:$G$35)=M331,"yes","no")</f>
        <v>no</v>
      </c>
      <c r="L331" s="533">
        <f>IF(K331="yes",(LOOKUP(J331,INPUTS!$E$6:$E$35,INPUTS!$F$6:$F$35)),0)</f>
        <v>0</v>
      </c>
      <c r="M331" s="135">
        <f t="shared" si="64"/>
        <v>310</v>
      </c>
      <c r="N331" s="135">
        <f t="shared" si="65"/>
        <v>1</v>
      </c>
      <c r="O331" s="135">
        <f t="shared" si="66"/>
        <v>0</v>
      </c>
      <c r="P331" s="536" t="e">
        <f t="shared" si="77"/>
        <v>#DIV/0!</v>
      </c>
      <c r="Q331" s="537" t="e">
        <f t="shared" si="71"/>
        <v>#DIV/0!</v>
      </c>
      <c r="R331" s="538" t="e">
        <f>IF(INPUTS!$B$15="yes",Q331,P331)</f>
        <v>#DIV/0!</v>
      </c>
      <c r="S331" s="536" t="e">
        <f t="shared" si="67"/>
        <v>#DIV/0!</v>
      </c>
      <c r="T331" s="537" t="e">
        <f t="shared" si="72"/>
        <v>#DIV/0!</v>
      </c>
      <c r="U331" s="538" t="e">
        <f>IF(INPUTS!$B$15="yes",T331,S331)</f>
        <v>#DIV/0!</v>
      </c>
      <c r="V331" s="536" t="e">
        <f t="shared" si="68"/>
        <v>#DIV/0!</v>
      </c>
      <c r="W331" s="537" t="e">
        <f t="shared" si="73"/>
        <v>#DIV/0!</v>
      </c>
      <c r="X331" s="538" t="e">
        <f>IF(INPUTS!$B$15="yes",W331,V331)</f>
        <v>#DIV/0!</v>
      </c>
      <c r="Y331" s="536" t="e">
        <f t="shared" si="69"/>
        <v>#DIV/0!</v>
      </c>
      <c r="Z331" s="537" t="e">
        <f t="shared" si="74"/>
        <v>#DIV/0!</v>
      </c>
      <c r="AA331" s="538" t="e">
        <f>IF(INPUTS!$B$15="yes",Z331,Y331)</f>
        <v>#DIV/0!</v>
      </c>
      <c r="AB331" s="536" t="e">
        <f t="shared" si="70"/>
        <v>#DIV/0!</v>
      </c>
      <c r="AC331" s="537" t="e">
        <f t="shared" si="75"/>
        <v>#DIV/0!</v>
      </c>
      <c r="AD331" s="538" t="e">
        <f>IF(INPUTS!$B$15="yes",AC331,AB331)</f>
        <v>#DIV/0!</v>
      </c>
      <c r="AE331" s="36" t="str">
        <f t="shared" si="76"/>
        <v>no</v>
      </c>
      <c r="AF331" s="36"/>
      <c r="AG331" s="389" t="e">
        <f>P331*('upper bound Kenaga'!$F$36/100)</f>
        <v>#DIV/0!</v>
      </c>
      <c r="AH331" s="36"/>
      <c r="AI331" s="389" t="e">
        <f>P331*('upper bound Kenaga'!$F$96/100)</f>
        <v>#DIV/0!</v>
      </c>
      <c r="AJ331" s="36"/>
      <c r="AK331" s="36"/>
      <c r="AL331" s="36"/>
      <c r="AM331" s="36"/>
      <c r="AN331" s="36"/>
      <c r="AO331" s="36"/>
    </row>
    <row r="332" spans="10:41" s="1" customFormat="1">
      <c r="J332" s="6">
        <f>COUNTIF(K$21:K332,"=yes")</f>
        <v>1</v>
      </c>
      <c r="K332" s="533" t="str">
        <f>IF(LOOKUP(VALUE(M332),INPUTS!$G$6:$G$35)=M332,"yes","no")</f>
        <v>no</v>
      </c>
      <c r="L332" s="533">
        <f>IF(K332="yes",(LOOKUP(J332,INPUTS!$E$6:$E$35,INPUTS!$F$6:$F$35)),0)</f>
        <v>0</v>
      </c>
      <c r="M332" s="135">
        <f t="shared" si="64"/>
        <v>311</v>
      </c>
      <c r="N332" s="135">
        <f t="shared" si="65"/>
        <v>1</v>
      </c>
      <c r="O332" s="135">
        <f t="shared" si="66"/>
        <v>0</v>
      </c>
      <c r="P332" s="536" t="e">
        <f t="shared" si="77"/>
        <v>#DIV/0!</v>
      </c>
      <c r="Q332" s="537" t="e">
        <f t="shared" si="71"/>
        <v>#DIV/0!</v>
      </c>
      <c r="R332" s="538" t="e">
        <f>IF(INPUTS!$B$15="yes",Q332,P332)</f>
        <v>#DIV/0!</v>
      </c>
      <c r="S332" s="536" t="e">
        <f t="shared" si="67"/>
        <v>#DIV/0!</v>
      </c>
      <c r="T332" s="537" t="e">
        <f t="shared" si="72"/>
        <v>#DIV/0!</v>
      </c>
      <c r="U332" s="538" t="e">
        <f>IF(INPUTS!$B$15="yes",T332,S332)</f>
        <v>#DIV/0!</v>
      </c>
      <c r="V332" s="536" t="e">
        <f t="shared" si="68"/>
        <v>#DIV/0!</v>
      </c>
      <c r="W332" s="537" t="e">
        <f t="shared" si="73"/>
        <v>#DIV/0!</v>
      </c>
      <c r="X332" s="538" t="e">
        <f>IF(INPUTS!$B$15="yes",W332,V332)</f>
        <v>#DIV/0!</v>
      </c>
      <c r="Y332" s="536" t="e">
        <f t="shared" si="69"/>
        <v>#DIV/0!</v>
      </c>
      <c r="Z332" s="537" t="e">
        <f t="shared" si="74"/>
        <v>#DIV/0!</v>
      </c>
      <c r="AA332" s="538" t="e">
        <f>IF(INPUTS!$B$15="yes",Z332,Y332)</f>
        <v>#DIV/0!</v>
      </c>
      <c r="AB332" s="536" t="e">
        <f t="shared" si="70"/>
        <v>#DIV/0!</v>
      </c>
      <c r="AC332" s="537" t="e">
        <f t="shared" si="75"/>
        <v>#DIV/0!</v>
      </c>
      <c r="AD332" s="538" t="e">
        <f>IF(INPUTS!$B$15="yes",AC332,AB332)</f>
        <v>#DIV/0!</v>
      </c>
      <c r="AE332" s="36" t="str">
        <f t="shared" si="76"/>
        <v>no</v>
      </c>
      <c r="AF332" s="36"/>
      <c r="AG332" s="389" t="e">
        <f>P332*('upper bound Kenaga'!$F$36/100)</f>
        <v>#DIV/0!</v>
      </c>
      <c r="AH332" s="36"/>
      <c r="AI332" s="389" t="e">
        <f>P332*('upper bound Kenaga'!$F$96/100)</f>
        <v>#DIV/0!</v>
      </c>
      <c r="AJ332" s="36"/>
      <c r="AK332" s="36"/>
      <c r="AL332" s="36"/>
      <c r="AM332" s="36"/>
      <c r="AN332" s="36"/>
      <c r="AO332" s="36"/>
    </row>
    <row r="333" spans="10:41" s="1" customFormat="1">
      <c r="J333" s="6">
        <f>COUNTIF(K$21:K333,"=yes")</f>
        <v>1</v>
      </c>
      <c r="K333" s="533" t="str">
        <f>IF(LOOKUP(VALUE(M333),INPUTS!$G$6:$G$35)=M333,"yes","no")</f>
        <v>no</v>
      </c>
      <c r="L333" s="533">
        <f>IF(K333="yes",(LOOKUP(J333,INPUTS!$E$6:$E$35,INPUTS!$F$6:$F$35)),0)</f>
        <v>0</v>
      </c>
      <c r="M333" s="135">
        <f t="shared" si="64"/>
        <v>312</v>
      </c>
      <c r="N333" s="135">
        <f t="shared" si="65"/>
        <v>1</v>
      </c>
      <c r="O333" s="135">
        <f t="shared" si="66"/>
        <v>0</v>
      </c>
      <c r="P333" s="536" t="e">
        <f t="shared" si="77"/>
        <v>#DIV/0!</v>
      </c>
      <c r="Q333" s="537" t="e">
        <f t="shared" si="71"/>
        <v>#DIV/0!</v>
      </c>
      <c r="R333" s="538" t="e">
        <f>IF(INPUTS!$B$15="yes",Q333,P333)</f>
        <v>#DIV/0!</v>
      </c>
      <c r="S333" s="536" t="e">
        <f t="shared" si="67"/>
        <v>#DIV/0!</v>
      </c>
      <c r="T333" s="537" t="e">
        <f t="shared" si="72"/>
        <v>#DIV/0!</v>
      </c>
      <c r="U333" s="538" t="e">
        <f>IF(INPUTS!$B$15="yes",T333,S333)</f>
        <v>#DIV/0!</v>
      </c>
      <c r="V333" s="536" t="e">
        <f t="shared" si="68"/>
        <v>#DIV/0!</v>
      </c>
      <c r="W333" s="537" t="e">
        <f t="shared" si="73"/>
        <v>#DIV/0!</v>
      </c>
      <c r="X333" s="538" t="e">
        <f>IF(INPUTS!$B$15="yes",W333,V333)</f>
        <v>#DIV/0!</v>
      </c>
      <c r="Y333" s="536" t="e">
        <f t="shared" si="69"/>
        <v>#DIV/0!</v>
      </c>
      <c r="Z333" s="537" t="e">
        <f t="shared" si="74"/>
        <v>#DIV/0!</v>
      </c>
      <c r="AA333" s="538" t="e">
        <f>IF(INPUTS!$B$15="yes",Z333,Y333)</f>
        <v>#DIV/0!</v>
      </c>
      <c r="AB333" s="536" t="e">
        <f t="shared" si="70"/>
        <v>#DIV/0!</v>
      </c>
      <c r="AC333" s="537" t="e">
        <f t="shared" si="75"/>
        <v>#DIV/0!</v>
      </c>
      <c r="AD333" s="538" t="e">
        <f>IF(INPUTS!$B$15="yes",AC333,AB333)</f>
        <v>#DIV/0!</v>
      </c>
      <c r="AE333" s="36" t="str">
        <f t="shared" si="76"/>
        <v>no</v>
      </c>
      <c r="AF333" s="36"/>
      <c r="AG333" s="389" t="e">
        <f>P333*('upper bound Kenaga'!$F$36/100)</f>
        <v>#DIV/0!</v>
      </c>
      <c r="AH333" s="36"/>
      <c r="AI333" s="389" t="e">
        <f>P333*('upper bound Kenaga'!$F$96/100)</f>
        <v>#DIV/0!</v>
      </c>
      <c r="AJ333" s="36"/>
      <c r="AK333" s="36"/>
      <c r="AL333" s="36"/>
      <c r="AM333" s="36"/>
      <c r="AN333" s="36"/>
      <c r="AO333" s="36"/>
    </row>
    <row r="334" spans="10:41" s="1" customFormat="1">
      <c r="J334" s="6">
        <f>COUNTIF(K$21:K334,"=yes")</f>
        <v>1</v>
      </c>
      <c r="K334" s="533" t="str">
        <f>IF(LOOKUP(VALUE(M334),INPUTS!$G$6:$G$35)=M334,"yes","no")</f>
        <v>no</v>
      </c>
      <c r="L334" s="533">
        <f>IF(K334="yes",(LOOKUP(J334,INPUTS!$E$6:$E$35,INPUTS!$F$6:$F$35)),0)</f>
        <v>0</v>
      </c>
      <c r="M334" s="135">
        <f t="shared" si="64"/>
        <v>313</v>
      </c>
      <c r="N334" s="135">
        <f t="shared" si="65"/>
        <v>1</v>
      </c>
      <c r="O334" s="135">
        <f t="shared" si="66"/>
        <v>0</v>
      </c>
      <c r="P334" s="536" t="e">
        <f t="shared" si="77"/>
        <v>#DIV/0!</v>
      </c>
      <c r="Q334" s="537" t="e">
        <f t="shared" si="71"/>
        <v>#DIV/0!</v>
      </c>
      <c r="R334" s="538" t="e">
        <f>IF(INPUTS!$B$15="yes",Q334,P334)</f>
        <v>#DIV/0!</v>
      </c>
      <c r="S334" s="536" t="e">
        <f t="shared" si="67"/>
        <v>#DIV/0!</v>
      </c>
      <c r="T334" s="537" t="e">
        <f t="shared" si="72"/>
        <v>#DIV/0!</v>
      </c>
      <c r="U334" s="538" t="e">
        <f>IF(INPUTS!$B$15="yes",T334,S334)</f>
        <v>#DIV/0!</v>
      </c>
      <c r="V334" s="536" t="e">
        <f t="shared" si="68"/>
        <v>#DIV/0!</v>
      </c>
      <c r="W334" s="537" t="e">
        <f t="shared" si="73"/>
        <v>#DIV/0!</v>
      </c>
      <c r="X334" s="538" t="e">
        <f>IF(INPUTS!$B$15="yes",W334,V334)</f>
        <v>#DIV/0!</v>
      </c>
      <c r="Y334" s="536" t="e">
        <f t="shared" si="69"/>
        <v>#DIV/0!</v>
      </c>
      <c r="Z334" s="537" t="e">
        <f t="shared" si="74"/>
        <v>#DIV/0!</v>
      </c>
      <c r="AA334" s="538" t="e">
        <f>IF(INPUTS!$B$15="yes",Z334,Y334)</f>
        <v>#DIV/0!</v>
      </c>
      <c r="AB334" s="536" t="e">
        <f t="shared" si="70"/>
        <v>#DIV/0!</v>
      </c>
      <c r="AC334" s="537" t="e">
        <f t="shared" si="75"/>
        <v>#DIV/0!</v>
      </c>
      <c r="AD334" s="538" t="e">
        <f>IF(INPUTS!$B$15="yes",AC334,AB334)</f>
        <v>#DIV/0!</v>
      </c>
      <c r="AE334" s="36" t="str">
        <f t="shared" si="76"/>
        <v>no</v>
      </c>
      <c r="AF334" s="36"/>
      <c r="AG334" s="389" t="e">
        <f>P334*('upper bound Kenaga'!$F$36/100)</f>
        <v>#DIV/0!</v>
      </c>
      <c r="AH334" s="36"/>
      <c r="AI334" s="389" t="e">
        <f>P334*('upper bound Kenaga'!$F$96/100)</f>
        <v>#DIV/0!</v>
      </c>
      <c r="AJ334" s="36"/>
      <c r="AK334" s="36"/>
      <c r="AL334" s="36"/>
      <c r="AM334" s="36"/>
      <c r="AN334" s="36"/>
      <c r="AO334" s="36"/>
    </row>
    <row r="335" spans="10:41" s="1" customFormat="1">
      <c r="J335" s="6">
        <f>COUNTIF(K$21:K335,"=yes")</f>
        <v>1</v>
      </c>
      <c r="K335" s="533" t="str">
        <f>IF(LOOKUP(VALUE(M335),INPUTS!$G$6:$G$35)=M335,"yes","no")</f>
        <v>no</v>
      </c>
      <c r="L335" s="533">
        <f>IF(K335="yes",(LOOKUP(J335,INPUTS!$E$6:$E$35,INPUTS!$F$6:$F$35)),0)</f>
        <v>0</v>
      </c>
      <c r="M335" s="135">
        <f t="shared" si="64"/>
        <v>314</v>
      </c>
      <c r="N335" s="135">
        <f t="shared" si="65"/>
        <v>1</v>
      </c>
      <c r="O335" s="135">
        <f t="shared" si="66"/>
        <v>0</v>
      </c>
      <c r="P335" s="536" t="e">
        <f t="shared" si="77"/>
        <v>#DIV/0!</v>
      </c>
      <c r="Q335" s="537" t="e">
        <f t="shared" si="71"/>
        <v>#DIV/0!</v>
      </c>
      <c r="R335" s="538" t="e">
        <f>IF(INPUTS!$B$15="yes",Q335,P335)</f>
        <v>#DIV/0!</v>
      </c>
      <c r="S335" s="536" t="e">
        <f t="shared" si="67"/>
        <v>#DIV/0!</v>
      </c>
      <c r="T335" s="537" t="e">
        <f t="shared" si="72"/>
        <v>#DIV/0!</v>
      </c>
      <c r="U335" s="538" t="e">
        <f>IF(INPUTS!$B$15="yes",T335,S335)</f>
        <v>#DIV/0!</v>
      </c>
      <c r="V335" s="536" t="e">
        <f t="shared" si="68"/>
        <v>#DIV/0!</v>
      </c>
      <c r="W335" s="537" t="e">
        <f t="shared" si="73"/>
        <v>#DIV/0!</v>
      </c>
      <c r="X335" s="538" t="e">
        <f>IF(INPUTS!$B$15="yes",W335,V335)</f>
        <v>#DIV/0!</v>
      </c>
      <c r="Y335" s="536" t="e">
        <f t="shared" si="69"/>
        <v>#DIV/0!</v>
      </c>
      <c r="Z335" s="537" t="e">
        <f t="shared" si="74"/>
        <v>#DIV/0!</v>
      </c>
      <c r="AA335" s="538" t="e">
        <f>IF(INPUTS!$B$15="yes",Z335,Y335)</f>
        <v>#DIV/0!</v>
      </c>
      <c r="AB335" s="536" t="e">
        <f t="shared" si="70"/>
        <v>#DIV/0!</v>
      </c>
      <c r="AC335" s="537" t="e">
        <f t="shared" si="75"/>
        <v>#DIV/0!</v>
      </c>
      <c r="AD335" s="538" t="e">
        <f>IF(INPUTS!$B$15="yes",AC335,AB335)</f>
        <v>#DIV/0!</v>
      </c>
      <c r="AE335" s="36" t="str">
        <f t="shared" si="76"/>
        <v>no</v>
      </c>
      <c r="AF335" s="36"/>
      <c r="AG335" s="389" t="e">
        <f>P335*('upper bound Kenaga'!$F$36/100)</f>
        <v>#DIV/0!</v>
      </c>
      <c r="AH335" s="36"/>
      <c r="AI335" s="389" t="e">
        <f>P335*('upper bound Kenaga'!$F$96/100)</f>
        <v>#DIV/0!</v>
      </c>
      <c r="AJ335" s="36"/>
      <c r="AK335" s="36"/>
      <c r="AL335" s="36"/>
      <c r="AM335" s="36"/>
      <c r="AN335" s="36"/>
      <c r="AO335" s="36"/>
    </row>
    <row r="336" spans="10:41" s="1" customFormat="1">
      <c r="J336" s="6">
        <f>COUNTIF(K$21:K336,"=yes")</f>
        <v>1</v>
      </c>
      <c r="K336" s="533" t="str">
        <f>IF(LOOKUP(VALUE(M336),INPUTS!$G$6:$G$35)=M336,"yes","no")</f>
        <v>no</v>
      </c>
      <c r="L336" s="533">
        <f>IF(K336="yes",(LOOKUP(J336,INPUTS!$E$6:$E$35,INPUTS!$F$6:$F$35)),0)</f>
        <v>0</v>
      </c>
      <c r="M336" s="135">
        <f t="shared" si="64"/>
        <v>315</v>
      </c>
      <c r="N336" s="135">
        <f t="shared" si="65"/>
        <v>1</v>
      </c>
      <c r="O336" s="135">
        <f t="shared" si="66"/>
        <v>0</v>
      </c>
      <c r="P336" s="536" t="e">
        <f t="shared" si="77"/>
        <v>#DIV/0!</v>
      </c>
      <c r="Q336" s="537" t="e">
        <f t="shared" si="71"/>
        <v>#DIV/0!</v>
      </c>
      <c r="R336" s="538" t="e">
        <f>IF(INPUTS!$B$15="yes",Q336,P336)</f>
        <v>#DIV/0!</v>
      </c>
      <c r="S336" s="536" t="e">
        <f t="shared" si="67"/>
        <v>#DIV/0!</v>
      </c>
      <c r="T336" s="537" t="e">
        <f t="shared" si="72"/>
        <v>#DIV/0!</v>
      </c>
      <c r="U336" s="538" t="e">
        <f>IF(INPUTS!$B$15="yes",T336,S336)</f>
        <v>#DIV/0!</v>
      </c>
      <c r="V336" s="536" t="e">
        <f t="shared" si="68"/>
        <v>#DIV/0!</v>
      </c>
      <c r="W336" s="537" t="e">
        <f t="shared" si="73"/>
        <v>#DIV/0!</v>
      </c>
      <c r="X336" s="538" t="e">
        <f>IF(INPUTS!$B$15="yes",W336,V336)</f>
        <v>#DIV/0!</v>
      </c>
      <c r="Y336" s="536" t="e">
        <f t="shared" si="69"/>
        <v>#DIV/0!</v>
      </c>
      <c r="Z336" s="537" t="e">
        <f t="shared" si="74"/>
        <v>#DIV/0!</v>
      </c>
      <c r="AA336" s="538" t="e">
        <f>IF(INPUTS!$B$15="yes",Z336,Y336)</f>
        <v>#DIV/0!</v>
      </c>
      <c r="AB336" s="536" t="e">
        <f t="shared" si="70"/>
        <v>#DIV/0!</v>
      </c>
      <c r="AC336" s="537" t="e">
        <f t="shared" si="75"/>
        <v>#DIV/0!</v>
      </c>
      <c r="AD336" s="538" t="e">
        <f>IF(INPUTS!$B$15="yes",AC336,AB336)</f>
        <v>#DIV/0!</v>
      </c>
      <c r="AE336" s="36" t="str">
        <f t="shared" si="76"/>
        <v>no</v>
      </c>
      <c r="AF336" s="36"/>
      <c r="AG336" s="389" t="e">
        <f>P336*('upper bound Kenaga'!$F$36/100)</f>
        <v>#DIV/0!</v>
      </c>
      <c r="AH336" s="36"/>
      <c r="AI336" s="389" t="e">
        <f>P336*('upper bound Kenaga'!$F$96/100)</f>
        <v>#DIV/0!</v>
      </c>
      <c r="AJ336" s="36"/>
      <c r="AK336" s="36"/>
      <c r="AL336" s="36"/>
      <c r="AM336" s="36"/>
      <c r="AN336" s="36"/>
      <c r="AO336" s="36"/>
    </row>
    <row r="337" spans="10:41" s="1" customFormat="1">
      <c r="J337" s="6">
        <f>COUNTIF(K$21:K337,"=yes")</f>
        <v>1</v>
      </c>
      <c r="K337" s="533" t="str">
        <f>IF(LOOKUP(VALUE(M337),INPUTS!$G$6:$G$35)=M337,"yes","no")</f>
        <v>no</v>
      </c>
      <c r="L337" s="533">
        <f>IF(K337="yes",(LOOKUP(J337,INPUTS!$E$6:$E$35,INPUTS!$F$6:$F$35)),0)</f>
        <v>0</v>
      </c>
      <c r="M337" s="135">
        <f t="shared" si="64"/>
        <v>316</v>
      </c>
      <c r="N337" s="135">
        <f t="shared" si="65"/>
        <v>1</v>
      </c>
      <c r="O337" s="135">
        <f t="shared" si="66"/>
        <v>0</v>
      </c>
      <c r="P337" s="536" t="e">
        <f t="shared" si="77"/>
        <v>#DIV/0!</v>
      </c>
      <c r="Q337" s="537" t="e">
        <f t="shared" si="71"/>
        <v>#DIV/0!</v>
      </c>
      <c r="R337" s="538" t="e">
        <f>IF(INPUTS!$B$15="yes",Q337,P337)</f>
        <v>#DIV/0!</v>
      </c>
      <c r="S337" s="536" t="e">
        <f t="shared" si="67"/>
        <v>#DIV/0!</v>
      </c>
      <c r="T337" s="537" t="e">
        <f t="shared" si="72"/>
        <v>#DIV/0!</v>
      </c>
      <c r="U337" s="538" t="e">
        <f>IF(INPUTS!$B$15="yes",T337,S337)</f>
        <v>#DIV/0!</v>
      </c>
      <c r="V337" s="536" t="e">
        <f t="shared" si="68"/>
        <v>#DIV/0!</v>
      </c>
      <c r="W337" s="537" t="e">
        <f t="shared" si="73"/>
        <v>#DIV/0!</v>
      </c>
      <c r="X337" s="538" t="e">
        <f>IF(INPUTS!$B$15="yes",W337,V337)</f>
        <v>#DIV/0!</v>
      </c>
      <c r="Y337" s="536" t="e">
        <f t="shared" si="69"/>
        <v>#DIV/0!</v>
      </c>
      <c r="Z337" s="537" t="e">
        <f t="shared" si="74"/>
        <v>#DIV/0!</v>
      </c>
      <c r="AA337" s="538" t="e">
        <f>IF(INPUTS!$B$15="yes",Z337,Y337)</f>
        <v>#DIV/0!</v>
      </c>
      <c r="AB337" s="536" t="e">
        <f t="shared" si="70"/>
        <v>#DIV/0!</v>
      </c>
      <c r="AC337" s="537" t="e">
        <f t="shared" si="75"/>
        <v>#DIV/0!</v>
      </c>
      <c r="AD337" s="538" t="e">
        <f>IF(INPUTS!$B$15="yes",AC337,AB337)</f>
        <v>#DIV/0!</v>
      </c>
      <c r="AE337" s="36" t="str">
        <f t="shared" si="76"/>
        <v>no</v>
      </c>
      <c r="AF337" s="36"/>
      <c r="AG337" s="389" t="e">
        <f>P337*('upper bound Kenaga'!$F$36/100)</f>
        <v>#DIV/0!</v>
      </c>
      <c r="AH337" s="36"/>
      <c r="AI337" s="389" t="e">
        <f>P337*('upper bound Kenaga'!$F$96/100)</f>
        <v>#DIV/0!</v>
      </c>
      <c r="AJ337" s="36"/>
      <c r="AK337" s="36"/>
      <c r="AL337" s="36"/>
      <c r="AM337" s="36"/>
      <c r="AN337" s="36"/>
      <c r="AO337" s="36"/>
    </row>
    <row r="338" spans="10:41" s="1" customFormat="1">
      <c r="J338" s="6">
        <f>COUNTIF(K$21:K338,"=yes")</f>
        <v>1</v>
      </c>
      <c r="K338" s="533" t="str">
        <f>IF(LOOKUP(VALUE(M338),INPUTS!$G$6:$G$35)=M338,"yes","no")</f>
        <v>no</v>
      </c>
      <c r="L338" s="533">
        <f>IF(K338="yes",(LOOKUP(J338,INPUTS!$E$6:$E$35,INPUTS!$F$6:$F$35)),0)</f>
        <v>0</v>
      </c>
      <c r="M338" s="135">
        <f t="shared" si="64"/>
        <v>317</v>
      </c>
      <c r="N338" s="135">
        <f t="shared" si="65"/>
        <v>1</v>
      </c>
      <c r="O338" s="135">
        <f t="shared" si="66"/>
        <v>0</v>
      </c>
      <c r="P338" s="536" t="e">
        <f t="shared" si="77"/>
        <v>#DIV/0!</v>
      </c>
      <c r="Q338" s="537" t="e">
        <f t="shared" si="71"/>
        <v>#DIV/0!</v>
      </c>
      <c r="R338" s="538" t="e">
        <f>IF(INPUTS!$B$15="yes",Q338,P338)</f>
        <v>#DIV/0!</v>
      </c>
      <c r="S338" s="536" t="e">
        <f t="shared" si="67"/>
        <v>#DIV/0!</v>
      </c>
      <c r="T338" s="537" t="e">
        <f t="shared" si="72"/>
        <v>#DIV/0!</v>
      </c>
      <c r="U338" s="538" t="e">
        <f>IF(INPUTS!$B$15="yes",T338,S338)</f>
        <v>#DIV/0!</v>
      </c>
      <c r="V338" s="536" t="e">
        <f t="shared" si="68"/>
        <v>#DIV/0!</v>
      </c>
      <c r="W338" s="537" t="e">
        <f t="shared" si="73"/>
        <v>#DIV/0!</v>
      </c>
      <c r="X338" s="538" t="e">
        <f>IF(INPUTS!$B$15="yes",W338,V338)</f>
        <v>#DIV/0!</v>
      </c>
      <c r="Y338" s="536" t="e">
        <f t="shared" si="69"/>
        <v>#DIV/0!</v>
      </c>
      <c r="Z338" s="537" t="e">
        <f t="shared" si="74"/>
        <v>#DIV/0!</v>
      </c>
      <c r="AA338" s="538" t="e">
        <f>IF(INPUTS!$B$15="yes",Z338,Y338)</f>
        <v>#DIV/0!</v>
      </c>
      <c r="AB338" s="536" t="e">
        <f t="shared" si="70"/>
        <v>#DIV/0!</v>
      </c>
      <c r="AC338" s="537" t="e">
        <f t="shared" si="75"/>
        <v>#DIV/0!</v>
      </c>
      <c r="AD338" s="538" t="e">
        <f>IF(INPUTS!$B$15="yes",AC338,AB338)</f>
        <v>#DIV/0!</v>
      </c>
      <c r="AE338" s="36" t="str">
        <f t="shared" si="76"/>
        <v>no</v>
      </c>
      <c r="AF338" s="36"/>
      <c r="AG338" s="389" t="e">
        <f>P338*('upper bound Kenaga'!$F$36/100)</f>
        <v>#DIV/0!</v>
      </c>
      <c r="AH338" s="36"/>
      <c r="AI338" s="389" t="e">
        <f>P338*('upper bound Kenaga'!$F$96/100)</f>
        <v>#DIV/0!</v>
      </c>
      <c r="AJ338" s="36"/>
      <c r="AK338" s="36"/>
      <c r="AL338" s="36"/>
      <c r="AM338" s="36"/>
      <c r="AN338" s="36"/>
      <c r="AO338" s="36"/>
    </row>
    <row r="339" spans="10:41" s="1" customFormat="1">
      <c r="J339" s="6">
        <f>COUNTIF(K$21:K339,"=yes")</f>
        <v>1</v>
      </c>
      <c r="K339" s="533" t="str">
        <f>IF(LOOKUP(VALUE(M339),INPUTS!$G$6:$G$35)=M339,"yes","no")</f>
        <v>no</v>
      </c>
      <c r="L339" s="533">
        <f>IF(K339="yes",(LOOKUP(J339,INPUTS!$E$6:$E$35,INPUTS!$F$6:$F$35)),0)</f>
        <v>0</v>
      </c>
      <c r="M339" s="135">
        <f t="shared" si="64"/>
        <v>318</v>
      </c>
      <c r="N339" s="135">
        <f t="shared" si="65"/>
        <v>1</v>
      </c>
      <c r="O339" s="135">
        <f t="shared" si="66"/>
        <v>0</v>
      </c>
      <c r="P339" s="536" t="e">
        <f t="shared" si="77"/>
        <v>#DIV/0!</v>
      </c>
      <c r="Q339" s="537" t="e">
        <f t="shared" si="71"/>
        <v>#DIV/0!</v>
      </c>
      <c r="R339" s="538" t="e">
        <f>IF(INPUTS!$B$15="yes",Q339,P339)</f>
        <v>#DIV/0!</v>
      </c>
      <c r="S339" s="536" t="e">
        <f t="shared" si="67"/>
        <v>#DIV/0!</v>
      </c>
      <c r="T339" s="537" t="e">
        <f t="shared" si="72"/>
        <v>#DIV/0!</v>
      </c>
      <c r="U339" s="538" t="e">
        <f>IF(INPUTS!$B$15="yes",T339,S339)</f>
        <v>#DIV/0!</v>
      </c>
      <c r="V339" s="536" t="e">
        <f t="shared" si="68"/>
        <v>#DIV/0!</v>
      </c>
      <c r="W339" s="537" t="e">
        <f t="shared" si="73"/>
        <v>#DIV/0!</v>
      </c>
      <c r="X339" s="538" t="e">
        <f>IF(INPUTS!$B$15="yes",W339,V339)</f>
        <v>#DIV/0!</v>
      </c>
      <c r="Y339" s="536" t="e">
        <f t="shared" si="69"/>
        <v>#DIV/0!</v>
      </c>
      <c r="Z339" s="537" t="e">
        <f t="shared" si="74"/>
        <v>#DIV/0!</v>
      </c>
      <c r="AA339" s="538" t="e">
        <f>IF(INPUTS!$B$15="yes",Z339,Y339)</f>
        <v>#DIV/0!</v>
      </c>
      <c r="AB339" s="536" t="e">
        <f t="shared" si="70"/>
        <v>#DIV/0!</v>
      </c>
      <c r="AC339" s="537" t="e">
        <f t="shared" si="75"/>
        <v>#DIV/0!</v>
      </c>
      <c r="AD339" s="538" t="e">
        <f>IF(INPUTS!$B$15="yes",AC339,AB339)</f>
        <v>#DIV/0!</v>
      </c>
      <c r="AE339" s="36" t="str">
        <f t="shared" si="76"/>
        <v>no</v>
      </c>
      <c r="AF339" s="36"/>
      <c r="AG339" s="389" t="e">
        <f>P339*('upper bound Kenaga'!$F$36/100)</f>
        <v>#DIV/0!</v>
      </c>
      <c r="AH339" s="36"/>
      <c r="AI339" s="389" t="e">
        <f>P339*('upper bound Kenaga'!$F$96/100)</f>
        <v>#DIV/0!</v>
      </c>
      <c r="AJ339" s="36"/>
      <c r="AK339" s="36"/>
      <c r="AL339" s="36"/>
      <c r="AM339" s="36"/>
      <c r="AN339" s="36"/>
      <c r="AO339" s="36"/>
    </row>
    <row r="340" spans="10:41" s="1" customFormat="1">
      <c r="J340" s="6">
        <f>COUNTIF(K$21:K340,"=yes")</f>
        <v>1</v>
      </c>
      <c r="K340" s="533" t="str">
        <f>IF(LOOKUP(VALUE(M340),INPUTS!$G$6:$G$35)=M340,"yes","no")</f>
        <v>no</v>
      </c>
      <c r="L340" s="533">
        <f>IF(K340="yes",(LOOKUP(J340,INPUTS!$E$6:$E$35,INPUTS!$F$6:$F$35)),0)</f>
        <v>0</v>
      </c>
      <c r="M340" s="135">
        <f t="shared" si="64"/>
        <v>319</v>
      </c>
      <c r="N340" s="135">
        <f t="shared" si="65"/>
        <v>1</v>
      </c>
      <c r="O340" s="135">
        <f t="shared" si="66"/>
        <v>0</v>
      </c>
      <c r="P340" s="536" t="e">
        <f t="shared" si="77"/>
        <v>#DIV/0!</v>
      </c>
      <c r="Q340" s="537" t="e">
        <f t="shared" si="71"/>
        <v>#DIV/0!</v>
      </c>
      <c r="R340" s="538" t="e">
        <f>IF(INPUTS!$B$15="yes",Q340,P340)</f>
        <v>#DIV/0!</v>
      </c>
      <c r="S340" s="536" t="e">
        <f t="shared" si="67"/>
        <v>#DIV/0!</v>
      </c>
      <c r="T340" s="537" t="e">
        <f t="shared" si="72"/>
        <v>#DIV/0!</v>
      </c>
      <c r="U340" s="538" t="e">
        <f>IF(INPUTS!$B$15="yes",T340,S340)</f>
        <v>#DIV/0!</v>
      </c>
      <c r="V340" s="536" t="e">
        <f t="shared" si="68"/>
        <v>#DIV/0!</v>
      </c>
      <c r="W340" s="537" t="e">
        <f t="shared" si="73"/>
        <v>#DIV/0!</v>
      </c>
      <c r="X340" s="538" t="e">
        <f>IF(INPUTS!$B$15="yes",W340,V340)</f>
        <v>#DIV/0!</v>
      </c>
      <c r="Y340" s="536" t="e">
        <f t="shared" si="69"/>
        <v>#DIV/0!</v>
      </c>
      <c r="Z340" s="537" t="e">
        <f t="shared" si="74"/>
        <v>#DIV/0!</v>
      </c>
      <c r="AA340" s="538" t="e">
        <f>IF(INPUTS!$B$15="yes",Z340,Y340)</f>
        <v>#DIV/0!</v>
      </c>
      <c r="AB340" s="536" t="e">
        <f t="shared" si="70"/>
        <v>#DIV/0!</v>
      </c>
      <c r="AC340" s="537" t="e">
        <f t="shared" si="75"/>
        <v>#DIV/0!</v>
      </c>
      <c r="AD340" s="538" t="e">
        <f>IF(INPUTS!$B$15="yes",AC340,AB340)</f>
        <v>#DIV/0!</v>
      </c>
      <c r="AE340" s="36" t="str">
        <f t="shared" si="76"/>
        <v>no</v>
      </c>
      <c r="AF340" s="36"/>
      <c r="AG340" s="389" t="e">
        <f>P340*('upper bound Kenaga'!$F$36/100)</f>
        <v>#DIV/0!</v>
      </c>
      <c r="AH340" s="36"/>
      <c r="AI340" s="389" t="e">
        <f>P340*('upper bound Kenaga'!$F$96/100)</f>
        <v>#DIV/0!</v>
      </c>
      <c r="AJ340" s="36"/>
      <c r="AK340" s="36"/>
      <c r="AL340" s="36"/>
      <c r="AM340" s="36"/>
      <c r="AN340" s="36"/>
      <c r="AO340" s="36"/>
    </row>
    <row r="341" spans="10:41" s="1" customFormat="1">
      <c r="J341" s="6">
        <f>COUNTIF(K$21:K341,"=yes")</f>
        <v>1</v>
      </c>
      <c r="K341" s="533" t="str">
        <f>IF(LOOKUP(VALUE(M341),INPUTS!$G$6:$G$35)=M341,"yes","no")</f>
        <v>no</v>
      </c>
      <c r="L341" s="533">
        <f>IF(K341="yes",(LOOKUP(J341,INPUTS!$E$6:$E$35,INPUTS!$F$6:$F$35)),0)</f>
        <v>0</v>
      </c>
      <c r="M341" s="135">
        <f t="shared" si="64"/>
        <v>320</v>
      </c>
      <c r="N341" s="135">
        <f t="shared" si="65"/>
        <v>1</v>
      </c>
      <c r="O341" s="135">
        <f t="shared" si="66"/>
        <v>0</v>
      </c>
      <c r="P341" s="536" t="e">
        <f t="shared" si="77"/>
        <v>#DIV/0!</v>
      </c>
      <c r="Q341" s="537" t="e">
        <f t="shared" si="71"/>
        <v>#DIV/0!</v>
      </c>
      <c r="R341" s="538" t="e">
        <f>IF(INPUTS!$B$15="yes",Q341,P341)</f>
        <v>#DIV/0!</v>
      </c>
      <c r="S341" s="536" t="e">
        <f t="shared" si="67"/>
        <v>#DIV/0!</v>
      </c>
      <c r="T341" s="537" t="e">
        <f t="shared" si="72"/>
        <v>#DIV/0!</v>
      </c>
      <c r="U341" s="538" t="e">
        <f>IF(INPUTS!$B$15="yes",T341,S341)</f>
        <v>#DIV/0!</v>
      </c>
      <c r="V341" s="536" t="e">
        <f t="shared" si="68"/>
        <v>#DIV/0!</v>
      </c>
      <c r="W341" s="537" t="e">
        <f t="shared" si="73"/>
        <v>#DIV/0!</v>
      </c>
      <c r="X341" s="538" t="e">
        <f>IF(INPUTS!$B$15="yes",W341,V341)</f>
        <v>#DIV/0!</v>
      </c>
      <c r="Y341" s="536" t="e">
        <f t="shared" si="69"/>
        <v>#DIV/0!</v>
      </c>
      <c r="Z341" s="537" t="e">
        <f t="shared" si="74"/>
        <v>#DIV/0!</v>
      </c>
      <c r="AA341" s="538" t="e">
        <f>IF(INPUTS!$B$15="yes",Z341,Y341)</f>
        <v>#DIV/0!</v>
      </c>
      <c r="AB341" s="536" t="e">
        <f t="shared" si="70"/>
        <v>#DIV/0!</v>
      </c>
      <c r="AC341" s="537" t="e">
        <f t="shared" si="75"/>
        <v>#DIV/0!</v>
      </c>
      <c r="AD341" s="538" t="e">
        <f>IF(INPUTS!$B$15="yes",AC341,AB341)</f>
        <v>#DIV/0!</v>
      </c>
      <c r="AE341" s="36" t="str">
        <f t="shared" si="76"/>
        <v>no</v>
      </c>
      <c r="AF341" s="36"/>
      <c r="AG341" s="389" t="e">
        <f>P341*('upper bound Kenaga'!$F$36/100)</f>
        <v>#DIV/0!</v>
      </c>
      <c r="AH341" s="36"/>
      <c r="AI341" s="389" t="e">
        <f>P341*('upper bound Kenaga'!$F$96/100)</f>
        <v>#DIV/0!</v>
      </c>
      <c r="AJ341" s="36"/>
      <c r="AK341" s="36"/>
      <c r="AL341" s="36"/>
      <c r="AM341" s="36"/>
      <c r="AN341" s="36"/>
      <c r="AO341" s="36"/>
    </row>
    <row r="342" spans="10:41" s="1" customFormat="1">
      <c r="J342" s="6">
        <f>COUNTIF(K$21:K342,"=yes")</f>
        <v>1</v>
      </c>
      <c r="K342" s="533" t="str">
        <f>IF(LOOKUP(VALUE(M342),INPUTS!$G$6:$G$35)=M342,"yes","no")</f>
        <v>no</v>
      </c>
      <c r="L342" s="533">
        <f>IF(K342="yes",(LOOKUP(J342,INPUTS!$E$6:$E$35,INPUTS!$F$6:$F$35)),0)</f>
        <v>0</v>
      </c>
      <c r="M342" s="135">
        <f t="shared" ref="M342:M391" si="78">(M341+1)</f>
        <v>321</v>
      </c>
      <c r="N342" s="135">
        <f t="shared" ref="N342:N391" si="79">IF($B$9&gt;N341,IF(O341=($B$8-1),(N341+1),(N341)),(N341))</f>
        <v>1</v>
      </c>
      <c r="O342" s="135">
        <f t="shared" ref="O342:O391" si="80">IF(O341&lt;($B$8-1),(1+O341),0)</f>
        <v>0</v>
      </c>
      <c r="P342" s="536" t="e">
        <f t="shared" si="77"/>
        <v>#DIV/0!</v>
      </c>
      <c r="Q342" s="537" t="e">
        <f t="shared" si="71"/>
        <v>#DIV/0!</v>
      </c>
      <c r="R342" s="538" t="e">
        <f>IF(INPUTS!$B$15="yes",Q342,P342)</f>
        <v>#DIV/0!</v>
      </c>
      <c r="S342" s="536" t="e">
        <f t="shared" ref="S342:S391" si="81">IF(($N342&gt;$N341),(EXP(-$R$16)*(S341)+$R$12),((EXP(-$R$16)*(S341))))</f>
        <v>#DIV/0!</v>
      </c>
      <c r="T342" s="537" t="e">
        <f t="shared" si="72"/>
        <v>#DIV/0!</v>
      </c>
      <c r="U342" s="538" t="e">
        <f>IF(INPUTS!$B$15="yes",T342,S342)</f>
        <v>#DIV/0!</v>
      </c>
      <c r="V342" s="536" t="e">
        <f t="shared" ref="V342:V391" si="82">IF(($N342&gt;$N341),(EXP(-$R$16)*(V341)+$R$13),((EXP(-$R$16)*(V341))))</f>
        <v>#DIV/0!</v>
      </c>
      <c r="W342" s="537" t="e">
        <f t="shared" si="73"/>
        <v>#DIV/0!</v>
      </c>
      <c r="X342" s="538" t="e">
        <f>IF(INPUTS!$B$15="yes",W342,V342)</f>
        <v>#DIV/0!</v>
      </c>
      <c r="Y342" s="536" t="e">
        <f t="shared" ref="Y342:Y391" si="83">IF(($N342&gt;$N341),(EXP(-$R$16)*(Y341)+$R$14),((EXP(-$R$16)*(Y341))))</f>
        <v>#DIV/0!</v>
      </c>
      <c r="Z342" s="537" t="e">
        <f t="shared" si="74"/>
        <v>#DIV/0!</v>
      </c>
      <c r="AA342" s="538" t="e">
        <f>IF(INPUTS!$B$15="yes",Z342,Y342)</f>
        <v>#DIV/0!</v>
      </c>
      <c r="AB342" s="536" t="e">
        <f t="shared" ref="AB342:AB391" si="84">IF(($N342&gt;$N341),(EXP(-$R$16)*(AB341)+$R$15),((EXP(-$R$16)*(AB341))))</f>
        <v>#DIV/0!</v>
      </c>
      <c r="AC342" s="537" t="e">
        <f t="shared" si="75"/>
        <v>#DIV/0!</v>
      </c>
      <c r="AD342" s="538" t="e">
        <f>IF(INPUTS!$B$15="yes",AC342,AB342)</f>
        <v>#DIV/0!</v>
      </c>
      <c r="AE342" s="36" t="str">
        <f t="shared" si="76"/>
        <v>no</v>
      </c>
      <c r="AF342" s="36"/>
      <c r="AG342" s="389" t="e">
        <f>P342*('upper bound Kenaga'!$F$36/100)</f>
        <v>#DIV/0!</v>
      </c>
      <c r="AH342" s="36"/>
      <c r="AI342" s="389" t="e">
        <f>P342*('upper bound Kenaga'!$F$96/100)</f>
        <v>#DIV/0!</v>
      </c>
      <c r="AJ342" s="36"/>
      <c r="AK342" s="36"/>
      <c r="AL342" s="36"/>
      <c r="AM342" s="36"/>
      <c r="AN342" s="36"/>
      <c r="AO342" s="36"/>
    </row>
    <row r="343" spans="10:41" s="1" customFormat="1">
      <c r="J343" s="6">
        <f>COUNTIF(K$21:K343,"=yes")</f>
        <v>1</v>
      </c>
      <c r="K343" s="533" t="str">
        <f>IF(LOOKUP(VALUE(M343),INPUTS!$G$6:$G$35)=M343,"yes","no")</f>
        <v>no</v>
      </c>
      <c r="L343" s="533">
        <f>IF(K343="yes",(LOOKUP(J343,INPUTS!$E$6:$E$35,INPUTS!$F$6:$F$35)),0)</f>
        <v>0</v>
      </c>
      <c r="M343" s="135">
        <f t="shared" si="78"/>
        <v>322</v>
      </c>
      <c r="N343" s="135">
        <f t="shared" si="79"/>
        <v>1</v>
      </c>
      <c r="O343" s="135">
        <f t="shared" si="80"/>
        <v>0</v>
      </c>
      <c r="P343" s="536" t="e">
        <f t="shared" si="77"/>
        <v>#DIV/0!</v>
      </c>
      <c r="Q343" s="537" t="e">
        <f t="shared" ref="Q343:Q391" si="85">IF($K343="yes",(EXP(-$R$16)*(Q342)+(Q$11*$L343)),((EXP(-$R$16)*(Q342))))</f>
        <v>#DIV/0!</v>
      </c>
      <c r="R343" s="538" t="e">
        <f>IF(INPUTS!$B$15="yes",Q343,P343)</f>
        <v>#DIV/0!</v>
      </c>
      <c r="S343" s="536" t="e">
        <f t="shared" si="81"/>
        <v>#DIV/0!</v>
      </c>
      <c r="T343" s="537" t="e">
        <f t="shared" ref="T343:T391" si="86">IF($K343="yes",(EXP(-$R$16)*(T342)+(Q$12*$L343)),((EXP(-$R$16)*(T342))))</f>
        <v>#DIV/0!</v>
      </c>
      <c r="U343" s="538" t="e">
        <f>IF(INPUTS!$B$15="yes",T343,S343)</f>
        <v>#DIV/0!</v>
      </c>
      <c r="V343" s="536" t="e">
        <f t="shared" si="82"/>
        <v>#DIV/0!</v>
      </c>
      <c r="W343" s="537" t="e">
        <f t="shared" ref="W343:W391" si="87">IF($K343="yes",(EXP(-$R$16)*(W342)+(Q$13*$L343)),((EXP(-$R$16)*(W342))))</f>
        <v>#DIV/0!</v>
      </c>
      <c r="X343" s="538" t="e">
        <f>IF(INPUTS!$B$15="yes",W343,V343)</f>
        <v>#DIV/0!</v>
      </c>
      <c r="Y343" s="536" t="e">
        <f t="shared" si="83"/>
        <v>#DIV/0!</v>
      </c>
      <c r="Z343" s="537" t="e">
        <f t="shared" ref="Z343:Z391" si="88">IF($K343="yes",(EXP(-$R$16)*(Z342)+(Q$14*$L343)),((EXP(-$R$16)*(Z342))))</f>
        <v>#DIV/0!</v>
      </c>
      <c r="AA343" s="538" t="e">
        <f>IF(INPUTS!$B$15="yes",Z343,Y343)</f>
        <v>#DIV/0!</v>
      </c>
      <c r="AB343" s="536" t="e">
        <f t="shared" si="84"/>
        <v>#DIV/0!</v>
      </c>
      <c r="AC343" s="537" t="e">
        <f t="shared" ref="AC343:AC391" si="89">IF($K343="yes",(EXP(-$R$16)*(AC342)+(Q$15*$L343)),((EXP(-$R$16)*(AC342))))</f>
        <v>#DIV/0!</v>
      </c>
      <c r="AD343" s="538" t="e">
        <f>IF(INPUTS!$B$15="yes",AC343,AB343)</f>
        <v>#DIV/0!</v>
      </c>
      <c r="AE343" s="36" t="str">
        <f t="shared" si="76"/>
        <v>no</v>
      </c>
      <c r="AF343" s="36"/>
      <c r="AG343" s="389" t="e">
        <f>P343*('upper bound Kenaga'!$F$36/100)</f>
        <v>#DIV/0!</v>
      </c>
      <c r="AH343" s="36"/>
      <c r="AI343" s="389" t="e">
        <f>P343*('upper bound Kenaga'!$F$96/100)</f>
        <v>#DIV/0!</v>
      </c>
      <c r="AJ343" s="36"/>
      <c r="AK343" s="36"/>
      <c r="AL343" s="36"/>
      <c r="AM343" s="36"/>
      <c r="AN343" s="36"/>
      <c r="AO343" s="36"/>
    </row>
    <row r="344" spans="10:41" s="1" customFormat="1">
      <c r="J344" s="6">
        <f>COUNTIF(K$21:K344,"=yes")</f>
        <v>1</v>
      </c>
      <c r="K344" s="533" t="str">
        <f>IF(LOOKUP(VALUE(M344),INPUTS!$G$6:$G$35)=M344,"yes","no")</f>
        <v>no</v>
      </c>
      <c r="L344" s="533">
        <f>IF(K344="yes",(LOOKUP(J344,INPUTS!$E$6:$E$35,INPUTS!$F$6:$F$35)),0)</f>
        <v>0</v>
      </c>
      <c r="M344" s="135">
        <f t="shared" si="78"/>
        <v>323</v>
      </c>
      <c r="N344" s="135">
        <f t="shared" si="79"/>
        <v>1</v>
      </c>
      <c r="O344" s="135">
        <f t="shared" si="80"/>
        <v>0</v>
      </c>
      <c r="P344" s="536" t="e">
        <f t="shared" si="77"/>
        <v>#DIV/0!</v>
      </c>
      <c r="Q344" s="537" t="e">
        <f t="shared" si="85"/>
        <v>#DIV/0!</v>
      </c>
      <c r="R344" s="538" t="e">
        <f>IF(INPUTS!$B$15="yes",Q344,P344)</f>
        <v>#DIV/0!</v>
      </c>
      <c r="S344" s="536" t="e">
        <f t="shared" si="81"/>
        <v>#DIV/0!</v>
      </c>
      <c r="T344" s="537" t="e">
        <f t="shared" si="86"/>
        <v>#DIV/0!</v>
      </c>
      <c r="U344" s="538" t="e">
        <f>IF(INPUTS!$B$15="yes",T344,S344)</f>
        <v>#DIV/0!</v>
      </c>
      <c r="V344" s="536" t="e">
        <f t="shared" si="82"/>
        <v>#DIV/0!</v>
      </c>
      <c r="W344" s="537" t="e">
        <f t="shared" si="87"/>
        <v>#DIV/0!</v>
      </c>
      <c r="X344" s="538" t="e">
        <f>IF(INPUTS!$B$15="yes",W344,V344)</f>
        <v>#DIV/0!</v>
      </c>
      <c r="Y344" s="536" t="e">
        <f t="shared" si="83"/>
        <v>#DIV/0!</v>
      </c>
      <c r="Z344" s="537" t="e">
        <f t="shared" si="88"/>
        <v>#DIV/0!</v>
      </c>
      <c r="AA344" s="538" t="e">
        <f>IF(INPUTS!$B$15="yes",Z344,Y344)</f>
        <v>#DIV/0!</v>
      </c>
      <c r="AB344" s="536" t="e">
        <f t="shared" si="84"/>
        <v>#DIV/0!</v>
      </c>
      <c r="AC344" s="537" t="e">
        <f t="shared" si="89"/>
        <v>#DIV/0!</v>
      </c>
      <c r="AD344" s="538" t="e">
        <f>IF(INPUTS!$B$15="yes",AC344,AB344)</f>
        <v>#DIV/0!</v>
      </c>
      <c r="AE344" s="36" t="str">
        <f t="shared" si="76"/>
        <v>no</v>
      </c>
      <c r="AF344" s="36"/>
      <c r="AG344" s="389" t="e">
        <f>P344*('upper bound Kenaga'!$F$36/100)</f>
        <v>#DIV/0!</v>
      </c>
      <c r="AH344" s="36"/>
      <c r="AI344" s="389" t="e">
        <f>P344*('upper bound Kenaga'!$F$96/100)</f>
        <v>#DIV/0!</v>
      </c>
      <c r="AJ344" s="36"/>
      <c r="AK344" s="36"/>
      <c r="AL344" s="36"/>
      <c r="AM344" s="36"/>
      <c r="AN344" s="36"/>
      <c r="AO344" s="36"/>
    </row>
    <row r="345" spans="10:41" s="1" customFormat="1">
      <c r="J345" s="6">
        <f>COUNTIF(K$21:K345,"=yes")</f>
        <v>1</v>
      </c>
      <c r="K345" s="533" t="str">
        <f>IF(LOOKUP(VALUE(M345),INPUTS!$G$6:$G$35)=M345,"yes","no")</f>
        <v>no</v>
      </c>
      <c r="L345" s="533">
        <f>IF(K345="yes",(LOOKUP(J345,INPUTS!$E$6:$E$35,INPUTS!$F$6:$F$35)),0)</f>
        <v>0</v>
      </c>
      <c r="M345" s="135">
        <f t="shared" si="78"/>
        <v>324</v>
      </c>
      <c r="N345" s="135">
        <f t="shared" si="79"/>
        <v>1</v>
      </c>
      <c r="O345" s="135">
        <f t="shared" si="80"/>
        <v>0</v>
      </c>
      <c r="P345" s="536" t="e">
        <f t="shared" si="77"/>
        <v>#DIV/0!</v>
      </c>
      <c r="Q345" s="537" t="e">
        <f t="shared" si="85"/>
        <v>#DIV/0!</v>
      </c>
      <c r="R345" s="538" t="e">
        <f>IF(INPUTS!$B$15="yes",Q345,P345)</f>
        <v>#DIV/0!</v>
      </c>
      <c r="S345" s="536" t="e">
        <f t="shared" si="81"/>
        <v>#DIV/0!</v>
      </c>
      <c r="T345" s="537" t="e">
        <f t="shared" si="86"/>
        <v>#DIV/0!</v>
      </c>
      <c r="U345" s="538" t="e">
        <f>IF(INPUTS!$B$15="yes",T345,S345)</f>
        <v>#DIV/0!</v>
      </c>
      <c r="V345" s="536" t="e">
        <f t="shared" si="82"/>
        <v>#DIV/0!</v>
      </c>
      <c r="W345" s="537" t="e">
        <f t="shared" si="87"/>
        <v>#DIV/0!</v>
      </c>
      <c r="X345" s="538" t="e">
        <f>IF(INPUTS!$B$15="yes",W345,V345)</f>
        <v>#DIV/0!</v>
      </c>
      <c r="Y345" s="536" t="e">
        <f t="shared" si="83"/>
        <v>#DIV/0!</v>
      </c>
      <c r="Z345" s="537" t="e">
        <f t="shared" si="88"/>
        <v>#DIV/0!</v>
      </c>
      <c r="AA345" s="538" t="e">
        <f>IF(INPUTS!$B$15="yes",Z345,Y345)</f>
        <v>#DIV/0!</v>
      </c>
      <c r="AB345" s="536" t="e">
        <f t="shared" si="84"/>
        <v>#DIV/0!</v>
      </c>
      <c r="AC345" s="537" t="e">
        <f t="shared" si="89"/>
        <v>#DIV/0!</v>
      </c>
      <c r="AD345" s="538" t="e">
        <f>IF(INPUTS!$B$15="yes",AC345,AB345)</f>
        <v>#DIV/0!</v>
      </c>
      <c r="AE345" s="36" t="str">
        <f t="shared" si="76"/>
        <v>no</v>
      </c>
      <c r="AF345" s="36"/>
      <c r="AG345" s="389" t="e">
        <f>P345*('upper bound Kenaga'!$F$36/100)</f>
        <v>#DIV/0!</v>
      </c>
      <c r="AH345" s="36"/>
      <c r="AI345" s="389" t="e">
        <f>P345*('upper bound Kenaga'!$F$96/100)</f>
        <v>#DIV/0!</v>
      </c>
      <c r="AJ345" s="36"/>
      <c r="AK345" s="36"/>
      <c r="AL345" s="36"/>
      <c r="AM345" s="36"/>
      <c r="AN345" s="36"/>
      <c r="AO345" s="36"/>
    </row>
    <row r="346" spans="10:41" s="1" customFormat="1">
      <c r="J346" s="6">
        <f>COUNTIF(K$21:K346,"=yes")</f>
        <v>1</v>
      </c>
      <c r="K346" s="533" t="str">
        <f>IF(LOOKUP(VALUE(M346),INPUTS!$G$6:$G$35)=M346,"yes","no")</f>
        <v>no</v>
      </c>
      <c r="L346" s="533">
        <f>IF(K346="yes",(LOOKUP(J346,INPUTS!$E$6:$E$35,INPUTS!$F$6:$F$35)),0)</f>
        <v>0</v>
      </c>
      <c r="M346" s="135">
        <f t="shared" si="78"/>
        <v>325</v>
      </c>
      <c r="N346" s="135">
        <f t="shared" si="79"/>
        <v>1</v>
      </c>
      <c r="O346" s="135">
        <f t="shared" si="80"/>
        <v>0</v>
      </c>
      <c r="P346" s="536" t="e">
        <f t="shared" si="77"/>
        <v>#DIV/0!</v>
      </c>
      <c r="Q346" s="537" t="e">
        <f t="shared" si="85"/>
        <v>#DIV/0!</v>
      </c>
      <c r="R346" s="538" t="e">
        <f>IF(INPUTS!$B$15="yes",Q346,P346)</f>
        <v>#DIV/0!</v>
      </c>
      <c r="S346" s="536" t="e">
        <f t="shared" si="81"/>
        <v>#DIV/0!</v>
      </c>
      <c r="T346" s="537" t="e">
        <f t="shared" si="86"/>
        <v>#DIV/0!</v>
      </c>
      <c r="U346" s="538" t="e">
        <f>IF(INPUTS!$B$15="yes",T346,S346)</f>
        <v>#DIV/0!</v>
      </c>
      <c r="V346" s="536" t="e">
        <f t="shared" si="82"/>
        <v>#DIV/0!</v>
      </c>
      <c r="W346" s="537" t="e">
        <f t="shared" si="87"/>
        <v>#DIV/0!</v>
      </c>
      <c r="X346" s="538" t="e">
        <f>IF(INPUTS!$B$15="yes",W346,V346)</f>
        <v>#DIV/0!</v>
      </c>
      <c r="Y346" s="536" t="e">
        <f t="shared" si="83"/>
        <v>#DIV/0!</v>
      </c>
      <c r="Z346" s="537" t="e">
        <f t="shared" si="88"/>
        <v>#DIV/0!</v>
      </c>
      <c r="AA346" s="538" t="e">
        <f>IF(INPUTS!$B$15="yes",Z346,Y346)</f>
        <v>#DIV/0!</v>
      </c>
      <c r="AB346" s="536" t="e">
        <f t="shared" si="84"/>
        <v>#DIV/0!</v>
      </c>
      <c r="AC346" s="537" t="e">
        <f t="shared" si="89"/>
        <v>#DIV/0!</v>
      </c>
      <c r="AD346" s="538" t="e">
        <f>IF(INPUTS!$B$15="yes",AC346,AB346)</f>
        <v>#DIV/0!</v>
      </c>
      <c r="AE346" s="36" t="str">
        <f t="shared" ref="AE346:AE391" si="90">$B$11</f>
        <v>no</v>
      </c>
      <c r="AF346" s="36"/>
      <c r="AG346" s="389" t="e">
        <f>P346*('upper bound Kenaga'!$F$36/100)</f>
        <v>#DIV/0!</v>
      </c>
      <c r="AH346" s="36"/>
      <c r="AI346" s="389" t="e">
        <f>P346*('upper bound Kenaga'!$F$96/100)</f>
        <v>#DIV/0!</v>
      </c>
      <c r="AJ346" s="36"/>
      <c r="AK346" s="36"/>
      <c r="AL346" s="36"/>
      <c r="AM346" s="36"/>
      <c r="AN346" s="36"/>
      <c r="AO346" s="36"/>
    </row>
    <row r="347" spans="10:41" s="1" customFormat="1">
      <c r="J347" s="6">
        <f>COUNTIF(K$21:K347,"=yes")</f>
        <v>1</v>
      </c>
      <c r="K347" s="533" t="str">
        <f>IF(LOOKUP(VALUE(M347),INPUTS!$G$6:$G$35)=M347,"yes","no")</f>
        <v>no</v>
      </c>
      <c r="L347" s="533">
        <f>IF(K347="yes",(LOOKUP(J347,INPUTS!$E$6:$E$35,INPUTS!$F$6:$F$35)),0)</f>
        <v>0</v>
      </c>
      <c r="M347" s="135">
        <f t="shared" si="78"/>
        <v>326</v>
      </c>
      <c r="N347" s="135">
        <f t="shared" si="79"/>
        <v>1</v>
      </c>
      <c r="O347" s="135">
        <f t="shared" si="80"/>
        <v>0</v>
      </c>
      <c r="P347" s="536" t="e">
        <f t="shared" si="77"/>
        <v>#DIV/0!</v>
      </c>
      <c r="Q347" s="537" t="e">
        <f t="shared" si="85"/>
        <v>#DIV/0!</v>
      </c>
      <c r="R347" s="538" t="e">
        <f>IF(INPUTS!$B$15="yes",Q347,P347)</f>
        <v>#DIV/0!</v>
      </c>
      <c r="S347" s="536" t="e">
        <f t="shared" si="81"/>
        <v>#DIV/0!</v>
      </c>
      <c r="T347" s="537" t="e">
        <f t="shared" si="86"/>
        <v>#DIV/0!</v>
      </c>
      <c r="U347" s="538" t="e">
        <f>IF(INPUTS!$B$15="yes",T347,S347)</f>
        <v>#DIV/0!</v>
      </c>
      <c r="V347" s="536" t="e">
        <f t="shared" si="82"/>
        <v>#DIV/0!</v>
      </c>
      <c r="W347" s="537" t="e">
        <f t="shared" si="87"/>
        <v>#DIV/0!</v>
      </c>
      <c r="X347" s="538" t="e">
        <f>IF(INPUTS!$B$15="yes",W347,V347)</f>
        <v>#DIV/0!</v>
      </c>
      <c r="Y347" s="536" t="e">
        <f t="shared" si="83"/>
        <v>#DIV/0!</v>
      </c>
      <c r="Z347" s="537" t="e">
        <f t="shared" si="88"/>
        <v>#DIV/0!</v>
      </c>
      <c r="AA347" s="538" t="e">
        <f>IF(INPUTS!$B$15="yes",Z347,Y347)</f>
        <v>#DIV/0!</v>
      </c>
      <c r="AB347" s="536" t="e">
        <f t="shared" si="84"/>
        <v>#DIV/0!</v>
      </c>
      <c r="AC347" s="537" t="e">
        <f t="shared" si="89"/>
        <v>#DIV/0!</v>
      </c>
      <c r="AD347" s="538" t="e">
        <f>IF(INPUTS!$B$15="yes",AC347,AB347)</f>
        <v>#DIV/0!</v>
      </c>
      <c r="AE347" s="36" t="str">
        <f t="shared" si="90"/>
        <v>no</v>
      </c>
      <c r="AF347" s="36"/>
      <c r="AG347" s="389" t="e">
        <f>P347*('upper bound Kenaga'!$F$36/100)</f>
        <v>#DIV/0!</v>
      </c>
      <c r="AH347" s="36"/>
      <c r="AI347" s="389" t="e">
        <f>P347*('upper bound Kenaga'!$F$96/100)</f>
        <v>#DIV/0!</v>
      </c>
      <c r="AJ347" s="36"/>
      <c r="AK347" s="36"/>
      <c r="AL347" s="36"/>
      <c r="AM347" s="36"/>
      <c r="AN347" s="36"/>
      <c r="AO347" s="36"/>
    </row>
    <row r="348" spans="10:41" s="1" customFormat="1">
      <c r="J348" s="6">
        <f>COUNTIF(K$21:K348,"=yes")</f>
        <v>1</v>
      </c>
      <c r="K348" s="533" t="str">
        <f>IF(LOOKUP(VALUE(M348),INPUTS!$G$6:$G$35)=M348,"yes","no")</f>
        <v>no</v>
      </c>
      <c r="L348" s="533">
        <f>IF(K348="yes",(LOOKUP(J348,INPUTS!$E$6:$E$35,INPUTS!$F$6:$F$35)),0)</f>
        <v>0</v>
      </c>
      <c r="M348" s="135">
        <f t="shared" si="78"/>
        <v>327</v>
      </c>
      <c r="N348" s="135">
        <f t="shared" si="79"/>
        <v>1</v>
      </c>
      <c r="O348" s="135">
        <f t="shared" si="80"/>
        <v>0</v>
      </c>
      <c r="P348" s="536" t="e">
        <f t="shared" si="77"/>
        <v>#DIV/0!</v>
      </c>
      <c r="Q348" s="537" t="e">
        <f t="shared" si="85"/>
        <v>#DIV/0!</v>
      </c>
      <c r="R348" s="538" t="e">
        <f>IF(INPUTS!$B$15="yes",Q348,P348)</f>
        <v>#DIV/0!</v>
      </c>
      <c r="S348" s="536" t="e">
        <f t="shared" si="81"/>
        <v>#DIV/0!</v>
      </c>
      <c r="T348" s="537" t="e">
        <f t="shared" si="86"/>
        <v>#DIV/0!</v>
      </c>
      <c r="U348" s="538" t="e">
        <f>IF(INPUTS!$B$15="yes",T348,S348)</f>
        <v>#DIV/0!</v>
      </c>
      <c r="V348" s="536" t="e">
        <f t="shared" si="82"/>
        <v>#DIV/0!</v>
      </c>
      <c r="W348" s="537" t="e">
        <f t="shared" si="87"/>
        <v>#DIV/0!</v>
      </c>
      <c r="X348" s="538" t="e">
        <f>IF(INPUTS!$B$15="yes",W348,V348)</f>
        <v>#DIV/0!</v>
      </c>
      <c r="Y348" s="536" t="e">
        <f t="shared" si="83"/>
        <v>#DIV/0!</v>
      </c>
      <c r="Z348" s="537" t="e">
        <f t="shared" si="88"/>
        <v>#DIV/0!</v>
      </c>
      <c r="AA348" s="538" t="e">
        <f>IF(INPUTS!$B$15="yes",Z348,Y348)</f>
        <v>#DIV/0!</v>
      </c>
      <c r="AB348" s="536" t="e">
        <f t="shared" si="84"/>
        <v>#DIV/0!</v>
      </c>
      <c r="AC348" s="537" t="e">
        <f t="shared" si="89"/>
        <v>#DIV/0!</v>
      </c>
      <c r="AD348" s="538" t="e">
        <f>IF(INPUTS!$B$15="yes",AC348,AB348)</f>
        <v>#DIV/0!</v>
      </c>
      <c r="AE348" s="36" t="str">
        <f t="shared" si="90"/>
        <v>no</v>
      </c>
      <c r="AF348" s="36"/>
      <c r="AG348" s="389" t="e">
        <f>P348*('upper bound Kenaga'!$F$36/100)</f>
        <v>#DIV/0!</v>
      </c>
      <c r="AH348" s="36"/>
      <c r="AI348" s="389" t="e">
        <f>P348*('upper bound Kenaga'!$F$96/100)</f>
        <v>#DIV/0!</v>
      </c>
      <c r="AJ348" s="36"/>
      <c r="AK348" s="36"/>
      <c r="AL348" s="36"/>
      <c r="AM348" s="36"/>
      <c r="AN348" s="36"/>
      <c r="AO348" s="36"/>
    </row>
    <row r="349" spans="10:41" s="1" customFormat="1">
      <c r="J349" s="6">
        <f>COUNTIF(K$21:K349,"=yes")</f>
        <v>1</v>
      </c>
      <c r="K349" s="533" t="str">
        <f>IF(LOOKUP(VALUE(M349),INPUTS!$G$6:$G$35)=M349,"yes","no")</f>
        <v>no</v>
      </c>
      <c r="L349" s="533">
        <f>IF(K349="yes",(LOOKUP(J349,INPUTS!$E$6:$E$35,INPUTS!$F$6:$F$35)),0)</f>
        <v>0</v>
      </c>
      <c r="M349" s="135">
        <f t="shared" si="78"/>
        <v>328</v>
      </c>
      <c r="N349" s="135">
        <f t="shared" si="79"/>
        <v>1</v>
      </c>
      <c r="O349" s="135">
        <f t="shared" si="80"/>
        <v>0</v>
      </c>
      <c r="P349" s="536" t="e">
        <f t="shared" si="77"/>
        <v>#DIV/0!</v>
      </c>
      <c r="Q349" s="537" t="e">
        <f t="shared" si="85"/>
        <v>#DIV/0!</v>
      </c>
      <c r="R349" s="538" t="e">
        <f>IF(INPUTS!$B$15="yes",Q349,P349)</f>
        <v>#DIV/0!</v>
      </c>
      <c r="S349" s="536" t="e">
        <f t="shared" si="81"/>
        <v>#DIV/0!</v>
      </c>
      <c r="T349" s="537" t="e">
        <f t="shared" si="86"/>
        <v>#DIV/0!</v>
      </c>
      <c r="U349" s="538" t="e">
        <f>IF(INPUTS!$B$15="yes",T349,S349)</f>
        <v>#DIV/0!</v>
      </c>
      <c r="V349" s="536" t="e">
        <f t="shared" si="82"/>
        <v>#DIV/0!</v>
      </c>
      <c r="W349" s="537" t="e">
        <f t="shared" si="87"/>
        <v>#DIV/0!</v>
      </c>
      <c r="X349" s="538" t="e">
        <f>IF(INPUTS!$B$15="yes",W349,V349)</f>
        <v>#DIV/0!</v>
      </c>
      <c r="Y349" s="536" t="e">
        <f t="shared" si="83"/>
        <v>#DIV/0!</v>
      </c>
      <c r="Z349" s="537" t="e">
        <f t="shared" si="88"/>
        <v>#DIV/0!</v>
      </c>
      <c r="AA349" s="538" t="e">
        <f>IF(INPUTS!$B$15="yes",Z349,Y349)</f>
        <v>#DIV/0!</v>
      </c>
      <c r="AB349" s="536" t="e">
        <f t="shared" si="84"/>
        <v>#DIV/0!</v>
      </c>
      <c r="AC349" s="537" t="e">
        <f t="shared" si="89"/>
        <v>#DIV/0!</v>
      </c>
      <c r="AD349" s="538" t="e">
        <f>IF(INPUTS!$B$15="yes",AC349,AB349)</f>
        <v>#DIV/0!</v>
      </c>
      <c r="AE349" s="36" t="str">
        <f t="shared" si="90"/>
        <v>no</v>
      </c>
      <c r="AF349" s="36"/>
      <c r="AG349" s="389" t="e">
        <f>P349*('upper bound Kenaga'!$F$36/100)</f>
        <v>#DIV/0!</v>
      </c>
      <c r="AH349" s="36"/>
      <c r="AI349" s="389" t="e">
        <f>P349*('upper bound Kenaga'!$F$96/100)</f>
        <v>#DIV/0!</v>
      </c>
      <c r="AJ349" s="36"/>
      <c r="AK349" s="36"/>
      <c r="AL349" s="36"/>
      <c r="AM349" s="36"/>
      <c r="AN349" s="36"/>
      <c r="AO349" s="36"/>
    </row>
    <row r="350" spans="10:41" s="1" customFormat="1">
      <c r="J350" s="6">
        <f>COUNTIF(K$21:K350,"=yes")</f>
        <v>1</v>
      </c>
      <c r="K350" s="533" t="str">
        <f>IF(LOOKUP(VALUE(M350),INPUTS!$G$6:$G$35)=M350,"yes","no")</f>
        <v>no</v>
      </c>
      <c r="L350" s="533">
        <f>IF(K350="yes",(LOOKUP(J350,INPUTS!$E$6:$E$35,INPUTS!$F$6:$F$35)),0)</f>
        <v>0</v>
      </c>
      <c r="M350" s="135">
        <f t="shared" si="78"/>
        <v>329</v>
      </c>
      <c r="N350" s="135">
        <f t="shared" si="79"/>
        <v>1</v>
      </c>
      <c r="O350" s="135">
        <f t="shared" si="80"/>
        <v>0</v>
      </c>
      <c r="P350" s="536" t="e">
        <f t="shared" si="77"/>
        <v>#DIV/0!</v>
      </c>
      <c r="Q350" s="537" t="e">
        <f t="shared" si="85"/>
        <v>#DIV/0!</v>
      </c>
      <c r="R350" s="538" t="e">
        <f>IF(INPUTS!$B$15="yes",Q350,P350)</f>
        <v>#DIV/0!</v>
      </c>
      <c r="S350" s="536" t="e">
        <f t="shared" si="81"/>
        <v>#DIV/0!</v>
      </c>
      <c r="T350" s="537" t="e">
        <f t="shared" si="86"/>
        <v>#DIV/0!</v>
      </c>
      <c r="U350" s="538" t="e">
        <f>IF(INPUTS!$B$15="yes",T350,S350)</f>
        <v>#DIV/0!</v>
      </c>
      <c r="V350" s="536" t="e">
        <f t="shared" si="82"/>
        <v>#DIV/0!</v>
      </c>
      <c r="W350" s="537" t="e">
        <f t="shared" si="87"/>
        <v>#DIV/0!</v>
      </c>
      <c r="X350" s="538" t="e">
        <f>IF(INPUTS!$B$15="yes",W350,V350)</f>
        <v>#DIV/0!</v>
      </c>
      <c r="Y350" s="536" t="e">
        <f t="shared" si="83"/>
        <v>#DIV/0!</v>
      </c>
      <c r="Z350" s="537" t="e">
        <f t="shared" si="88"/>
        <v>#DIV/0!</v>
      </c>
      <c r="AA350" s="538" t="e">
        <f>IF(INPUTS!$B$15="yes",Z350,Y350)</f>
        <v>#DIV/0!</v>
      </c>
      <c r="AB350" s="536" t="e">
        <f t="shared" si="84"/>
        <v>#DIV/0!</v>
      </c>
      <c r="AC350" s="537" t="e">
        <f t="shared" si="89"/>
        <v>#DIV/0!</v>
      </c>
      <c r="AD350" s="538" t="e">
        <f>IF(INPUTS!$B$15="yes",AC350,AB350)</f>
        <v>#DIV/0!</v>
      </c>
      <c r="AE350" s="36" t="str">
        <f t="shared" si="90"/>
        <v>no</v>
      </c>
      <c r="AF350" s="36"/>
      <c r="AG350" s="389" t="e">
        <f>P350*('upper bound Kenaga'!$F$36/100)</f>
        <v>#DIV/0!</v>
      </c>
      <c r="AH350" s="36"/>
      <c r="AI350" s="389" t="e">
        <f>P350*('upper bound Kenaga'!$F$96/100)</f>
        <v>#DIV/0!</v>
      </c>
      <c r="AJ350" s="36"/>
      <c r="AK350" s="36"/>
      <c r="AL350" s="36"/>
      <c r="AM350" s="36"/>
      <c r="AN350" s="36"/>
      <c r="AO350" s="36"/>
    </row>
    <row r="351" spans="10:41" s="1" customFormat="1">
      <c r="J351" s="6">
        <f>COUNTIF(K$21:K351,"=yes")</f>
        <v>1</v>
      </c>
      <c r="K351" s="533" t="str">
        <f>IF(LOOKUP(VALUE(M351),INPUTS!$G$6:$G$35)=M351,"yes","no")</f>
        <v>no</v>
      </c>
      <c r="L351" s="533">
        <f>IF(K351="yes",(LOOKUP(J351,INPUTS!$E$6:$E$35,INPUTS!$F$6:$F$35)),0)</f>
        <v>0</v>
      </c>
      <c r="M351" s="135">
        <f t="shared" si="78"/>
        <v>330</v>
      </c>
      <c r="N351" s="135">
        <f t="shared" si="79"/>
        <v>1</v>
      </c>
      <c r="O351" s="135">
        <f t="shared" si="80"/>
        <v>0</v>
      </c>
      <c r="P351" s="536" t="e">
        <f t="shared" ref="P351:P391" si="91">IF((N351&gt;N350),(EXP(-$R$16)*(P350)+$R$11),((EXP(-$R$16)*(P350))))</f>
        <v>#DIV/0!</v>
      </c>
      <c r="Q351" s="537" t="e">
        <f t="shared" si="85"/>
        <v>#DIV/0!</v>
      </c>
      <c r="R351" s="538" t="e">
        <f>IF(INPUTS!$B$15="yes",Q351,P351)</f>
        <v>#DIV/0!</v>
      </c>
      <c r="S351" s="536" t="e">
        <f t="shared" si="81"/>
        <v>#DIV/0!</v>
      </c>
      <c r="T351" s="537" t="e">
        <f t="shared" si="86"/>
        <v>#DIV/0!</v>
      </c>
      <c r="U351" s="538" t="e">
        <f>IF(INPUTS!$B$15="yes",T351,S351)</f>
        <v>#DIV/0!</v>
      </c>
      <c r="V351" s="536" t="e">
        <f t="shared" si="82"/>
        <v>#DIV/0!</v>
      </c>
      <c r="W351" s="537" t="e">
        <f t="shared" si="87"/>
        <v>#DIV/0!</v>
      </c>
      <c r="X351" s="538" t="e">
        <f>IF(INPUTS!$B$15="yes",W351,V351)</f>
        <v>#DIV/0!</v>
      </c>
      <c r="Y351" s="536" t="e">
        <f t="shared" si="83"/>
        <v>#DIV/0!</v>
      </c>
      <c r="Z351" s="537" t="e">
        <f t="shared" si="88"/>
        <v>#DIV/0!</v>
      </c>
      <c r="AA351" s="538" t="e">
        <f>IF(INPUTS!$B$15="yes",Z351,Y351)</f>
        <v>#DIV/0!</v>
      </c>
      <c r="AB351" s="536" t="e">
        <f t="shared" si="84"/>
        <v>#DIV/0!</v>
      </c>
      <c r="AC351" s="537" t="e">
        <f t="shared" si="89"/>
        <v>#DIV/0!</v>
      </c>
      <c r="AD351" s="538" t="e">
        <f>IF(INPUTS!$B$15="yes",AC351,AB351)</f>
        <v>#DIV/0!</v>
      </c>
      <c r="AE351" s="36" t="str">
        <f t="shared" si="90"/>
        <v>no</v>
      </c>
      <c r="AF351" s="36"/>
      <c r="AG351" s="389" t="e">
        <f>P351*('upper bound Kenaga'!$F$36/100)</f>
        <v>#DIV/0!</v>
      </c>
      <c r="AH351" s="36"/>
      <c r="AI351" s="389" t="e">
        <f>P351*('upper bound Kenaga'!$F$96/100)</f>
        <v>#DIV/0!</v>
      </c>
      <c r="AJ351" s="36"/>
      <c r="AK351" s="36"/>
      <c r="AL351" s="36"/>
      <c r="AM351" s="36"/>
      <c r="AN351" s="36"/>
      <c r="AO351" s="36"/>
    </row>
    <row r="352" spans="10:41" s="1" customFormat="1">
      <c r="J352" s="6">
        <f>COUNTIF(K$21:K352,"=yes")</f>
        <v>1</v>
      </c>
      <c r="K352" s="533" t="str">
        <f>IF(LOOKUP(VALUE(M352),INPUTS!$G$6:$G$35)=M352,"yes","no")</f>
        <v>no</v>
      </c>
      <c r="L352" s="533">
        <f>IF(K352="yes",(LOOKUP(J352,INPUTS!$E$6:$E$35,INPUTS!$F$6:$F$35)),0)</f>
        <v>0</v>
      </c>
      <c r="M352" s="135">
        <f t="shared" si="78"/>
        <v>331</v>
      </c>
      <c r="N352" s="135">
        <f t="shared" si="79"/>
        <v>1</v>
      </c>
      <c r="O352" s="135">
        <f t="shared" si="80"/>
        <v>0</v>
      </c>
      <c r="P352" s="536" t="e">
        <f t="shared" si="91"/>
        <v>#DIV/0!</v>
      </c>
      <c r="Q352" s="537" t="e">
        <f t="shared" si="85"/>
        <v>#DIV/0!</v>
      </c>
      <c r="R352" s="538" t="e">
        <f>IF(INPUTS!$B$15="yes",Q352,P352)</f>
        <v>#DIV/0!</v>
      </c>
      <c r="S352" s="536" t="e">
        <f t="shared" si="81"/>
        <v>#DIV/0!</v>
      </c>
      <c r="T352" s="537" t="e">
        <f t="shared" si="86"/>
        <v>#DIV/0!</v>
      </c>
      <c r="U352" s="538" t="e">
        <f>IF(INPUTS!$B$15="yes",T352,S352)</f>
        <v>#DIV/0!</v>
      </c>
      <c r="V352" s="536" t="e">
        <f t="shared" si="82"/>
        <v>#DIV/0!</v>
      </c>
      <c r="W352" s="537" t="e">
        <f t="shared" si="87"/>
        <v>#DIV/0!</v>
      </c>
      <c r="X352" s="538" t="e">
        <f>IF(INPUTS!$B$15="yes",W352,V352)</f>
        <v>#DIV/0!</v>
      </c>
      <c r="Y352" s="536" t="e">
        <f t="shared" si="83"/>
        <v>#DIV/0!</v>
      </c>
      <c r="Z352" s="537" t="e">
        <f t="shared" si="88"/>
        <v>#DIV/0!</v>
      </c>
      <c r="AA352" s="538" t="e">
        <f>IF(INPUTS!$B$15="yes",Z352,Y352)</f>
        <v>#DIV/0!</v>
      </c>
      <c r="AB352" s="536" t="e">
        <f t="shared" si="84"/>
        <v>#DIV/0!</v>
      </c>
      <c r="AC352" s="537" t="e">
        <f t="shared" si="89"/>
        <v>#DIV/0!</v>
      </c>
      <c r="AD352" s="538" t="e">
        <f>IF(INPUTS!$B$15="yes",AC352,AB352)</f>
        <v>#DIV/0!</v>
      </c>
      <c r="AE352" s="36" t="str">
        <f t="shared" si="90"/>
        <v>no</v>
      </c>
      <c r="AF352" s="36"/>
      <c r="AG352" s="389" t="e">
        <f>P352*('upper bound Kenaga'!$F$36/100)</f>
        <v>#DIV/0!</v>
      </c>
      <c r="AH352" s="36"/>
      <c r="AI352" s="389" t="e">
        <f>P352*('upper bound Kenaga'!$F$96/100)</f>
        <v>#DIV/0!</v>
      </c>
      <c r="AJ352" s="36"/>
      <c r="AK352" s="36"/>
      <c r="AL352" s="36"/>
      <c r="AM352" s="36"/>
      <c r="AN352" s="36"/>
      <c r="AO352" s="36"/>
    </row>
    <row r="353" spans="10:41" s="1" customFormat="1">
      <c r="J353" s="6">
        <f>COUNTIF(K$21:K353,"=yes")</f>
        <v>1</v>
      </c>
      <c r="K353" s="533" t="str">
        <f>IF(LOOKUP(VALUE(M353),INPUTS!$G$6:$G$35)=M353,"yes","no")</f>
        <v>no</v>
      </c>
      <c r="L353" s="533">
        <f>IF(K353="yes",(LOOKUP(J353,INPUTS!$E$6:$E$35,INPUTS!$F$6:$F$35)),0)</f>
        <v>0</v>
      </c>
      <c r="M353" s="135">
        <f t="shared" si="78"/>
        <v>332</v>
      </c>
      <c r="N353" s="135">
        <f t="shared" si="79"/>
        <v>1</v>
      </c>
      <c r="O353" s="135">
        <f t="shared" si="80"/>
        <v>0</v>
      </c>
      <c r="P353" s="536" t="e">
        <f t="shared" si="91"/>
        <v>#DIV/0!</v>
      </c>
      <c r="Q353" s="537" t="e">
        <f t="shared" si="85"/>
        <v>#DIV/0!</v>
      </c>
      <c r="R353" s="538" t="e">
        <f>IF(INPUTS!$B$15="yes",Q353,P353)</f>
        <v>#DIV/0!</v>
      </c>
      <c r="S353" s="536" t="e">
        <f t="shared" si="81"/>
        <v>#DIV/0!</v>
      </c>
      <c r="T353" s="537" t="e">
        <f t="shared" si="86"/>
        <v>#DIV/0!</v>
      </c>
      <c r="U353" s="538" t="e">
        <f>IF(INPUTS!$B$15="yes",T353,S353)</f>
        <v>#DIV/0!</v>
      </c>
      <c r="V353" s="536" t="e">
        <f t="shared" si="82"/>
        <v>#DIV/0!</v>
      </c>
      <c r="W353" s="537" t="e">
        <f t="shared" si="87"/>
        <v>#DIV/0!</v>
      </c>
      <c r="X353" s="538" t="e">
        <f>IF(INPUTS!$B$15="yes",W353,V353)</f>
        <v>#DIV/0!</v>
      </c>
      <c r="Y353" s="536" t="e">
        <f t="shared" si="83"/>
        <v>#DIV/0!</v>
      </c>
      <c r="Z353" s="537" t="e">
        <f t="shared" si="88"/>
        <v>#DIV/0!</v>
      </c>
      <c r="AA353" s="538" t="e">
        <f>IF(INPUTS!$B$15="yes",Z353,Y353)</f>
        <v>#DIV/0!</v>
      </c>
      <c r="AB353" s="536" t="e">
        <f t="shared" si="84"/>
        <v>#DIV/0!</v>
      </c>
      <c r="AC353" s="537" t="e">
        <f t="shared" si="89"/>
        <v>#DIV/0!</v>
      </c>
      <c r="AD353" s="538" t="e">
        <f>IF(INPUTS!$B$15="yes",AC353,AB353)</f>
        <v>#DIV/0!</v>
      </c>
      <c r="AE353" s="36" t="str">
        <f t="shared" si="90"/>
        <v>no</v>
      </c>
      <c r="AF353" s="36"/>
      <c r="AG353" s="389" t="e">
        <f>P353*('upper bound Kenaga'!$F$36/100)</f>
        <v>#DIV/0!</v>
      </c>
      <c r="AH353" s="36"/>
      <c r="AI353" s="389" t="e">
        <f>P353*('upper bound Kenaga'!$F$96/100)</f>
        <v>#DIV/0!</v>
      </c>
      <c r="AJ353" s="36"/>
      <c r="AK353" s="36"/>
      <c r="AL353" s="36"/>
      <c r="AM353" s="36"/>
      <c r="AN353" s="36"/>
      <c r="AO353" s="36"/>
    </row>
    <row r="354" spans="10:41" s="1" customFormat="1">
      <c r="J354" s="6">
        <f>COUNTIF(K$21:K354,"=yes")</f>
        <v>1</v>
      </c>
      <c r="K354" s="533" t="str">
        <f>IF(LOOKUP(VALUE(M354),INPUTS!$G$6:$G$35)=M354,"yes","no")</f>
        <v>no</v>
      </c>
      <c r="L354" s="533">
        <f>IF(K354="yes",(LOOKUP(J354,INPUTS!$E$6:$E$35,INPUTS!$F$6:$F$35)),0)</f>
        <v>0</v>
      </c>
      <c r="M354" s="135">
        <f t="shared" si="78"/>
        <v>333</v>
      </c>
      <c r="N354" s="135">
        <f t="shared" si="79"/>
        <v>1</v>
      </c>
      <c r="O354" s="135">
        <f t="shared" si="80"/>
        <v>0</v>
      </c>
      <c r="P354" s="536" t="e">
        <f t="shared" si="91"/>
        <v>#DIV/0!</v>
      </c>
      <c r="Q354" s="537" t="e">
        <f t="shared" si="85"/>
        <v>#DIV/0!</v>
      </c>
      <c r="R354" s="538" t="e">
        <f>IF(INPUTS!$B$15="yes",Q354,P354)</f>
        <v>#DIV/0!</v>
      </c>
      <c r="S354" s="536" t="e">
        <f t="shared" si="81"/>
        <v>#DIV/0!</v>
      </c>
      <c r="T354" s="537" t="e">
        <f t="shared" si="86"/>
        <v>#DIV/0!</v>
      </c>
      <c r="U354" s="538" t="e">
        <f>IF(INPUTS!$B$15="yes",T354,S354)</f>
        <v>#DIV/0!</v>
      </c>
      <c r="V354" s="536" t="e">
        <f t="shared" si="82"/>
        <v>#DIV/0!</v>
      </c>
      <c r="W354" s="537" t="e">
        <f t="shared" si="87"/>
        <v>#DIV/0!</v>
      </c>
      <c r="X354" s="538" t="e">
        <f>IF(INPUTS!$B$15="yes",W354,V354)</f>
        <v>#DIV/0!</v>
      </c>
      <c r="Y354" s="536" t="e">
        <f t="shared" si="83"/>
        <v>#DIV/0!</v>
      </c>
      <c r="Z354" s="537" t="e">
        <f t="shared" si="88"/>
        <v>#DIV/0!</v>
      </c>
      <c r="AA354" s="538" t="e">
        <f>IF(INPUTS!$B$15="yes",Z354,Y354)</f>
        <v>#DIV/0!</v>
      </c>
      <c r="AB354" s="536" t="e">
        <f t="shared" si="84"/>
        <v>#DIV/0!</v>
      </c>
      <c r="AC354" s="537" t="e">
        <f t="shared" si="89"/>
        <v>#DIV/0!</v>
      </c>
      <c r="AD354" s="538" t="e">
        <f>IF(INPUTS!$B$15="yes",AC354,AB354)</f>
        <v>#DIV/0!</v>
      </c>
      <c r="AE354" s="36" t="str">
        <f t="shared" si="90"/>
        <v>no</v>
      </c>
      <c r="AF354" s="36"/>
      <c r="AG354" s="389" t="e">
        <f>P354*('upper bound Kenaga'!$F$36/100)</f>
        <v>#DIV/0!</v>
      </c>
      <c r="AH354" s="36"/>
      <c r="AI354" s="389" t="e">
        <f>P354*('upper bound Kenaga'!$F$96/100)</f>
        <v>#DIV/0!</v>
      </c>
      <c r="AJ354" s="36"/>
      <c r="AK354" s="36"/>
      <c r="AL354" s="36"/>
      <c r="AM354" s="36"/>
      <c r="AN354" s="36"/>
      <c r="AO354" s="36"/>
    </row>
    <row r="355" spans="10:41" s="1" customFormat="1">
      <c r="J355" s="6">
        <f>COUNTIF(K$21:K355,"=yes")</f>
        <v>1</v>
      </c>
      <c r="K355" s="533" t="str">
        <f>IF(LOOKUP(VALUE(M355),INPUTS!$G$6:$G$35)=M355,"yes","no")</f>
        <v>no</v>
      </c>
      <c r="L355" s="533">
        <f>IF(K355="yes",(LOOKUP(J355,INPUTS!$E$6:$E$35,INPUTS!$F$6:$F$35)),0)</f>
        <v>0</v>
      </c>
      <c r="M355" s="135">
        <f t="shared" si="78"/>
        <v>334</v>
      </c>
      <c r="N355" s="135">
        <f t="shared" si="79"/>
        <v>1</v>
      </c>
      <c r="O355" s="135">
        <f t="shared" si="80"/>
        <v>0</v>
      </c>
      <c r="P355" s="536" t="e">
        <f t="shared" si="91"/>
        <v>#DIV/0!</v>
      </c>
      <c r="Q355" s="537" t="e">
        <f t="shared" si="85"/>
        <v>#DIV/0!</v>
      </c>
      <c r="R355" s="538" t="e">
        <f>IF(INPUTS!$B$15="yes",Q355,P355)</f>
        <v>#DIV/0!</v>
      </c>
      <c r="S355" s="536" t="e">
        <f t="shared" si="81"/>
        <v>#DIV/0!</v>
      </c>
      <c r="T355" s="537" t="e">
        <f t="shared" si="86"/>
        <v>#DIV/0!</v>
      </c>
      <c r="U355" s="538" t="e">
        <f>IF(INPUTS!$B$15="yes",T355,S355)</f>
        <v>#DIV/0!</v>
      </c>
      <c r="V355" s="536" t="e">
        <f t="shared" si="82"/>
        <v>#DIV/0!</v>
      </c>
      <c r="W355" s="537" t="e">
        <f t="shared" si="87"/>
        <v>#DIV/0!</v>
      </c>
      <c r="X355" s="538" t="e">
        <f>IF(INPUTS!$B$15="yes",W355,V355)</f>
        <v>#DIV/0!</v>
      </c>
      <c r="Y355" s="536" t="e">
        <f t="shared" si="83"/>
        <v>#DIV/0!</v>
      </c>
      <c r="Z355" s="537" t="e">
        <f t="shared" si="88"/>
        <v>#DIV/0!</v>
      </c>
      <c r="AA355" s="538" t="e">
        <f>IF(INPUTS!$B$15="yes",Z355,Y355)</f>
        <v>#DIV/0!</v>
      </c>
      <c r="AB355" s="536" t="e">
        <f t="shared" si="84"/>
        <v>#DIV/0!</v>
      </c>
      <c r="AC355" s="537" t="e">
        <f t="shared" si="89"/>
        <v>#DIV/0!</v>
      </c>
      <c r="AD355" s="538" t="e">
        <f>IF(INPUTS!$B$15="yes",AC355,AB355)</f>
        <v>#DIV/0!</v>
      </c>
      <c r="AE355" s="36" t="str">
        <f t="shared" si="90"/>
        <v>no</v>
      </c>
      <c r="AF355" s="36"/>
      <c r="AG355" s="389" t="e">
        <f>P355*('upper bound Kenaga'!$F$36/100)</f>
        <v>#DIV/0!</v>
      </c>
      <c r="AH355" s="36"/>
      <c r="AI355" s="389" t="e">
        <f>P355*('upper bound Kenaga'!$F$96/100)</f>
        <v>#DIV/0!</v>
      </c>
      <c r="AJ355" s="36"/>
      <c r="AK355" s="36"/>
      <c r="AL355" s="36"/>
      <c r="AM355" s="36"/>
      <c r="AN355" s="36"/>
      <c r="AO355" s="36"/>
    </row>
    <row r="356" spans="10:41" s="1" customFormat="1">
      <c r="J356" s="6">
        <f>COUNTIF(K$21:K356,"=yes")</f>
        <v>1</v>
      </c>
      <c r="K356" s="533" t="str">
        <f>IF(LOOKUP(VALUE(M356),INPUTS!$G$6:$G$35)=M356,"yes","no")</f>
        <v>no</v>
      </c>
      <c r="L356" s="533">
        <f>IF(K356="yes",(LOOKUP(J356,INPUTS!$E$6:$E$35,INPUTS!$F$6:$F$35)),0)</f>
        <v>0</v>
      </c>
      <c r="M356" s="135">
        <f t="shared" si="78"/>
        <v>335</v>
      </c>
      <c r="N356" s="135">
        <f t="shared" si="79"/>
        <v>1</v>
      </c>
      <c r="O356" s="135">
        <f t="shared" si="80"/>
        <v>0</v>
      </c>
      <c r="P356" s="536" t="e">
        <f t="shared" si="91"/>
        <v>#DIV/0!</v>
      </c>
      <c r="Q356" s="537" t="e">
        <f t="shared" si="85"/>
        <v>#DIV/0!</v>
      </c>
      <c r="R356" s="538" t="e">
        <f>IF(INPUTS!$B$15="yes",Q356,P356)</f>
        <v>#DIV/0!</v>
      </c>
      <c r="S356" s="536" t="e">
        <f t="shared" si="81"/>
        <v>#DIV/0!</v>
      </c>
      <c r="T356" s="537" t="e">
        <f t="shared" si="86"/>
        <v>#DIV/0!</v>
      </c>
      <c r="U356" s="538" t="e">
        <f>IF(INPUTS!$B$15="yes",T356,S356)</f>
        <v>#DIV/0!</v>
      </c>
      <c r="V356" s="536" t="e">
        <f t="shared" si="82"/>
        <v>#DIV/0!</v>
      </c>
      <c r="W356" s="537" t="e">
        <f t="shared" si="87"/>
        <v>#DIV/0!</v>
      </c>
      <c r="X356" s="538" t="e">
        <f>IF(INPUTS!$B$15="yes",W356,V356)</f>
        <v>#DIV/0!</v>
      </c>
      <c r="Y356" s="536" t="e">
        <f t="shared" si="83"/>
        <v>#DIV/0!</v>
      </c>
      <c r="Z356" s="537" t="e">
        <f t="shared" si="88"/>
        <v>#DIV/0!</v>
      </c>
      <c r="AA356" s="538" t="e">
        <f>IF(INPUTS!$B$15="yes",Z356,Y356)</f>
        <v>#DIV/0!</v>
      </c>
      <c r="AB356" s="536" t="e">
        <f t="shared" si="84"/>
        <v>#DIV/0!</v>
      </c>
      <c r="AC356" s="537" t="e">
        <f t="shared" si="89"/>
        <v>#DIV/0!</v>
      </c>
      <c r="AD356" s="538" t="e">
        <f>IF(INPUTS!$B$15="yes",AC356,AB356)</f>
        <v>#DIV/0!</v>
      </c>
      <c r="AE356" s="36" t="str">
        <f t="shared" si="90"/>
        <v>no</v>
      </c>
      <c r="AF356" s="36"/>
      <c r="AG356" s="389" t="e">
        <f>P356*('upper bound Kenaga'!$F$36/100)</f>
        <v>#DIV/0!</v>
      </c>
      <c r="AH356" s="36"/>
      <c r="AI356" s="389" t="e">
        <f>P356*('upper bound Kenaga'!$F$96/100)</f>
        <v>#DIV/0!</v>
      </c>
      <c r="AJ356" s="36"/>
      <c r="AK356" s="36"/>
      <c r="AL356" s="36"/>
      <c r="AM356" s="36"/>
      <c r="AN356" s="36"/>
      <c r="AO356" s="36"/>
    </row>
    <row r="357" spans="10:41" s="1" customFormat="1">
      <c r="J357" s="6">
        <f>COUNTIF(K$21:K357,"=yes")</f>
        <v>1</v>
      </c>
      <c r="K357" s="533" t="str">
        <f>IF(LOOKUP(VALUE(M357),INPUTS!$G$6:$G$35)=M357,"yes","no")</f>
        <v>no</v>
      </c>
      <c r="L357" s="533">
        <f>IF(K357="yes",(LOOKUP(J357,INPUTS!$E$6:$E$35,INPUTS!$F$6:$F$35)),0)</f>
        <v>0</v>
      </c>
      <c r="M357" s="135">
        <f t="shared" si="78"/>
        <v>336</v>
      </c>
      <c r="N357" s="135">
        <f t="shared" si="79"/>
        <v>1</v>
      </c>
      <c r="O357" s="135">
        <f t="shared" si="80"/>
        <v>0</v>
      </c>
      <c r="P357" s="536" t="e">
        <f t="shared" si="91"/>
        <v>#DIV/0!</v>
      </c>
      <c r="Q357" s="537" t="e">
        <f t="shared" si="85"/>
        <v>#DIV/0!</v>
      </c>
      <c r="R357" s="538" t="e">
        <f>IF(INPUTS!$B$15="yes",Q357,P357)</f>
        <v>#DIV/0!</v>
      </c>
      <c r="S357" s="536" t="e">
        <f t="shared" si="81"/>
        <v>#DIV/0!</v>
      </c>
      <c r="T357" s="537" t="e">
        <f t="shared" si="86"/>
        <v>#DIV/0!</v>
      </c>
      <c r="U357" s="538" t="e">
        <f>IF(INPUTS!$B$15="yes",T357,S357)</f>
        <v>#DIV/0!</v>
      </c>
      <c r="V357" s="536" t="e">
        <f t="shared" si="82"/>
        <v>#DIV/0!</v>
      </c>
      <c r="W357" s="537" t="e">
        <f t="shared" si="87"/>
        <v>#DIV/0!</v>
      </c>
      <c r="X357" s="538" t="e">
        <f>IF(INPUTS!$B$15="yes",W357,V357)</f>
        <v>#DIV/0!</v>
      </c>
      <c r="Y357" s="536" t="e">
        <f t="shared" si="83"/>
        <v>#DIV/0!</v>
      </c>
      <c r="Z357" s="537" t="e">
        <f t="shared" si="88"/>
        <v>#DIV/0!</v>
      </c>
      <c r="AA357" s="538" t="e">
        <f>IF(INPUTS!$B$15="yes",Z357,Y357)</f>
        <v>#DIV/0!</v>
      </c>
      <c r="AB357" s="536" t="e">
        <f t="shared" si="84"/>
        <v>#DIV/0!</v>
      </c>
      <c r="AC357" s="537" t="e">
        <f t="shared" si="89"/>
        <v>#DIV/0!</v>
      </c>
      <c r="AD357" s="538" t="e">
        <f>IF(INPUTS!$B$15="yes",AC357,AB357)</f>
        <v>#DIV/0!</v>
      </c>
      <c r="AE357" s="36" t="str">
        <f t="shared" si="90"/>
        <v>no</v>
      </c>
      <c r="AF357" s="36"/>
      <c r="AG357" s="389" t="e">
        <f>P357*('upper bound Kenaga'!$F$36/100)</f>
        <v>#DIV/0!</v>
      </c>
      <c r="AH357" s="36"/>
      <c r="AI357" s="389" t="e">
        <f>P357*('upper bound Kenaga'!$F$96/100)</f>
        <v>#DIV/0!</v>
      </c>
      <c r="AJ357" s="36"/>
      <c r="AK357" s="36"/>
      <c r="AL357" s="36"/>
      <c r="AM357" s="36"/>
      <c r="AN357" s="36"/>
      <c r="AO357" s="36"/>
    </row>
    <row r="358" spans="10:41" s="1" customFormat="1">
      <c r="J358" s="6">
        <f>COUNTIF(K$21:K358,"=yes")</f>
        <v>1</v>
      </c>
      <c r="K358" s="533" t="str">
        <f>IF(LOOKUP(VALUE(M358),INPUTS!$G$6:$G$35)=M358,"yes","no")</f>
        <v>no</v>
      </c>
      <c r="L358" s="533">
        <f>IF(K358="yes",(LOOKUP(J358,INPUTS!$E$6:$E$35,INPUTS!$F$6:$F$35)),0)</f>
        <v>0</v>
      </c>
      <c r="M358" s="135">
        <f t="shared" si="78"/>
        <v>337</v>
      </c>
      <c r="N358" s="135">
        <f t="shared" si="79"/>
        <v>1</v>
      </c>
      <c r="O358" s="135">
        <f t="shared" si="80"/>
        <v>0</v>
      </c>
      <c r="P358" s="536" t="e">
        <f t="shared" si="91"/>
        <v>#DIV/0!</v>
      </c>
      <c r="Q358" s="537" t="e">
        <f t="shared" si="85"/>
        <v>#DIV/0!</v>
      </c>
      <c r="R358" s="538" t="e">
        <f>IF(INPUTS!$B$15="yes",Q358,P358)</f>
        <v>#DIV/0!</v>
      </c>
      <c r="S358" s="536" t="e">
        <f t="shared" si="81"/>
        <v>#DIV/0!</v>
      </c>
      <c r="T358" s="537" t="e">
        <f t="shared" si="86"/>
        <v>#DIV/0!</v>
      </c>
      <c r="U358" s="538" t="e">
        <f>IF(INPUTS!$B$15="yes",T358,S358)</f>
        <v>#DIV/0!</v>
      </c>
      <c r="V358" s="536" t="e">
        <f t="shared" si="82"/>
        <v>#DIV/0!</v>
      </c>
      <c r="W358" s="537" t="e">
        <f t="shared" si="87"/>
        <v>#DIV/0!</v>
      </c>
      <c r="X358" s="538" t="e">
        <f>IF(INPUTS!$B$15="yes",W358,V358)</f>
        <v>#DIV/0!</v>
      </c>
      <c r="Y358" s="536" t="e">
        <f t="shared" si="83"/>
        <v>#DIV/0!</v>
      </c>
      <c r="Z358" s="537" t="e">
        <f t="shared" si="88"/>
        <v>#DIV/0!</v>
      </c>
      <c r="AA358" s="538" t="e">
        <f>IF(INPUTS!$B$15="yes",Z358,Y358)</f>
        <v>#DIV/0!</v>
      </c>
      <c r="AB358" s="536" t="e">
        <f t="shared" si="84"/>
        <v>#DIV/0!</v>
      </c>
      <c r="AC358" s="537" t="e">
        <f t="shared" si="89"/>
        <v>#DIV/0!</v>
      </c>
      <c r="AD358" s="538" t="e">
        <f>IF(INPUTS!$B$15="yes",AC358,AB358)</f>
        <v>#DIV/0!</v>
      </c>
      <c r="AE358" s="36" t="str">
        <f t="shared" si="90"/>
        <v>no</v>
      </c>
      <c r="AF358" s="36"/>
      <c r="AG358" s="389" t="e">
        <f>P358*('upper bound Kenaga'!$F$36/100)</f>
        <v>#DIV/0!</v>
      </c>
      <c r="AH358" s="36"/>
      <c r="AI358" s="389" t="e">
        <f>P358*('upper bound Kenaga'!$F$96/100)</f>
        <v>#DIV/0!</v>
      </c>
      <c r="AJ358" s="36"/>
      <c r="AK358" s="36"/>
      <c r="AL358" s="36"/>
      <c r="AM358" s="36"/>
      <c r="AN358" s="36"/>
      <c r="AO358" s="36"/>
    </row>
    <row r="359" spans="10:41" s="1" customFormat="1">
      <c r="J359" s="6">
        <f>COUNTIF(K$21:K359,"=yes")</f>
        <v>1</v>
      </c>
      <c r="K359" s="533" t="str">
        <f>IF(LOOKUP(VALUE(M359),INPUTS!$G$6:$G$35)=M359,"yes","no")</f>
        <v>no</v>
      </c>
      <c r="L359" s="533">
        <f>IF(K359="yes",(LOOKUP(J359,INPUTS!$E$6:$E$35,INPUTS!$F$6:$F$35)),0)</f>
        <v>0</v>
      </c>
      <c r="M359" s="135">
        <f t="shared" si="78"/>
        <v>338</v>
      </c>
      <c r="N359" s="135">
        <f t="shared" si="79"/>
        <v>1</v>
      </c>
      <c r="O359" s="135">
        <f t="shared" si="80"/>
        <v>0</v>
      </c>
      <c r="P359" s="536" t="e">
        <f t="shared" si="91"/>
        <v>#DIV/0!</v>
      </c>
      <c r="Q359" s="537" t="e">
        <f t="shared" si="85"/>
        <v>#DIV/0!</v>
      </c>
      <c r="R359" s="538" t="e">
        <f>IF(INPUTS!$B$15="yes",Q359,P359)</f>
        <v>#DIV/0!</v>
      </c>
      <c r="S359" s="536" t="e">
        <f t="shared" si="81"/>
        <v>#DIV/0!</v>
      </c>
      <c r="T359" s="537" t="e">
        <f t="shared" si="86"/>
        <v>#DIV/0!</v>
      </c>
      <c r="U359" s="538" t="e">
        <f>IF(INPUTS!$B$15="yes",T359,S359)</f>
        <v>#DIV/0!</v>
      </c>
      <c r="V359" s="536" t="e">
        <f t="shared" si="82"/>
        <v>#DIV/0!</v>
      </c>
      <c r="W359" s="537" t="e">
        <f t="shared" si="87"/>
        <v>#DIV/0!</v>
      </c>
      <c r="X359" s="538" t="e">
        <f>IF(INPUTS!$B$15="yes",W359,V359)</f>
        <v>#DIV/0!</v>
      </c>
      <c r="Y359" s="536" t="e">
        <f t="shared" si="83"/>
        <v>#DIV/0!</v>
      </c>
      <c r="Z359" s="537" t="e">
        <f t="shared" si="88"/>
        <v>#DIV/0!</v>
      </c>
      <c r="AA359" s="538" t="e">
        <f>IF(INPUTS!$B$15="yes",Z359,Y359)</f>
        <v>#DIV/0!</v>
      </c>
      <c r="AB359" s="536" t="e">
        <f t="shared" si="84"/>
        <v>#DIV/0!</v>
      </c>
      <c r="AC359" s="537" t="e">
        <f t="shared" si="89"/>
        <v>#DIV/0!</v>
      </c>
      <c r="AD359" s="538" t="e">
        <f>IF(INPUTS!$B$15="yes",AC359,AB359)</f>
        <v>#DIV/0!</v>
      </c>
      <c r="AE359" s="36" t="str">
        <f t="shared" si="90"/>
        <v>no</v>
      </c>
      <c r="AF359" s="36"/>
      <c r="AG359" s="389" t="e">
        <f>P359*('upper bound Kenaga'!$F$36/100)</f>
        <v>#DIV/0!</v>
      </c>
      <c r="AH359" s="36"/>
      <c r="AI359" s="389" t="e">
        <f>P359*('upper bound Kenaga'!$F$96/100)</f>
        <v>#DIV/0!</v>
      </c>
      <c r="AJ359" s="36"/>
      <c r="AK359" s="36"/>
      <c r="AL359" s="36"/>
      <c r="AM359" s="36"/>
      <c r="AN359" s="36"/>
      <c r="AO359" s="36"/>
    </row>
    <row r="360" spans="10:41" s="1" customFormat="1">
      <c r="J360" s="6">
        <f>COUNTIF(K$21:K360,"=yes")</f>
        <v>1</v>
      </c>
      <c r="K360" s="533" t="str">
        <f>IF(LOOKUP(VALUE(M360),INPUTS!$G$6:$G$35)=M360,"yes","no")</f>
        <v>no</v>
      </c>
      <c r="L360" s="533">
        <f>IF(K360="yes",(LOOKUP(J360,INPUTS!$E$6:$E$35,INPUTS!$F$6:$F$35)),0)</f>
        <v>0</v>
      </c>
      <c r="M360" s="135">
        <f t="shared" si="78"/>
        <v>339</v>
      </c>
      <c r="N360" s="135">
        <f t="shared" si="79"/>
        <v>1</v>
      </c>
      <c r="O360" s="135">
        <f t="shared" si="80"/>
        <v>0</v>
      </c>
      <c r="P360" s="536" t="e">
        <f t="shared" si="91"/>
        <v>#DIV/0!</v>
      </c>
      <c r="Q360" s="537" t="e">
        <f t="shared" si="85"/>
        <v>#DIV/0!</v>
      </c>
      <c r="R360" s="538" t="e">
        <f>IF(INPUTS!$B$15="yes",Q360,P360)</f>
        <v>#DIV/0!</v>
      </c>
      <c r="S360" s="536" t="e">
        <f t="shared" si="81"/>
        <v>#DIV/0!</v>
      </c>
      <c r="T360" s="537" t="e">
        <f t="shared" si="86"/>
        <v>#DIV/0!</v>
      </c>
      <c r="U360" s="538" t="e">
        <f>IF(INPUTS!$B$15="yes",T360,S360)</f>
        <v>#DIV/0!</v>
      </c>
      <c r="V360" s="536" t="e">
        <f t="shared" si="82"/>
        <v>#DIV/0!</v>
      </c>
      <c r="W360" s="537" t="e">
        <f t="shared" si="87"/>
        <v>#DIV/0!</v>
      </c>
      <c r="X360" s="538" t="e">
        <f>IF(INPUTS!$B$15="yes",W360,V360)</f>
        <v>#DIV/0!</v>
      </c>
      <c r="Y360" s="536" t="e">
        <f t="shared" si="83"/>
        <v>#DIV/0!</v>
      </c>
      <c r="Z360" s="537" t="e">
        <f t="shared" si="88"/>
        <v>#DIV/0!</v>
      </c>
      <c r="AA360" s="538" t="e">
        <f>IF(INPUTS!$B$15="yes",Z360,Y360)</f>
        <v>#DIV/0!</v>
      </c>
      <c r="AB360" s="536" t="e">
        <f t="shared" si="84"/>
        <v>#DIV/0!</v>
      </c>
      <c r="AC360" s="537" t="e">
        <f t="shared" si="89"/>
        <v>#DIV/0!</v>
      </c>
      <c r="AD360" s="538" t="e">
        <f>IF(INPUTS!$B$15="yes",AC360,AB360)</f>
        <v>#DIV/0!</v>
      </c>
      <c r="AE360" s="36" t="str">
        <f t="shared" si="90"/>
        <v>no</v>
      </c>
      <c r="AF360" s="36"/>
      <c r="AG360" s="389" t="e">
        <f>P360*('upper bound Kenaga'!$F$36/100)</f>
        <v>#DIV/0!</v>
      </c>
      <c r="AH360" s="36"/>
      <c r="AI360" s="389" t="e">
        <f>P360*('upper bound Kenaga'!$F$96/100)</f>
        <v>#DIV/0!</v>
      </c>
      <c r="AJ360" s="36"/>
      <c r="AK360" s="36"/>
      <c r="AL360" s="36"/>
      <c r="AM360" s="36"/>
      <c r="AN360" s="36"/>
      <c r="AO360" s="36"/>
    </row>
    <row r="361" spans="10:41" s="1" customFormat="1">
      <c r="J361" s="6">
        <f>COUNTIF(K$21:K361,"=yes")</f>
        <v>1</v>
      </c>
      <c r="K361" s="533" t="str">
        <f>IF(LOOKUP(VALUE(M361),INPUTS!$G$6:$G$35)=M361,"yes","no")</f>
        <v>no</v>
      </c>
      <c r="L361" s="533">
        <f>IF(K361="yes",(LOOKUP(J361,INPUTS!$E$6:$E$35,INPUTS!$F$6:$F$35)),0)</f>
        <v>0</v>
      </c>
      <c r="M361" s="135">
        <f t="shared" si="78"/>
        <v>340</v>
      </c>
      <c r="N361" s="135">
        <f t="shared" si="79"/>
        <v>1</v>
      </c>
      <c r="O361" s="135">
        <f t="shared" si="80"/>
        <v>0</v>
      </c>
      <c r="P361" s="536" t="e">
        <f t="shared" si="91"/>
        <v>#DIV/0!</v>
      </c>
      <c r="Q361" s="537" t="e">
        <f t="shared" si="85"/>
        <v>#DIV/0!</v>
      </c>
      <c r="R361" s="538" t="e">
        <f>IF(INPUTS!$B$15="yes",Q361,P361)</f>
        <v>#DIV/0!</v>
      </c>
      <c r="S361" s="536" t="e">
        <f t="shared" si="81"/>
        <v>#DIV/0!</v>
      </c>
      <c r="T361" s="537" t="e">
        <f t="shared" si="86"/>
        <v>#DIV/0!</v>
      </c>
      <c r="U361" s="538" t="e">
        <f>IF(INPUTS!$B$15="yes",T361,S361)</f>
        <v>#DIV/0!</v>
      </c>
      <c r="V361" s="536" t="e">
        <f t="shared" si="82"/>
        <v>#DIV/0!</v>
      </c>
      <c r="W361" s="537" t="e">
        <f t="shared" si="87"/>
        <v>#DIV/0!</v>
      </c>
      <c r="X361" s="538" t="e">
        <f>IF(INPUTS!$B$15="yes",W361,V361)</f>
        <v>#DIV/0!</v>
      </c>
      <c r="Y361" s="536" t="e">
        <f t="shared" si="83"/>
        <v>#DIV/0!</v>
      </c>
      <c r="Z361" s="537" t="e">
        <f t="shared" si="88"/>
        <v>#DIV/0!</v>
      </c>
      <c r="AA361" s="538" t="e">
        <f>IF(INPUTS!$B$15="yes",Z361,Y361)</f>
        <v>#DIV/0!</v>
      </c>
      <c r="AB361" s="536" t="e">
        <f t="shared" si="84"/>
        <v>#DIV/0!</v>
      </c>
      <c r="AC361" s="537" t="e">
        <f t="shared" si="89"/>
        <v>#DIV/0!</v>
      </c>
      <c r="AD361" s="538" t="e">
        <f>IF(INPUTS!$B$15="yes",AC361,AB361)</f>
        <v>#DIV/0!</v>
      </c>
      <c r="AE361" s="36" t="str">
        <f t="shared" si="90"/>
        <v>no</v>
      </c>
      <c r="AF361" s="36"/>
      <c r="AG361" s="389" t="e">
        <f>P361*('upper bound Kenaga'!$F$36/100)</f>
        <v>#DIV/0!</v>
      </c>
      <c r="AH361" s="36"/>
      <c r="AI361" s="389" t="e">
        <f>P361*('upper bound Kenaga'!$F$96/100)</f>
        <v>#DIV/0!</v>
      </c>
      <c r="AJ361" s="36"/>
      <c r="AK361" s="36"/>
      <c r="AL361" s="36"/>
      <c r="AM361" s="36"/>
      <c r="AN361" s="36"/>
      <c r="AO361" s="36"/>
    </row>
    <row r="362" spans="10:41" s="1" customFormat="1">
      <c r="J362" s="6">
        <f>COUNTIF(K$21:K362,"=yes")</f>
        <v>1</v>
      </c>
      <c r="K362" s="533" t="str">
        <f>IF(LOOKUP(VALUE(M362),INPUTS!$G$6:$G$35)=M362,"yes","no")</f>
        <v>no</v>
      </c>
      <c r="L362" s="533">
        <f>IF(K362="yes",(LOOKUP(J362,INPUTS!$E$6:$E$35,INPUTS!$F$6:$F$35)),0)</f>
        <v>0</v>
      </c>
      <c r="M362" s="135">
        <f t="shared" si="78"/>
        <v>341</v>
      </c>
      <c r="N362" s="135">
        <f t="shared" si="79"/>
        <v>1</v>
      </c>
      <c r="O362" s="135">
        <f t="shared" si="80"/>
        <v>0</v>
      </c>
      <c r="P362" s="536" t="e">
        <f t="shared" si="91"/>
        <v>#DIV/0!</v>
      </c>
      <c r="Q362" s="537" t="e">
        <f t="shared" si="85"/>
        <v>#DIV/0!</v>
      </c>
      <c r="R362" s="538" t="e">
        <f>IF(INPUTS!$B$15="yes",Q362,P362)</f>
        <v>#DIV/0!</v>
      </c>
      <c r="S362" s="536" t="e">
        <f t="shared" si="81"/>
        <v>#DIV/0!</v>
      </c>
      <c r="T362" s="537" t="e">
        <f t="shared" si="86"/>
        <v>#DIV/0!</v>
      </c>
      <c r="U362" s="538" t="e">
        <f>IF(INPUTS!$B$15="yes",T362,S362)</f>
        <v>#DIV/0!</v>
      </c>
      <c r="V362" s="536" t="e">
        <f t="shared" si="82"/>
        <v>#DIV/0!</v>
      </c>
      <c r="W362" s="537" t="e">
        <f t="shared" si="87"/>
        <v>#DIV/0!</v>
      </c>
      <c r="X362" s="538" t="e">
        <f>IF(INPUTS!$B$15="yes",W362,V362)</f>
        <v>#DIV/0!</v>
      </c>
      <c r="Y362" s="536" t="e">
        <f t="shared" si="83"/>
        <v>#DIV/0!</v>
      </c>
      <c r="Z362" s="537" t="e">
        <f t="shared" si="88"/>
        <v>#DIV/0!</v>
      </c>
      <c r="AA362" s="538" t="e">
        <f>IF(INPUTS!$B$15="yes",Z362,Y362)</f>
        <v>#DIV/0!</v>
      </c>
      <c r="AB362" s="536" t="e">
        <f t="shared" si="84"/>
        <v>#DIV/0!</v>
      </c>
      <c r="AC362" s="537" t="e">
        <f t="shared" si="89"/>
        <v>#DIV/0!</v>
      </c>
      <c r="AD362" s="538" t="e">
        <f>IF(INPUTS!$B$15="yes",AC362,AB362)</f>
        <v>#DIV/0!</v>
      </c>
      <c r="AE362" s="36" t="str">
        <f t="shared" si="90"/>
        <v>no</v>
      </c>
      <c r="AF362" s="36"/>
      <c r="AG362" s="389" t="e">
        <f>P362*('upper bound Kenaga'!$F$36/100)</f>
        <v>#DIV/0!</v>
      </c>
      <c r="AH362" s="36"/>
      <c r="AI362" s="389" t="e">
        <f>P362*('upper bound Kenaga'!$F$96/100)</f>
        <v>#DIV/0!</v>
      </c>
      <c r="AJ362" s="36"/>
      <c r="AK362" s="36"/>
      <c r="AL362" s="36"/>
      <c r="AM362" s="36"/>
      <c r="AN362" s="36"/>
      <c r="AO362" s="36"/>
    </row>
    <row r="363" spans="10:41" s="1" customFormat="1">
      <c r="J363" s="6">
        <f>COUNTIF(K$21:K363,"=yes")</f>
        <v>1</v>
      </c>
      <c r="K363" s="533" t="str">
        <f>IF(LOOKUP(VALUE(M363),INPUTS!$G$6:$G$35)=M363,"yes","no")</f>
        <v>no</v>
      </c>
      <c r="L363" s="533">
        <f>IF(K363="yes",(LOOKUP(J363,INPUTS!$E$6:$E$35,INPUTS!$F$6:$F$35)),0)</f>
        <v>0</v>
      </c>
      <c r="M363" s="135">
        <f t="shared" si="78"/>
        <v>342</v>
      </c>
      <c r="N363" s="135">
        <f t="shared" si="79"/>
        <v>1</v>
      </c>
      <c r="O363" s="135">
        <f t="shared" si="80"/>
        <v>0</v>
      </c>
      <c r="P363" s="536" t="e">
        <f t="shared" si="91"/>
        <v>#DIV/0!</v>
      </c>
      <c r="Q363" s="537" t="e">
        <f t="shared" si="85"/>
        <v>#DIV/0!</v>
      </c>
      <c r="R363" s="538" t="e">
        <f>IF(INPUTS!$B$15="yes",Q363,P363)</f>
        <v>#DIV/0!</v>
      </c>
      <c r="S363" s="536" t="e">
        <f t="shared" si="81"/>
        <v>#DIV/0!</v>
      </c>
      <c r="T363" s="537" t="e">
        <f t="shared" si="86"/>
        <v>#DIV/0!</v>
      </c>
      <c r="U363" s="538" t="e">
        <f>IF(INPUTS!$B$15="yes",T363,S363)</f>
        <v>#DIV/0!</v>
      </c>
      <c r="V363" s="536" t="e">
        <f t="shared" si="82"/>
        <v>#DIV/0!</v>
      </c>
      <c r="W363" s="537" t="e">
        <f t="shared" si="87"/>
        <v>#DIV/0!</v>
      </c>
      <c r="X363" s="538" t="e">
        <f>IF(INPUTS!$B$15="yes",W363,V363)</f>
        <v>#DIV/0!</v>
      </c>
      <c r="Y363" s="536" t="e">
        <f t="shared" si="83"/>
        <v>#DIV/0!</v>
      </c>
      <c r="Z363" s="537" t="e">
        <f t="shared" si="88"/>
        <v>#DIV/0!</v>
      </c>
      <c r="AA363" s="538" t="e">
        <f>IF(INPUTS!$B$15="yes",Z363,Y363)</f>
        <v>#DIV/0!</v>
      </c>
      <c r="AB363" s="536" t="e">
        <f t="shared" si="84"/>
        <v>#DIV/0!</v>
      </c>
      <c r="AC363" s="537" t="e">
        <f t="shared" si="89"/>
        <v>#DIV/0!</v>
      </c>
      <c r="AD363" s="538" t="e">
        <f>IF(INPUTS!$B$15="yes",AC363,AB363)</f>
        <v>#DIV/0!</v>
      </c>
      <c r="AE363" s="36" t="str">
        <f t="shared" si="90"/>
        <v>no</v>
      </c>
      <c r="AF363" s="36"/>
      <c r="AG363" s="389" t="e">
        <f>P363*('upper bound Kenaga'!$F$36/100)</f>
        <v>#DIV/0!</v>
      </c>
      <c r="AH363" s="36"/>
      <c r="AI363" s="389" t="e">
        <f>P363*('upper bound Kenaga'!$F$96/100)</f>
        <v>#DIV/0!</v>
      </c>
      <c r="AJ363" s="36"/>
      <c r="AK363" s="36"/>
      <c r="AL363" s="36"/>
      <c r="AM363" s="36"/>
      <c r="AN363" s="36"/>
      <c r="AO363" s="36"/>
    </row>
    <row r="364" spans="10:41" s="1" customFormat="1">
      <c r="J364" s="6">
        <f>COUNTIF(K$21:K364,"=yes")</f>
        <v>1</v>
      </c>
      <c r="K364" s="533" t="str">
        <f>IF(LOOKUP(VALUE(M364),INPUTS!$G$6:$G$35)=M364,"yes","no")</f>
        <v>no</v>
      </c>
      <c r="L364" s="533">
        <f>IF(K364="yes",(LOOKUP(J364,INPUTS!$E$6:$E$35,INPUTS!$F$6:$F$35)),0)</f>
        <v>0</v>
      </c>
      <c r="M364" s="135">
        <f t="shared" si="78"/>
        <v>343</v>
      </c>
      <c r="N364" s="135">
        <f t="shared" si="79"/>
        <v>1</v>
      </c>
      <c r="O364" s="135">
        <f t="shared" si="80"/>
        <v>0</v>
      </c>
      <c r="P364" s="536" t="e">
        <f t="shared" si="91"/>
        <v>#DIV/0!</v>
      </c>
      <c r="Q364" s="537" t="e">
        <f t="shared" si="85"/>
        <v>#DIV/0!</v>
      </c>
      <c r="R364" s="538" t="e">
        <f>IF(INPUTS!$B$15="yes",Q364,P364)</f>
        <v>#DIV/0!</v>
      </c>
      <c r="S364" s="536" t="e">
        <f t="shared" si="81"/>
        <v>#DIV/0!</v>
      </c>
      <c r="T364" s="537" t="e">
        <f t="shared" si="86"/>
        <v>#DIV/0!</v>
      </c>
      <c r="U364" s="538" t="e">
        <f>IF(INPUTS!$B$15="yes",T364,S364)</f>
        <v>#DIV/0!</v>
      </c>
      <c r="V364" s="536" t="e">
        <f t="shared" si="82"/>
        <v>#DIV/0!</v>
      </c>
      <c r="W364" s="537" t="e">
        <f t="shared" si="87"/>
        <v>#DIV/0!</v>
      </c>
      <c r="X364" s="538" t="e">
        <f>IF(INPUTS!$B$15="yes",W364,V364)</f>
        <v>#DIV/0!</v>
      </c>
      <c r="Y364" s="536" t="e">
        <f t="shared" si="83"/>
        <v>#DIV/0!</v>
      </c>
      <c r="Z364" s="537" t="e">
        <f t="shared" si="88"/>
        <v>#DIV/0!</v>
      </c>
      <c r="AA364" s="538" t="e">
        <f>IF(INPUTS!$B$15="yes",Z364,Y364)</f>
        <v>#DIV/0!</v>
      </c>
      <c r="AB364" s="536" t="e">
        <f t="shared" si="84"/>
        <v>#DIV/0!</v>
      </c>
      <c r="AC364" s="537" t="e">
        <f t="shared" si="89"/>
        <v>#DIV/0!</v>
      </c>
      <c r="AD364" s="538" t="e">
        <f>IF(INPUTS!$B$15="yes",AC364,AB364)</f>
        <v>#DIV/0!</v>
      </c>
      <c r="AE364" s="36" t="str">
        <f t="shared" si="90"/>
        <v>no</v>
      </c>
      <c r="AF364" s="36"/>
      <c r="AG364" s="389" t="e">
        <f>P364*('upper bound Kenaga'!$F$36/100)</f>
        <v>#DIV/0!</v>
      </c>
      <c r="AH364" s="36"/>
      <c r="AI364" s="389" t="e">
        <f>P364*('upper bound Kenaga'!$F$96/100)</f>
        <v>#DIV/0!</v>
      </c>
      <c r="AJ364" s="36"/>
      <c r="AK364" s="36"/>
      <c r="AL364" s="36"/>
      <c r="AM364" s="36"/>
      <c r="AN364" s="36"/>
      <c r="AO364" s="36"/>
    </row>
    <row r="365" spans="10:41" s="1" customFormat="1">
      <c r="J365" s="6">
        <f>COUNTIF(K$21:K365,"=yes")</f>
        <v>1</v>
      </c>
      <c r="K365" s="533" t="str">
        <f>IF(LOOKUP(VALUE(M365),INPUTS!$G$6:$G$35)=M365,"yes","no")</f>
        <v>no</v>
      </c>
      <c r="L365" s="533">
        <f>IF(K365="yes",(LOOKUP(J365,INPUTS!$E$6:$E$35,INPUTS!$F$6:$F$35)),0)</f>
        <v>0</v>
      </c>
      <c r="M365" s="135">
        <f t="shared" si="78"/>
        <v>344</v>
      </c>
      <c r="N365" s="135">
        <f t="shared" si="79"/>
        <v>1</v>
      </c>
      <c r="O365" s="135">
        <f t="shared" si="80"/>
        <v>0</v>
      </c>
      <c r="P365" s="536" t="e">
        <f t="shared" si="91"/>
        <v>#DIV/0!</v>
      </c>
      <c r="Q365" s="537" t="e">
        <f t="shared" si="85"/>
        <v>#DIV/0!</v>
      </c>
      <c r="R365" s="538" t="e">
        <f>IF(INPUTS!$B$15="yes",Q365,P365)</f>
        <v>#DIV/0!</v>
      </c>
      <c r="S365" s="536" t="e">
        <f t="shared" si="81"/>
        <v>#DIV/0!</v>
      </c>
      <c r="T365" s="537" t="e">
        <f t="shared" si="86"/>
        <v>#DIV/0!</v>
      </c>
      <c r="U365" s="538" t="e">
        <f>IF(INPUTS!$B$15="yes",T365,S365)</f>
        <v>#DIV/0!</v>
      </c>
      <c r="V365" s="536" t="e">
        <f t="shared" si="82"/>
        <v>#DIV/0!</v>
      </c>
      <c r="W365" s="537" t="e">
        <f t="shared" si="87"/>
        <v>#DIV/0!</v>
      </c>
      <c r="X365" s="538" t="e">
        <f>IF(INPUTS!$B$15="yes",W365,V365)</f>
        <v>#DIV/0!</v>
      </c>
      <c r="Y365" s="536" t="e">
        <f t="shared" si="83"/>
        <v>#DIV/0!</v>
      </c>
      <c r="Z365" s="537" t="e">
        <f t="shared" si="88"/>
        <v>#DIV/0!</v>
      </c>
      <c r="AA365" s="538" t="e">
        <f>IF(INPUTS!$B$15="yes",Z365,Y365)</f>
        <v>#DIV/0!</v>
      </c>
      <c r="AB365" s="536" t="e">
        <f t="shared" si="84"/>
        <v>#DIV/0!</v>
      </c>
      <c r="AC365" s="537" t="e">
        <f t="shared" si="89"/>
        <v>#DIV/0!</v>
      </c>
      <c r="AD365" s="538" t="e">
        <f>IF(INPUTS!$B$15="yes",AC365,AB365)</f>
        <v>#DIV/0!</v>
      </c>
      <c r="AE365" s="36" t="str">
        <f t="shared" si="90"/>
        <v>no</v>
      </c>
      <c r="AF365" s="36"/>
      <c r="AG365" s="389" t="e">
        <f>P365*('upper bound Kenaga'!$F$36/100)</f>
        <v>#DIV/0!</v>
      </c>
      <c r="AH365" s="36"/>
      <c r="AI365" s="389" t="e">
        <f>P365*('upper bound Kenaga'!$F$96/100)</f>
        <v>#DIV/0!</v>
      </c>
      <c r="AJ365" s="36"/>
      <c r="AK365" s="36"/>
      <c r="AL365" s="36"/>
      <c r="AM365" s="36"/>
      <c r="AN365" s="36"/>
      <c r="AO365" s="36"/>
    </row>
    <row r="366" spans="10:41" s="1" customFormat="1">
      <c r="J366" s="6">
        <f>COUNTIF(K$21:K366,"=yes")</f>
        <v>1</v>
      </c>
      <c r="K366" s="533" t="str">
        <f>IF(LOOKUP(VALUE(M366),INPUTS!$G$6:$G$35)=M366,"yes","no")</f>
        <v>no</v>
      </c>
      <c r="L366" s="533">
        <f>IF(K366="yes",(LOOKUP(J366,INPUTS!$E$6:$E$35,INPUTS!$F$6:$F$35)),0)</f>
        <v>0</v>
      </c>
      <c r="M366" s="135">
        <f t="shared" si="78"/>
        <v>345</v>
      </c>
      <c r="N366" s="135">
        <f t="shared" si="79"/>
        <v>1</v>
      </c>
      <c r="O366" s="135">
        <f t="shared" si="80"/>
        <v>0</v>
      </c>
      <c r="P366" s="536" t="e">
        <f t="shared" si="91"/>
        <v>#DIV/0!</v>
      </c>
      <c r="Q366" s="537" t="e">
        <f t="shared" si="85"/>
        <v>#DIV/0!</v>
      </c>
      <c r="R366" s="538" t="e">
        <f>IF(INPUTS!$B$15="yes",Q366,P366)</f>
        <v>#DIV/0!</v>
      </c>
      <c r="S366" s="536" t="e">
        <f t="shared" si="81"/>
        <v>#DIV/0!</v>
      </c>
      <c r="T366" s="537" t="e">
        <f t="shared" si="86"/>
        <v>#DIV/0!</v>
      </c>
      <c r="U366" s="538" t="e">
        <f>IF(INPUTS!$B$15="yes",T366,S366)</f>
        <v>#DIV/0!</v>
      </c>
      <c r="V366" s="536" t="e">
        <f t="shared" si="82"/>
        <v>#DIV/0!</v>
      </c>
      <c r="W366" s="537" t="e">
        <f t="shared" si="87"/>
        <v>#DIV/0!</v>
      </c>
      <c r="X366" s="538" t="e">
        <f>IF(INPUTS!$B$15="yes",W366,V366)</f>
        <v>#DIV/0!</v>
      </c>
      <c r="Y366" s="536" t="e">
        <f t="shared" si="83"/>
        <v>#DIV/0!</v>
      </c>
      <c r="Z366" s="537" t="e">
        <f t="shared" si="88"/>
        <v>#DIV/0!</v>
      </c>
      <c r="AA366" s="538" t="e">
        <f>IF(INPUTS!$B$15="yes",Z366,Y366)</f>
        <v>#DIV/0!</v>
      </c>
      <c r="AB366" s="536" t="e">
        <f t="shared" si="84"/>
        <v>#DIV/0!</v>
      </c>
      <c r="AC366" s="537" t="e">
        <f t="shared" si="89"/>
        <v>#DIV/0!</v>
      </c>
      <c r="AD366" s="538" t="e">
        <f>IF(INPUTS!$B$15="yes",AC366,AB366)</f>
        <v>#DIV/0!</v>
      </c>
      <c r="AE366" s="36" t="str">
        <f t="shared" si="90"/>
        <v>no</v>
      </c>
      <c r="AF366" s="36"/>
      <c r="AG366" s="389" t="e">
        <f>P366*('upper bound Kenaga'!$F$36/100)</f>
        <v>#DIV/0!</v>
      </c>
      <c r="AH366" s="36"/>
      <c r="AI366" s="389" t="e">
        <f>P366*('upper bound Kenaga'!$F$96/100)</f>
        <v>#DIV/0!</v>
      </c>
      <c r="AJ366" s="36"/>
      <c r="AK366" s="36"/>
      <c r="AL366" s="36"/>
      <c r="AM366" s="36"/>
      <c r="AN366" s="36"/>
      <c r="AO366" s="36"/>
    </row>
    <row r="367" spans="10:41" s="1" customFormat="1">
      <c r="J367" s="6">
        <f>COUNTIF(K$21:K367,"=yes")</f>
        <v>1</v>
      </c>
      <c r="K367" s="533" t="str">
        <f>IF(LOOKUP(VALUE(M367),INPUTS!$G$6:$G$35)=M367,"yes","no")</f>
        <v>no</v>
      </c>
      <c r="L367" s="533">
        <f>IF(K367="yes",(LOOKUP(J367,INPUTS!$E$6:$E$35,INPUTS!$F$6:$F$35)),0)</f>
        <v>0</v>
      </c>
      <c r="M367" s="135">
        <f t="shared" si="78"/>
        <v>346</v>
      </c>
      <c r="N367" s="135">
        <f t="shared" si="79"/>
        <v>1</v>
      </c>
      <c r="O367" s="135">
        <f t="shared" si="80"/>
        <v>0</v>
      </c>
      <c r="P367" s="536" t="e">
        <f t="shared" si="91"/>
        <v>#DIV/0!</v>
      </c>
      <c r="Q367" s="537" t="e">
        <f t="shared" si="85"/>
        <v>#DIV/0!</v>
      </c>
      <c r="R367" s="538" t="e">
        <f>IF(INPUTS!$B$15="yes",Q367,P367)</f>
        <v>#DIV/0!</v>
      </c>
      <c r="S367" s="536" t="e">
        <f t="shared" si="81"/>
        <v>#DIV/0!</v>
      </c>
      <c r="T367" s="537" t="e">
        <f t="shared" si="86"/>
        <v>#DIV/0!</v>
      </c>
      <c r="U367" s="538" t="e">
        <f>IF(INPUTS!$B$15="yes",T367,S367)</f>
        <v>#DIV/0!</v>
      </c>
      <c r="V367" s="536" t="e">
        <f t="shared" si="82"/>
        <v>#DIV/0!</v>
      </c>
      <c r="W367" s="537" t="e">
        <f t="shared" si="87"/>
        <v>#DIV/0!</v>
      </c>
      <c r="X367" s="538" t="e">
        <f>IF(INPUTS!$B$15="yes",W367,V367)</f>
        <v>#DIV/0!</v>
      </c>
      <c r="Y367" s="536" t="e">
        <f t="shared" si="83"/>
        <v>#DIV/0!</v>
      </c>
      <c r="Z367" s="537" t="e">
        <f t="shared" si="88"/>
        <v>#DIV/0!</v>
      </c>
      <c r="AA367" s="538" t="e">
        <f>IF(INPUTS!$B$15="yes",Z367,Y367)</f>
        <v>#DIV/0!</v>
      </c>
      <c r="AB367" s="536" t="e">
        <f t="shared" si="84"/>
        <v>#DIV/0!</v>
      </c>
      <c r="AC367" s="537" t="e">
        <f t="shared" si="89"/>
        <v>#DIV/0!</v>
      </c>
      <c r="AD367" s="538" t="e">
        <f>IF(INPUTS!$B$15="yes",AC367,AB367)</f>
        <v>#DIV/0!</v>
      </c>
      <c r="AE367" s="36" t="str">
        <f t="shared" si="90"/>
        <v>no</v>
      </c>
      <c r="AF367" s="36"/>
      <c r="AG367" s="389" t="e">
        <f>P367*('upper bound Kenaga'!$F$36/100)</f>
        <v>#DIV/0!</v>
      </c>
      <c r="AH367" s="36"/>
      <c r="AI367" s="389" t="e">
        <f>P367*('upper bound Kenaga'!$F$96/100)</f>
        <v>#DIV/0!</v>
      </c>
      <c r="AJ367" s="36"/>
      <c r="AK367" s="36"/>
      <c r="AL367" s="36"/>
      <c r="AM367" s="36"/>
      <c r="AN367" s="36"/>
      <c r="AO367" s="36"/>
    </row>
    <row r="368" spans="10:41" s="1" customFormat="1">
      <c r="J368" s="6">
        <f>COUNTIF(K$21:K368,"=yes")</f>
        <v>1</v>
      </c>
      <c r="K368" s="533" t="str">
        <f>IF(LOOKUP(VALUE(M368),INPUTS!$G$6:$G$35)=M368,"yes","no")</f>
        <v>no</v>
      </c>
      <c r="L368" s="533">
        <f>IF(K368="yes",(LOOKUP(J368,INPUTS!$E$6:$E$35,INPUTS!$F$6:$F$35)),0)</f>
        <v>0</v>
      </c>
      <c r="M368" s="135">
        <f t="shared" si="78"/>
        <v>347</v>
      </c>
      <c r="N368" s="135">
        <f t="shared" si="79"/>
        <v>1</v>
      </c>
      <c r="O368" s="135">
        <f t="shared" si="80"/>
        <v>0</v>
      </c>
      <c r="P368" s="536" t="e">
        <f t="shared" si="91"/>
        <v>#DIV/0!</v>
      </c>
      <c r="Q368" s="537" t="e">
        <f t="shared" si="85"/>
        <v>#DIV/0!</v>
      </c>
      <c r="R368" s="538" t="e">
        <f>IF(INPUTS!$B$15="yes",Q368,P368)</f>
        <v>#DIV/0!</v>
      </c>
      <c r="S368" s="536" t="e">
        <f t="shared" si="81"/>
        <v>#DIV/0!</v>
      </c>
      <c r="T368" s="537" t="e">
        <f t="shared" si="86"/>
        <v>#DIV/0!</v>
      </c>
      <c r="U368" s="538" t="e">
        <f>IF(INPUTS!$B$15="yes",T368,S368)</f>
        <v>#DIV/0!</v>
      </c>
      <c r="V368" s="536" t="e">
        <f t="shared" si="82"/>
        <v>#DIV/0!</v>
      </c>
      <c r="W368" s="537" t="e">
        <f t="shared" si="87"/>
        <v>#DIV/0!</v>
      </c>
      <c r="X368" s="538" t="e">
        <f>IF(INPUTS!$B$15="yes",W368,V368)</f>
        <v>#DIV/0!</v>
      </c>
      <c r="Y368" s="536" t="e">
        <f t="shared" si="83"/>
        <v>#DIV/0!</v>
      </c>
      <c r="Z368" s="537" t="e">
        <f t="shared" si="88"/>
        <v>#DIV/0!</v>
      </c>
      <c r="AA368" s="538" t="e">
        <f>IF(INPUTS!$B$15="yes",Z368,Y368)</f>
        <v>#DIV/0!</v>
      </c>
      <c r="AB368" s="536" t="e">
        <f t="shared" si="84"/>
        <v>#DIV/0!</v>
      </c>
      <c r="AC368" s="537" t="e">
        <f t="shared" si="89"/>
        <v>#DIV/0!</v>
      </c>
      <c r="AD368" s="538" t="e">
        <f>IF(INPUTS!$B$15="yes",AC368,AB368)</f>
        <v>#DIV/0!</v>
      </c>
      <c r="AE368" s="36" t="str">
        <f t="shared" si="90"/>
        <v>no</v>
      </c>
      <c r="AF368" s="36"/>
      <c r="AG368" s="389" t="e">
        <f>P368*('upper bound Kenaga'!$F$36/100)</f>
        <v>#DIV/0!</v>
      </c>
      <c r="AH368" s="36"/>
      <c r="AI368" s="389" t="e">
        <f>P368*('upper bound Kenaga'!$F$96/100)</f>
        <v>#DIV/0!</v>
      </c>
      <c r="AJ368" s="36"/>
      <c r="AK368" s="36"/>
      <c r="AL368" s="36"/>
      <c r="AM368" s="36"/>
      <c r="AN368" s="36"/>
      <c r="AO368" s="36"/>
    </row>
    <row r="369" spans="10:41" s="1" customFormat="1">
      <c r="J369" s="6">
        <f>COUNTIF(K$21:K369,"=yes")</f>
        <v>1</v>
      </c>
      <c r="K369" s="533" t="str">
        <f>IF(LOOKUP(VALUE(M369),INPUTS!$G$6:$G$35)=M369,"yes","no")</f>
        <v>no</v>
      </c>
      <c r="L369" s="533">
        <f>IF(K369="yes",(LOOKUP(J369,INPUTS!$E$6:$E$35,INPUTS!$F$6:$F$35)),0)</f>
        <v>0</v>
      </c>
      <c r="M369" s="135">
        <f t="shared" si="78"/>
        <v>348</v>
      </c>
      <c r="N369" s="135">
        <f t="shared" si="79"/>
        <v>1</v>
      </c>
      <c r="O369" s="135">
        <f t="shared" si="80"/>
        <v>0</v>
      </c>
      <c r="P369" s="536" t="e">
        <f t="shared" si="91"/>
        <v>#DIV/0!</v>
      </c>
      <c r="Q369" s="537" t="e">
        <f t="shared" si="85"/>
        <v>#DIV/0!</v>
      </c>
      <c r="R369" s="538" t="e">
        <f>IF(INPUTS!$B$15="yes",Q369,P369)</f>
        <v>#DIV/0!</v>
      </c>
      <c r="S369" s="536" t="e">
        <f t="shared" si="81"/>
        <v>#DIV/0!</v>
      </c>
      <c r="T369" s="537" t="e">
        <f t="shared" si="86"/>
        <v>#DIV/0!</v>
      </c>
      <c r="U369" s="538" t="e">
        <f>IF(INPUTS!$B$15="yes",T369,S369)</f>
        <v>#DIV/0!</v>
      </c>
      <c r="V369" s="536" t="e">
        <f t="shared" si="82"/>
        <v>#DIV/0!</v>
      </c>
      <c r="W369" s="537" t="e">
        <f t="shared" si="87"/>
        <v>#DIV/0!</v>
      </c>
      <c r="X369" s="538" t="e">
        <f>IF(INPUTS!$B$15="yes",W369,V369)</f>
        <v>#DIV/0!</v>
      </c>
      <c r="Y369" s="536" t="e">
        <f t="shared" si="83"/>
        <v>#DIV/0!</v>
      </c>
      <c r="Z369" s="537" t="e">
        <f t="shared" si="88"/>
        <v>#DIV/0!</v>
      </c>
      <c r="AA369" s="538" t="e">
        <f>IF(INPUTS!$B$15="yes",Z369,Y369)</f>
        <v>#DIV/0!</v>
      </c>
      <c r="AB369" s="536" t="e">
        <f t="shared" si="84"/>
        <v>#DIV/0!</v>
      </c>
      <c r="AC369" s="537" t="e">
        <f t="shared" si="89"/>
        <v>#DIV/0!</v>
      </c>
      <c r="AD369" s="538" t="e">
        <f>IF(INPUTS!$B$15="yes",AC369,AB369)</f>
        <v>#DIV/0!</v>
      </c>
      <c r="AE369" s="36" t="str">
        <f t="shared" si="90"/>
        <v>no</v>
      </c>
      <c r="AF369" s="36"/>
      <c r="AG369" s="389" t="e">
        <f>P369*('upper bound Kenaga'!$F$36/100)</f>
        <v>#DIV/0!</v>
      </c>
      <c r="AH369" s="36"/>
      <c r="AI369" s="389" t="e">
        <f>P369*('upper bound Kenaga'!$F$96/100)</f>
        <v>#DIV/0!</v>
      </c>
      <c r="AJ369" s="36"/>
      <c r="AK369" s="36"/>
      <c r="AL369" s="36"/>
      <c r="AM369" s="36"/>
      <c r="AN369" s="36"/>
      <c r="AO369" s="36"/>
    </row>
    <row r="370" spans="10:41" s="1" customFormat="1">
      <c r="J370" s="6">
        <f>COUNTIF(K$21:K370,"=yes")</f>
        <v>1</v>
      </c>
      <c r="K370" s="533" t="str">
        <f>IF(LOOKUP(VALUE(M370),INPUTS!$G$6:$G$35)=M370,"yes","no")</f>
        <v>no</v>
      </c>
      <c r="L370" s="533">
        <f>IF(K370="yes",(LOOKUP(J370,INPUTS!$E$6:$E$35,INPUTS!$F$6:$F$35)),0)</f>
        <v>0</v>
      </c>
      <c r="M370" s="135">
        <f t="shared" si="78"/>
        <v>349</v>
      </c>
      <c r="N370" s="135">
        <f t="shared" si="79"/>
        <v>1</v>
      </c>
      <c r="O370" s="135">
        <f t="shared" si="80"/>
        <v>0</v>
      </c>
      <c r="P370" s="536" t="e">
        <f t="shared" si="91"/>
        <v>#DIV/0!</v>
      </c>
      <c r="Q370" s="537" t="e">
        <f t="shared" si="85"/>
        <v>#DIV/0!</v>
      </c>
      <c r="R370" s="538" t="e">
        <f>IF(INPUTS!$B$15="yes",Q370,P370)</f>
        <v>#DIV/0!</v>
      </c>
      <c r="S370" s="536" t="e">
        <f t="shared" si="81"/>
        <v>#DIV/0!</v>
      </c>
      <c r="T370" s="537" t="e">
        <f t="shared" si="86"/>
        <v>#DIV/0!</v>
      </c>
      <c r="U370" s="538" t="e">
        <f>IF(INPUTS!$B$15="yes",T370,S370)</f>
        <v>#DIV/0!</v>
      </c>
      <c r="V370" s="536" t="e">
        <f t="shared" si="82"/>
        <v>#DIV/0!</v>
      </c>
      <c r="W370" s="537" t="e">
        <f t="shared" si="87"/>
        <v>#DIV/0!</v>
      </c>
      <c r="X370" s="538" t="e">
        <f>IF(INPUTS!$B$15="yes",W370,V370)</f>
        <v>#DIV/0!</v>
      </c>
      <c r="Y370" s="536" t="e">
        <f t="shared" si="83"/>
        <v>#DIV/0!</v>
      </c>
      <c r="Z370" s="537" t="e">
        <f t="shared" si="88"/>
        <v>#DIV/0!</v>
      </c>
      <c r="AA370" s="538" t="e">
        <f>IF(INPUTS!$B$15="yes",Z370,Y370)</f>
        <v>#DIV/0!</v>
      </c>
      <c r="AB370" s="536" t="e">
        <f t="shared" si="84"/>
        <v>#DIV/0!</v>
      </c>
      <c r="AC370" s="537" t="e">
        <f t="shared" si="89"/>
        <v>#DIV/0!</v>
      </c>
      <c r="AD370" s="538" t="e">
        <f>IF(INPUTS!$B$15="yes",AC370,AB370)</f>
        <v>#DIV/0!</v>
      </c>
      <c r="AE370" s="36" t="str">
        <f t="shared" si="90"/>
        <v>no</v>
      </c>
      <c r="AF370" s="36"/>
      <c r="AG370" s="389" t="e">
        <f>P370*('upper bound Kenaga'!$F$36/100)</f>
        <v>#DIV/0!</v>
      </c>
      <c r="AH370" s="36"/>
      <c r="AI370" s="389" t="e">
        <f>P370*('upper bound Kenaga'!$F$96/100)</f>
        <v>#DIV/0!</v>
      </c>
      <c r="AJ370" s="36"/>
      <c r="AK370" s="36"/>
      <c r="AL370" s="36"/>
      <c r="AM370" s="36"/>
      <c r="AN370" s="36"/>
      <c r="AO370" s="36"/>
    </row>
    <row r="371" spans="10:41" s="1" customFormat="1">
      <c r="J371" s="6">
        <f>COUNTIF(K$21:K371,"=yes")</f>
        <v>1</v>
      </c>
      <c r="K371" s="533" t="str">
        <f>IF(LOOKUP(VALUE(M371),INPUTS!$G$6:$G$35)=M371,"yes","no")</f>
        <v>no</v>
      </c>
      <c r="L371" s="533">
        <f>IF(K371="yes",(LOOKUP(J371,INPUTS!$E$6:$E$35,INPUTS!$F$6:$F$35)),0)</f>
        <v>0</v>
      </c>
      <c r="M371" s="135">
        <f t="shared" si="78"/>
        <v>350</v>
      </c>
      <c r="N371" s="135">
        <f t="shared" si="79"/>
        <v>1</v>
      </c>
      <c r="O371" s="135">
        <f t="shared" si="80"/>
        <v>0</v>
      </c>
      <c r="P371" s="536" t="e">
        <f t="shared" si="91"/>
        <v>#DIV/0!</v>
      </c>
      <c r="Q371" s="537" t="e">
        <f t="shared" si="85"/>
        <v>#DIV/0!</v>
      </c>
      <c r="R371" s="538" t="e">
        <f>IF(INPUTS!$B$15="yes",Q371,P371)</f>
        <v>#DIV/0!</v>
      </c>
      <c r="S371" s="536" t="e">
        <f t="shared" si="81"/>
        <v>#DIV/0!</v>
      </c>
      <c r="T371" s="537" t="e">
        <f t="shared" si="86"/>
        <v>#DIV/0!</v>
      </c>
      <c r="U371" s="538" t="e">
        <f>IF(INPUTS!$B$15="yes",T371,S371)</f>
        <v>#DIV/0!</v>
      </c>
      <c r="V371" s="536" t="e">
        <f t="shared" si="82"/>
        <v>#DIV/0!</v>
      </c>
      <c r="W371" s="537" t="e">
        <f t="shared" si="87"/>
        <v>#DIV/0!</v>
      </c>
      <c r="X371" s="538" t="e">
        <f>IF(INPUTS!$B$15="yes",W371,V371)</f>
        <v>#DIV/0!</v>
      </c>
      <c r="Y371" s="536" t="e">
        <f t="shared" si="83"/>
        <v>#DIV/0!</v>
      </c>
      <c r="Z371" s="537" t="e">
        <f t="shared" si="88"/>
        <v>#DIV/0!</v>
      </c>
      <c r="AA371" s="538" t="e">
        <f>IF(INPUTS!$B$15="yes",Z371,Y371)</f>
        <v>#DIV/0!</v>
      </c>
      <c r="AB371" s="536" t="e">
        <f t="shared" si="84"/>
        <v>#DIV/0!</v>
      </c>
      <c r="AC371" s="537" t="e">
        <f t="shared" si="89"/>
        <v>#DIV/0!</v>
      </c>
      <c r="AD371" s="538" t="e">
        <f>IF(INPUTS!$B$15="yes",AC371,AB371)</f>
        <v>#DIV/0!</v>
      </c>
      <c r="AE371" s="36" t="str">
        <f t="shared" si="90"/>
        <v>no</v>
      </c>
      <c r="AF371" s="36"/>
      <c r="AG371" s="389" t="e">
        <f>P371*('upper bound Kenaga'!$F$36/100)</f>
        <v>#DIV/0!</v>
      </c>
      <c r="AH371" s="36"/>
      <c r="AI371" s="389" t="e">
        <f>P371*('upper bound Kenaga'!$F$96/100)</f>
        <v>#DIV/0!</v>
      </c>
      <c r="AJ371" s="36"/>
      <c r="AK371" s="36"/>
      <c r="AL371" s="36"/>
      <c r="AM371" s="36"/>
      <c r="AN371" s="36"/>
      <c r="AO371" s="36"/>
    </row>
    <row r="372" spans="10:41" s="1" customFormat="1">
      <c r="J372" s="6">
        <f>COUNTIF(K$21:K372,"=yes")</f>
        <v>1</v>
      </c>
      <c r="K372" s="533" t="str">
        <f>IF(LOOKUP(VALUE(M372),INPUTS!$G$6:$G$35)=M372,"yes","no")</f>
        <v>no</v>
      </c>
      <c r="L372" s="533">
        <f>IF(K372="yes",(LOOKUP(J372,INPUTS!$E$6:$E$35,INPUTS!$F$6:$F$35)),0)</f>
        <v>0</v>
      </c>
      <c r="M372" s="135">
        <f t="shared" si="78"/>
        <v>351</v>
      </c>
      <c r="N372" s="135">
        <f t="shared" si="79"/>
        <v>1</v>
      </c>
      <c r="O372" s="135">
        <f t="shared" si="80"/>
        <v>0</v>
      </c>
      <c r="P372" s="536" t="e">
        <f t="shared" si="91"/>
        <v>#DIV/0!</v>
      </c>
      <c r="Q372" s="537" t="e">
        <f t="shared" si="85"/>
        <v>#DIV/0!</v>
      </c>
      <c r="R372" s="538" t="e">
        <f>IF(INPUTS!$B$15="yes",Q372,P372)</f>
        <v>#DIV/0!</v>
      </c>
      <c r="S372" s="536" t="e">
        <f t="shared" si="81"/>
        <v>#DIV/0!</v>
      </c>
      <c r="T372" s="537" t="e">
        <f t="shared" si="86"/>
        <v>#DIV/0!</v>
      </c>
      <c r="U372" s="538" t="e">
        <f>IF(INPUTS!$B$15="yes",T372,S372)</f>
        <v>#DIV/0!</v>
      </c>
      <c r="V372" s="536" t="e">
        <f t="shared" si="82"/>
        <v>#DIV/0!</v>
      </c>
      <c r="W372" s="537" t="e">
        <f t="shared" si="87"/>
        <v>#DIV/0!</v>
      </c>
      <c r="X372" s="538" t="e">
        <f>IF(INPUTS!$B$15="yes",W372,V372)</f>
        <v>#DIV/0!</v>
      </c>
      <c r="Y372" s="536" t="e">
        <f t="shared" si="83"/>
        <v>#DIV/0!</v>
      </c>
      <c r="Z372" s="537" t="e">
        <f t="shared" si="88"/>
        <v>#DIV/0!</v>
      </c>
      <c r="AA372" s="538" t="e">
        <f>IF(INPUTS!$B$15="yes",Z372,Y372)</f>
        <v>#DIV/0!</v>
      </c>
      <c r="AB372" s="536" t="e">
        <f t="shared" si="84"/>
        <v>#DIV/0!</v>
      </c>
      <c r="AC372" s="537" t="e">
        <f t="shared" si="89"/>
        <v>#DIV/0!</v>
      </c>
      <c r="AD372" s="538" t="e">
        <f>IF(INPUTS!$B$15="yes",AC372,AB372)</f>
        <v>#DIV/0!</v>
      </c>
      <c r="AE372" s="36" t="str">
        <f t="shared" si="90"/>
        <v>no</v>
      </c>
      <c r="AF372" s="36"/>
      <c r="AG372" s="389" t="e">
        <f>P372*('upper bound Kenaga'!$F$36/100)</f>
        <v>#DIV/0!</v>
      </c>
      <c r="AH372" s="36"/>
      <c r="AI372" s="389" t="e">
        <f>P372*('upper bound Kenaga'!$F$96/100)</f>
        <v>#DIV/0!</v>
      </c>
      <c r="AJ372" s="36"/>
      <c r="AK372" s="36"/>
      <c r="AL372" s="36"/>
      <c r="AM372" s="36"/>
      <c r="AN372" s="36"/>
      <c r="AO372" s="36"/>
    </row>
    <row r="373" spans="10:41" s="1" customFormat="1">
      <c r="J373" s="6">
        <f>COUNTIF(K$21:K373,"=yes")</f>
        <v>1</v>
      </c>
      <c r="K373" s="533" t="str">
        <f>IF(LOOKUP(VALUE(M373),INPUTS!$G$6:$G$35)=M373,"yes","no")</f>
        <v>no</v>
      </c>
      <c r="L373" s="533">
        <f>IF(K373="yes",(LOOKUP(J373,INPUTS!$E$6:$E$35,INPUTS!$F$6:$F$35)),0)</f>
        <v>0</v>
      </c>
      <c r="M373" s="135">
        <f t="shared" si="78"/>
        <v>352</v>
      </c>
      <c r="N373" s="135">
        <f t="shared" si="79"/>
        <v>1</v>
      </c>
      <c r="O373" s="135">
        <f t="shared" si="80"/>
        <v>0</v>
      </c>
      <c r="P373" s="536" t="e">
        <f t="shared" si="91"/>
        <v>#DIV/0!</v>
      </c>
      <c r="Q373" s="537" t="e">
        <f t="shared" si="85"/>
        <v>#DIV/0!</v>
      </c>
      <c r="R373" s="538" t="e">
        <f>IF(INPUTS!$B$15="yes",Q373,P373)</f>
        <v>#DIV/0!</v>
      </c>
      <c r="S373" s="536" t="e">
        <f t="shared" si="81"/>
        <v>#DIV/0!</v>
      </c>
      <c r="T373" s="537" t="e">
        <f t="shared" si="86"/>
        <v>#DIV/0!</v>
      </c>
      <c r="U373" s="538" t="e">
        <f>IF(INPUTS!$B$15="yes",T373,S373)</f>
        <v>#DIV/0!</v>
      </c>
      <c r="V373" s="536" t="e">
        <f t="shared" si="82"/>
        <v>#DIV/0!</v>
      </c>
      <c r="W373" s="537" t="e">
        <f t="shared" si="87"/>
        <v>#DIV/0!</v>
      </c>
      <c r="X373" s="538" t="e">
        <f>IF(INPUTS!$B$15="yes",W373,V373)</f>
        <v>#DIV/0!</v>
      </c>
      <c r="Y373" s="536" t="e">
        <f t="shared" si="83"/>
        <v>#DIV/0!</v>
      </c>
      <c r="Z373" s="537" t="e">
        <f t="shared" si="88"/>
        <v>#DIV/0!</v>
      </c>
      <c r="AA373" s="538" t="e">
        <f>IF(INPUTS!$B$15="yes",Z373,Y373)</f>
        <v>#DIV/0!</v>
      </c>
      <c r="AB373" s="536" t="e">
        <f t="shared" si="84"/>
        <v>#DIV/0!</v>
      </c>
      <c r="AC373" s="537" t="e">
        <f t="shared" si="89"/>
        <v>#DIV/0!</v>
      </c>
      <c r="AD373" s="538" t="e">
        <f>IF(INPUTS!$B$15="yes",AC373,AB373)</f>
        <v>#DIV/0!</v>
      </c>
      <c r="AE373" s="36" t="str">
        <f t="shared" si="90"/>
        <v>no</v>
      </c>
      <c r="AF373" s="36"/>
      <c r="AG373" s="389" t="e">
        <f>P373*('upper bound Kenaga'!$F$36/100)</f>
        <v>#DIV/0!</v>
      </c>
      <c r="AH373" s="36"/>
      <c r="AI373" s="389" t="e">
        <f>P373*('upper bound Kenaga'!$F$96/100)</f>
        <v>#DIV/0!</v>
      </c>
      <c r="AJ373" s="36"/>
      <c r="AK373" s="36"/>
      <c r="AL373" s="36"/>
      <c r="AM373" s="36"/>
      <c r="AN373" s="36"/>
      <c r="AO373" s="36"/>
    </row>
    <row r="374" spans="10:41" s="1" customFormat="1">
      <c r="J374" s="6">
        <f>COUNTIF(K$21:K374,"=yes")</f>
        <v>1</v>
      </c>
      <c r="K374" s="533" t="str">
        <f>IF(LOOKUP(VALUE(M374),INPUTS!$G$6:$G$35)=M374,"yes","no")</f>
        <v>no</v>
      </c>
      <c r="L374" s="533">
        <f>IF(K374="yes",(LOOKUP(J374,INPUTS!$E$6:$E$35,INPUTS!$F$6:$F$35)),0)</f>
        <v>0</v>
      </c>
      <c r="M374" s="135">
        <f t="shared" si="78"/>
        <v>353</v>
      </c>
      <c r="N374" s="135">
        <f t="shared" si="79"/>
        <v>1</v>
      </c>
      <c r="O374" s="135">
        <f t="shared" si="80"/>
        <v>0</v>
      </c>
      <c r="P374" s="536" t="e">
        <f t="shared" si="91"/>
        <v>#DIV/0!</v>
      </c>
      <c r="Q374" s="537" t="e">
        <f t="shared" si="85"/>
        <v>#DIV/0!</v>
      </c>
      <c r="R374" s="538" t="e">
        <f>IF(INPUTS!$B$15="yes",Q374,P374)</f>
        <v>#DIV/0!</v>
      </c>
      <c r="S374" s="536" t="e">
        <f t="shared" si="81"/>
        <v>#DIV/0!</v>
      </c>
      <c r="T374" s="537" t="e">
        <f t="shared" si="86"/>
        <v>#DIV/0!</v>
      </c>
      <c r="U374" s="538" t="e">
        <f>IF(INPUTS!$B$15="yes",T374,S374)</f>
        <v>#DIV/0!</v>
      </c>
      <c r="V374" s="536" t="e">
        <f t="shared" si="82"/>
        <v>#DIV/0!</v>
      </c>
      <c r="W374" s="537" t="e">
        <f t="shared" si="87"/>
        <v>#DIV/0!</v>
      </c>
      <c r="X374" s="538" t="e">
        <f>IF(INPUTS!$B$15="yes",W374,V374)</f>
        <v>#DIV/0!</v>
      </c>
      <c r="Y374" s="536" t="e">
        <f t="shared" si="83"/>
        <v>#DIV/0!</v>
      </c>
      <c r="Z374" s="537" t="e">
        <f t="shared" si="88"/>
        <v>#DIV/0!</v>
      </c>
      <c r="AA374" s="538" t="e">
        <f>IF(INPUTS!$B$15="yes",Z374,Y374)</f>
        <v>#DIV/0!</v>
      </c>
      <c r="AB374" s="536" t="e">
        <f t="shared" si="84"/>
        <v>#DIV/0!</v>
      </c>
      <c r="AC374" s="537" t="e">
        <f t="shared" si="89"/>
        <v>#DIV/0!</v>
      </c>
      <c r="AD374" s="538" t="e">
        <f>IF(INPUTS!$B$15="yes",AC374,AB374)</f>
        <v>#DIV/0!</v>
      </c>
      <c r="AE374" s="36" t="str">
        <f t="shared" si="90"/>
        <v>no</v>
      </c>
      <c r="AF374" s="36"/>
      <c r="AG374" s="389" t="e">
        <f>P374*('upper bound Kenaga'!$F$36/100)</f>
        <v>#DIV/0!</v>
      </c>
      <c r="AH374" s="36"/>
      <c r="AI374" s="389" t="e">
        <f>P374*('upper bound Kenaga'!$F$96/100)</f>
        <v>#DIV/0!</v>
      </c>
      <c r="AJ374" s="36"/>
      <c r="AK374" s="36"/>
      <c r="AL374" s="36"/>
      <c r="AM374" s="36"/>
      <c r="AN374" s="36"/>
      <c r="AO374" s="36"/>
    </row>
    <row r="375" spans="10:41" s="1" customFormat="1">
      <c r="J375" s="6">
        <f>COUNTIF(K$21:K375,"=yes")</f>
        <v>1</v>
      </c>
      <c r="K375" s="533" t="str">
        <f>IF(LOOKUP(VALUE(M375),INPUTS!$G$6:$G$35)=M375,"yes","no")</f>
        <v>no</v>
      </c>
      <c r="L375" s="533">
        <f>IF(K375="yes",(LOOKUP(J375,INPUTS!$E$6:$E$35,INPUTS!$F$6:$F$35)),0)</f>
        <v>0</v>
      </c>
      <c r="M375" s="135">
        <f t="shared" si="78"/>
        <v>354</v>
      </c>
      <c r="N375" s="135">
        <f t="shared" si="79"/>
        <v>1</v>
      </c>
      <c r="O375" s="135">
        <f t="shared" si="80"/>
        <v>0</v>
      </c>
      <c r="P375" s="536" t="e">
        <f t="shared" si="91"/>
        <v>#DIV/0!</v>
      </c>
      <c r="Q375" s="537" t="e">
        <f t="shared" si="85"/>
        <v>#DIV/0!</v>
      </c>
      <c r="R375" s="538" t="e">
        <f>IF(INPUTS!$B$15="yes",Q375,P375)</f>
        <v>#DIV/0!</v>
      </c>
      <c r="S375" s="536" t="e">
        <f t="shared" si="81"/>
        <v>#DIV/0!</v>
      </c>
      <c r="T375" s="537" t="e">
        <f t="shared" si="86"/>
        <v>#DIV/0!</v>
      </c>
      <c r="U375" s="538" t="e">
        <f>IF(INPUTS!$B$15="yes",T375,S375)</f>
        <v>#DIV/0!</v>
      </c>
      <c r="V375" s="536" t="e">
        <f t="shared" si="82"/>
        <v>#DIV/0!</v>
      </c>
      <c r="W375" s="537" t="e">
        <f t="shared" si="87"/>
        <v>#DIV/0!</v>
      </c>
      <c r="X375" s="538" t="e">
        <f>IF(INPUTS!$B$15="yes",W375,V375)</f>
        <v>#DIV/0!</v>
      </c>
      <c r="Y375" s="536" t="e">
        <f t="shared" si="83"/>
        <v>#DIV/0!</v>
      </c>
      <c r="Z375" s="537" t="e">
        <f t="shared" si="88"/>
        <v>#DIV/0!</v>
      </c>
      <c r="AA375" s="538" t="e">
        <f>IF(INPUTS!$B$15="yes",Z375,Y375)</f>
        <v>#DIV/0!</v>
      </c>
      <c r="AB375" s="536" t="e">
        <f t="shared" si="84"/>
        <v>#DIV/0!</v>
      </c>
      <c r="AC375" s="537" t="e">
        <f t="shared" si="89"/>
        <v>#DIV/0!</v>
      </c>
      <c r="AD375" s="538" t="e">
        <f>IF(INPUTS!$B$15="yes",AC375,AB375)</f>
        <v>#DIV/0!</v>
      </c>
      <c r="AE375" s="36" t="str">
        <f t="shared" si="90"/>
        <v>no</v>
      </c>
      <c r="AF375" s="36"/>
      <c r="AG375" s="389" t="e">
        <f>P375*('upper bound Kenaga'!$F$36/100)</f>
        <v>#DIV/0!</v>
      </c>
      <c r="AH375" s="36"/>
      <c r="AI375" s="389" t="e">
        <f>P375*('upper bound Kenaga'!$F$96/100)</f>
        <v>#DIV/0!</v>
      </c>
      <c r="AJ375" s="36"/>
      <c r="AK375" s="36"/>
      <c r="AL375" s="36"/>
      <c r="AM375" s="36"/>
      <c r="AN375" s="36"/>
      <c r="AO375" s="36"/>
    </row>
    <row r="376" spans="10:41" s="1" customFormat="1">
      <c r="J376" s="6">
        <f>COUNTIF(K$21:K376,"=yes")</f>
        <v>1</v>
      </c>
      <c r="K376" s="533" t="str">
        <f>IF(LOOKUP(VALUE(M376),INPUTS!$G$6:$G$35)=M376,"yes","no")</f>
        <v>no</v>
      </c>
      <c r="L376" s="533">
        <f>IF(K376="yes",(LOOKUP(J376,INPUTS!$E$6:$E$35,INPUTS!$F$6:$F$35)),0)</f>
        <v>0</v>
      </c>
      <c r="M376" s="135">
        <f t="shared" si="78"/>
        <v>355</v>
      </c>
      <c r="N376" s="135">
        <f t="shared" si="79"/>
        <v>1</v>
      </c>
      <c r="O376" s="135">
        <f t="shared" si="80"/>
        <v>0</v>
      </c>
      <c r="P376" s="536" t="e">
        <f t="shared" si="91"/>
        <v>#DIV/0!</v>
      </c>
      <c r="Q376" s="537" t="e">
        <f t="shared" si="85"/>
        <v>#DIV/0!</v>
      </c>
      <c r="R376" s="538" t="e">
        <f>IF(INPUTS!$B$15="yes",Q376,P376)</f>
        <v>#DIV/0!</v>
      </c>
      <c r="S376" s="536" t="e">
        <f t="shared" si="81"/>
        <v>#DIV/0!</v>
      </c>
      <c r="T376" s="537" t="e">
        <f t="shared" si="86"/>
        <v>#DIV/0!</v>
      </c>
      <c r="U376" s="538" t="e">
        <f>IF(INPUTS!$B$15="yes",T376,S376)</f>
        <v>#DIV/0!</v>
      </c>
      <c r="V376" s="536" t="e">
        <f t="shared" si="82"/>
        <v>#DIV/0!</v>
      </c>
      <c r="W376" s="537" t="e">
        <f t="shared" si="87"/>
        <v>#DIV/0!</v>
      </c>
      <c r="X376" s="538" t="e">
        <f>IF(INPUTS!$B$15="yes",W376,V376)</f>
        <v>#DIV/0!</v>
      </c>
      <c r="Y376" s="536" t="e">
        <f t="shared" si="83"/>
        <v>#DIV/0!</v>
      </c>
      <c r="Z376" s="537" t="e">
        <f t="shared" si="88"/>
        <v>#DIV/0!</v>
      </c>
      <c r="AA376" s="538" t="e">
        <f>IF(INPUTS!$B$15="yes",Z376,Y376)</f>
        <v>#DIV/0!</v>
      </c>
      <c r="AB376" s="536" t="e">
        <f t="shared" si="84"/>
        <v>#DIV/0!</v>
      </c>
      <c r="AC376" s="537" t="e">
        <f t="shared" si="89"/>
        <v>#DIV/0!</v>
      </c>
      <c r="AD376" s="538" t="e">
        <f>IF(INPUTS!$B$15="yes",AC376,AB376)</f>
        <v>#DIV/0!</v>
      </c>
      <c r="AE376" s="36" t="str">
        <f t="shared" si="90"/>
        <v>no</v>
      </c>
      <c r="AF376" s="36"/>
      <c r="AG376" s="389" t="e">
        <f>P376*('upper bound Kenaga'!$F$36/100)</f>
        <v>#DIV/0!</v>
      </c>
      <c r="AH376" s="36"/>
      <c r="AI376" s="389" t="e">
        <f>P376*('upper bound Kenaga'!$F$96/100)</f>
        <v>#DIV/0!</v>
      </c>
      <c r="AJ376" s="36"/>
      <c r="AK376" s="36"/>
      <c r="AL376" s="36"/>
      <c r="AM376" s="36"/>
      <c r="AN376" s="36"/>
      <c r="AO376" s="36"/>
    </row>
    <row r="377" spans="10:41" s="1" customFormat="1">
      <c r="J377" s="6">
        <f>COUNTIF(K$21:K377,"=yes")</f>
        <v>1</v>
      </c>
      <c r="K377" s="533" t="str">
        <f>IF(LOOKUP(VALUE(M377),INPUTS!$G$6:$G$35)=M377,"yes","no")</f>
        <v>no</v>
      </c>
      <c r="L377" s="533">
        <f>IF(K377="yes",(LOOKUP(J377,INPUTS!$E$6:$E$35,INPUTS!$F$6:$F$35)),0)</f>
        <v>0</v>
      </c>
      <c r="M377" s="135">
        <f t="shared" si="78"/>
        <v>356</v>
      </c>
      <c r="N377" s="135">
        <f t="shared" si="79"/>
        <v>1</v>
      </c>
      <c r="O377" s="135">
        <f t="shared" si="80"/>
        <v>0</v>
      </c>
      <c r="P377" s="536" t="e">
        <f t="shared" si="91"/>
        <v>#DIV/0!</v>
      </c>
      <c r="Q377" s="537" t="e">
        <f t="shared" si="85"/>
        <v>#DIV/0!</v>
      </c>
      <c r="R377" s="538" t="e">
        <f>IF(INPUTS!$B$15="yes",Q377,P377)</f>
        <v>#DIV/0!</v>
      </c>
      <c r="S377" s="536" t="e">
        <f t="shared" si="81"/>
        <v>#DIV/0!</v>
      </c>
      <c r="T377" s="537" t="e">
        <f t="shared" si="86"/>
        <v>#DIV/0!</v>
      </c>
      <c r="U377" s="538" t="e">
        <f>IF(INPUTS!$B$15="yes",T377,S377)</f>
        <v>#DIV/0!</v>
      </c>
      <c r="V377" s="536" t="e">
        <f t="shared" si="82"/>
        <v>#DIV/0!</v>
      </c>
      <c r="W377" s="537" t="e">
        <f t="shared" si="87"/>
        <v>#DIV/0!</v>
      </c>
      <c r="X377" s="538" t="e">
        <f>IF(INPUTS!$B$15="yes",W377,V377)</f>
        <v>#DIV/0!</v>
      </c>
      <c r="Y377" s="536" t="e">
        <f t="shared" si="83"/>
        <v>#DIV/0!</v>
      </c>
      <c r="Z377" s="537" t="e">
        <f t="shared" si="88"/>
        <v>#DIV/0!</v>
      </c>
      <c r="AA377" s="538" t="e">
        <f>IF(INPUTS!$B$15="yes",Z377,Y377)</f>
        <v>#DIV/0!</v>
      </c>
      <c r="AB377" s="536" t="e">
        <f t="shared" si="84"/>
        <v>#DIV/0!</v>
      </c>
      <c r="AC377" s="537" t="e">
        <f t="shared" si="89"/>
        <v>#DIV/0!</v>
      </c>
      <c r="AD377" s="538" t="e">
        <f>IF(INPUTS!$B$15="yes",AC377,AB377)</f>
        <v>#DIV/0!</v>
      </c>
      <c r="AE377" s="36" t="str">
        <f t="shared" si="90"/>
        <v>no</v>
      </c>
      <c r="AF377" s="36"/>
      <c r="AG377" s="389" t="e">
        <f>P377*('upper bound Kenaga'!$F$36/100)</f>
        <v>#DIV/0!</v>
      </c>
      <c r="AH377" s="36"/>
      <c r="AI377" s="389" t="e">
        <f>P377*('upper bound Kenaga'!$F$96/100)</f>
        <v>#DIV/0!</v>
      </c>
      <c r="AJ377" s="36"/>
      <c r="AK377" s="36"/>
      <c r="AL377" s="36"/>
      <c r="AM377" s="36"/>
      <c r="AN377" s="36"/>
      <c r="AO377" s="36"/>
    </row>
    <row r="378" spans="10:41" s="1" customFormat="1">
      <c r="J378" s="6">
        <f>COUNTIF(K$21:K378,"=yes")</f>
        <v>1</v>
      </c>
      <c r="K378" s="533" t="str">
        <f>IF(LOOKUP(VALUE(M378),INPUTS!$G$6:$G$35)=M378,"yes","no")</f>
        <v>no</v>
      </c>
      <c r="L378" s="533">
        <f>IF(K378="yes",(LOOKUP(J378,INPUTS!$E$6:$E$35,INPUTS!$F$6:$F$35)),0)</f>
        <v>0</v>
      </c>
      <c r="M378" s="135">
        <f t="shared" si="78"/>
        <v>357</v>
      </c>
      <c r="N378" s="135">
        <f t="shared" si="79"/>
        <v>1</v>
      </c>
      <c r="O378" s="135">
        <f t="shared" si="80"/>
        <v>0</v>
      </c>
      <c r="P378" s="536" t="e">
        <f t="shared" si="91"/>
        <v>#DIV/0!</v>
      </c>
      <c r="Q378" s="537" t="e">
        <f t="shared" si="85"/>
        <v>#DIV/0!</v>
      </c>
      <c r="R378" s="538" t="e">
        <f>IF(INPUTS!$B$15="yes",Q378,P378)</f>
        <v>#DIV/0!</v>
      </c>
      <c r="S378" s="536" t="e">
        <f t="shared" si="81"/>
        <v>#DIV/0!</v>
      </c>
      <c r="T378" s="537" t="e">
        <f t="shared" si="86"/>
        <v>#DIV/0!</v>
      </c>
      <c r="U378" s="538" t="e">
        <f>IF(INPUTS!$B$15="yes",T378,S378)</f>
        <v>#DIV/0!</v>
      </c>
      <c r="V378" s="536" t="e">
        <f t="shared" si="82"/>
        <v>#DIV/0!</v>
      </c>
      <c r="W378" s="537" t="e">
        <f t="shared" si="87"/>
        <v>#DIV/0!</v>
      </c>
      <c r="X378" s="538" t="e">
        <f>IF(INPUTS!$B$15="yes",W378,V378)</f>
        <v>#DIV/0!</v>
      </c>
      <c r="Y378" s="536" t="e">
        <f t="shared" si="83"/>
        <v>#DIV/0!</v>
      </c>
      <c r="Z378" s="537" t="e">
        <f t="shared" si="88"/>
        <v>#DIV/0!</v>
      </c>
      <c r="AA378" s="538" t="e">
        <f>IF(INPUTS!$B$15="yes",Z378,Y378)</f>
        <v>#DIV/0!</v>
      </c>
      <c r="AB378" s="536" t="e">
        <f t="shared" si="84"/>
        <v>#DIV/0!</v>
      </c>
      <c r="AC378" s="537" t="e">
        <f t="shared" si="89"/>
        <v>#DIV/0!</v>
      </c>
      <c r="AD378" s="538" t="e">
        <f>IF(INPUTS!$B$15="yes",AC378,AB378)</f>
        <v>#DIV/0!</v>
      </c>
      <c r="AE378" s="36" t="str">
        <f t="shared" si="90"/>
        <v>no</v>
      </c>
      <c r="AF378" s="36"/>
      <c r="AG378" s="389" t="e">
        <f>P378*('upper bound Kenaga'!$F$36/100)</f>
        <v>#DIV/0!</v>
      </c>
      <c r="AH378" s="36"/>
      <c r="AI378" s="389" t="e">
        <f>P378*('upper bound Kenaga'!$F$96/100)</f>
        <v>#DIV/0!</v>
      </c>
      <c r="AJ378" s="36"/>
      <c r="AK378" s="36"/>
      <c r="AL378" s="36"/>
      <c r="AM378" s="36"/>
      <c r="AN378" s="36"/>
      <c r="AO378" s="36"/>
    </row>
    <row r="379" spans="10:41" s="1" customFormat="1">
      <c r="J379" s="6">
        <f>COUNTIF(K$21:K379,"=yes")</f>
        <v>1</v>
      </c>
      <c r="K379" s="533" t="str">
        <f>IF(LOOKUP(VALUE(M379),INPUTS!$G$6:$G$35)=M379,"yes","no")</f>
        <v>no</v>
      </c>
      <c r="L379" s="533">
        <f>IF(K379="yes",(LOOKUP(J379,INPUTS!$E$6:$E$35,INPUTS!$F$6:$F$35)),0)</f>
        <v>0</v>
      </c>
      <c r="M379" s="135">
        <f t="shared" si="78"/>
        <v>358</v>
      </c>
      <c r="N379" s="135">
        <f t="shared" si="79"/>
        <v>1</v>
      </c>
      <c r="O379" s="135">
        <f t="shared" si="80"/>
        <v>0</v>
      </c>
      <c r="P379" s="536" t="e">
        <f t="shared" si="91"/>
        <v>#DIV/0!</v>
      </c>
      <c r="Q379" s="537" t="e">
        <f t="shared" si="85"/>
        <v>#DIV/0!</v>
      </c>
      <c r="R379" s="538" t="e">
        <f>IF(INPUTS!$B$15="yes",Q379,P379)</f>
        <v>#DIV/0!</v>
      </c>
      <c r="S379" s="536" t="e">
        <f t="shared" si="81"/>
        <v>#DIV/0!</v>
      </c>
      <c r="T379" s="537" t="e">
        <f t="shared" si="86"/>
        <v>#DIV/0!</v>
      </c>
      <c r="U379" s="538" t="e">
        <f>IF(INPUTS!$B$15="yes",T379,S379)</f>
        <v>#DIV/0!</v>
      </c>
      <c r="V379" s="536" t="e">
        <f t="shared" si="82"/>
        <v>#DIV/0!</v>
      </c>
      <c r="W379" s="537" t="e">
        <f t="shared" si="87"/>
        <v>#DIV/0!</v>
      </c>
      <c r="X379" s="538" t="e">
        <f>IF(INPUTS!$B$15="yes",W379,V379)</f>
        <v>#DIV/0!</v>
      </c>
      <c r="Y379" s="536" t="e">
        <f t="shared" si="83"/>
        <v>#DIV/0!</v>
      </c>
      <c r="Z379" s="537" t="e">
        <f t="shared" si="88"/>
        <v>#DIV/0!</v>
      </c>
      <c r="AA379" s="538" t="e">
        <f>IF(INPUTS!$B$15="yes",Z379,Y379)</f>
        <v>#DIV/0!</v>
      </c>
      <c r="AB379" s="536" t="e">
        <f t="shared" si="84"/>
        <v>#DIV/0!</v>
      </c>
      <c r="AC379" s="537" t="e">
        <f t="shared" si="89"/>
        <v>#DIV/0!</v>
      </c>
      <c r="AD379" s="538" t="e">
        <f>IF(INPUTS!$B$15="yes",AC379,AB379)</f>
        <v>#DIV/0!</v>
      </c>
      <c r="AE379" s="36" t="str">
        <f t="shared" si="90"/>
        <v>no</v>
      </c>
      <c r="AF379" s="36"/>
      <c r="AG379" s="389" t="e">
        <f>P379*('upper bound Kenaga'!$F$36/100)</f>
        <v>#DIV/0!</v>
      </c>
      <c r="AH379" s="36"/>
      <c r="AI379" s="389" t="e">
        <f>P379*('upper bound Kenaga'!$F$96/100)</f>
        <v>#DIV/0!</v>
      </c>
      <c r="AJ379" s="36"/>
      <c r="AK379" s="36"/>
      <c r="AL379" s="36"/>
      <c r="AM379" s="36"/>
      <c r="AN379" s="36"/>
      <c r="AO379" s="36"/>
    </row>
    <row r="380" spans="10:41" s="1" customFormat="1">
      <c r="J380" s="6">
        <f>COUNTIF(K$21:K380,"=yes")</f>
        <v>1</v>
      </c>
      <c r="K380" s="533" t="str">
        <f>IF(LOOKUP(VALUE(M380),INPUTS!$G$6:$G$35)=M380,"yes","no")</f>
        <v>no</v>
      </c>
      <c r="L380" s="533">
        <f>IF(K380="yes",(LOOKUP(J380,INPUTS!$E$6:$E$35,INPUTS!$F$6:$F$35)),0)</f>
        <v>0</v>
      </c>
      <c r="M380" s="135">
        <f t="shared" si="78"/>
        <v>359</v>
      </c>
      <c r="N380" s="135">
        <f t="shared" si="79"/>
        <v>1</v>
      </c>
      <c r="O380" s="135">
        <f t="shared" si="80"/>
        <v>0</v>
      </c>
      <c r="P380" s="536" t="e">
        <f t="shared" si="91"/>
        <v>#DIV/0!</v>
      </c>
      <c r="Q380" s="537" t="e">
        <f t="shared" si="85"/>
        <v>#DIV/0!</v>
      </c>
      <c r="R380" s="538" t="e">
        <f>IF(INPUTS!$B$15="yes",Q380,P380)</f>
        <v>#DIV/0!</v>
      </c>
      <c r="S380" s="536" t="e">
        <f t="shared" si="81"/>
        <v>#DIV/0!</v>
      </c>
      <c r="T380" s="537" t="e">
        <f t="shared" si="86"/>
        <v>#DIV/0!</v>
      </c>
      <c r="U380" s="538" t="e">
        <f>IF(INPUTS!$B$15="yes",T380,S380)</f>
        <v>#DIV/0!</v>
      </c>
      <c r="V380" s="536" t="e">
        <f t="shared" si="82"/>
        <v>#DIV/0!</v>
      </c>
      <c r="W380" s="537" t="e">
        <f t="shared" si="87"/>
        <v>#DIV/0!</v>
      </c>
      <c r="X380" s="538" t="e">
        <f>IF(INPUTS!$B$15="yes",W380,V380)</f>
        <v>#DIV/0!</v>
      </c>
      <c r="Y380" s="536" t="e">
        <f t="shared" si="83"/>
        <v>#DIV/0!</v>
      </c>
      <c r="Z380" s="537" t="e">
        <f t="shared" si="88"/>
        <v>#DIV/0!</v>
      </c>
      <c r="AA380" s="538" t="e">
        <f>IF(INPUTS!$B$15="yes",Z380,Y380)</f>
        <v>#DIV/0!</v>
      </c>
      <c r="AB380" s="536" t="e">
        <f t="shared" si="84"/>
        <v>#DIV/0!</v>
      </c>
      <c r="AC380" s="537" t="e">
        <f t="shared" si="89"/>
        <v>#DIV/0!</v>
      </c>
      <c r="AD380" s="538" t="e">
        <f>IF(INPUTS!$B$15="yes",AC380,AB380)</f>
        <v>#DIV/0!</v>
      </c>
      <c r="AE380" s="36" t="str">
        <f t="shared" si="90"/>
        <v>no</v>
      </c>
      <c r="AF380" s="36"/>
      <c r="AG380" s="389" t="e">
        <f>P380*('upper bound Kenaga'!$F$36/100)</f>
        <v>#DIV/0!</v>
      </c>
      <c r="AH380" s="36"/>
      <c r="AI380" s="389" t="e">
        <f>P380*('upper bound Kenaga'!$F$96/100)</f>
        <v>#DIV/0!</v>
      </c>
      <c r="AJ380" s="36"/>
      <c r="AK380" s="36"/>
      <c r="AL380" s="36"/>
      <c r="AM380" s="36"/>
      <c r="AN380" s="36"/>
      <c r="AO380" s="36"/>
    </row>
    <row r="381" spans="10:41" s="1" customFormat="1">
      <c r="J381" s="6">
        <f>COUNTIF(K$21:K381,"=yes")</f>
        <v>1</v>
      </c>
      <c r="K381" s="533" t="str">
        <f>IF(LOOKUP(VALUE(M381),INPUTS!$G$6:$G$35)=M381,"yes","no")</f>
        <v>no</v>
      </c>
      <c r="L381" s="533">
        <f>IF(K381="yes",(LOOKUP(J381,INPUTS!$E$6:$E$35,INPUTS!$F$6:$F$35)),0)</f>
        <v>0</v>
      </c>
      <c r="M381" s="135">
        <f t="shared" si="78"/>
        <v>360</v>
      </c>
      <c r="N381" s="135">
        <f t="shared" si="79"/>
        <v>1</v>
      </c>
      <c r="O381" s="135">
        <f t="shared" si="80"/>
        <v>0</v>
      </c>
      <c r="P381" s="536" t="e">
        <f t="shared" si="91"/>
        <v>#DIV/0!</v>
      </c>
      <c r="Q381" s="537" t="e">
        <f t="shared" si="85"/>
        <v>#DIV/0!</v>
      </c>
      <c r="R381" s="538" t="e">
        <f>IF(INPUTS!$B$15="yes",Q381,P381)</f>
        <v>#DIV/0!</v>
      </c>
      <c r="S381" s="536" t="e">
        <f t="shared" si="81"/>
        <v>#DIV/0!</v>
      </c>
      <c r="T381" s="537" t="e">
        <f t="shared" si="86"/>
        <v>#DIV/0!</v>
      </c>
      <c r="U381" s="538" t="e">
        <f>IF(INPUTS!$B$15="yes",T381,S381)</f>
        <v>#DIV/0!</v>
      </c>
      <c r="V381" s="536" t="e">
        <f t="shared" si="82"/>
        <v>#DIV/0!</v>
      </c>
      <c r="W381" s="537" t="e">
        <f t="shared" si="87"/>
        <v>#DIV/0!</v>
      </c>
      <c r="X381" s="538" t="e">
        <f>IF(INPUTS!$B$15="yes",W381,V381)</f>
        <v>#DIV/0!</v>
      </c>
      <c r="Y381" s="536" t="e">
        <f t="shared" si="83"/>
        <v>#DIV/0!</v>
      </c>
      <c r="Z381" s="537" t="e">
        <f t="shared" si="88"/>
        <v>#DIV/0!</v>
      </c>
      <c r="AA381" s="538" t="e">
        <f>IF(INPUTS!$B$15="yes",Z381,Y381)</f>
        <v>#DIV/0!</v>
      </c>
      <c r="AB381" s="536" t="e">
        <f t="shared" si="84"/>
        <v>#DIV/0!</v>
      </c>
      <c r="AC381" s="537" t="e">
        <f t="shared" si="89"/>
        <v>#DIV/0!</v>
      </c>
      <c r="AD381" s="538" t="e">
        <f>IF(INPUTS!$B$15="yes",AC381,AB381)</f>
        <v>#DIV/0!</v>
      </c>
      <c r="AE381" s="36" t="str">
        <f t="shared" si="90"/>
        <v>no</v>
      </c>
      <c r="AF381" s="36"/>
      <c r="AG381" s="389" t="e">
        <f>P381*('upper bound Kenaga'!$F$36/100)</f>
        <v>#DIV/0!</v>
      </c>
      <c r="AH381" s="36"/>
      <c r="AI381" s="389" t="e">
        <f>P381*('upper bound Kenaga'!$F$96/100)</f>
        <v>#DIV/0!</v>
      </c>
      <c r="AJ381" s="36"/>
      <c r="AK381" s="36"/>
      <c r="AL381" s="36"/>
      <c r="AM381" s="36"/>
      <c r="AN381" s="36"/>
      <c r="AO381" s="36"/>
    </row>
    <row r="382" spans="10:41" s="1" customFormat="1">
      <c r="J382" s="6">
        <f>COUNTIF(K$21:K382,"=yes")</f>
        <v>1</v>
      </c>
      <c r="K382" s="533" t="str">
        <f>IF(LOOKUP(VALUE(M382),INPUTS!$G$6:$G$35)=M382,"yes","no")</f>
        <v>no</v>
      </c>
      <c r="L382" s="533">
        <f>IF(K382="yes",(LOOKUP(J382,INPUTS!$E$6:$E$35,INPUTS!$F$6:$F$35)),0)</f>
        <v>0</v>
      </c>
      <c r="M382" s="135">
        <f t="shared" si="78"/>
        <v>361</v>
      </c>
      <c r="N382" s="135">
        <f t="shared" si="79"/>
        <v>1</v>
      </c>
      <c r="O382" s="135">
        <f t="shared" si="80"/>
        <v>0</v>
      </c>
      <c r="P382" s="536" t="e">
        <f t="shared" si="91"/>
        <v>#DIV/0!</v>
      </c>
      <c r="Q382" s="537" t="e">
        <f t="shared" si="85"/>
        <v>#DIV/0!</v>
      </c>
      <c r="R382" s="538" t="e">
        <f>IF(INPUTS!$B$15="yes",Q382,P382)</f>
        <v>#DIV/0!</v>
      </c>
      <c r="S382" s="536" t="e">
        <f t="shared" si="81"/>
        <v>#DIV/0!</v>
      </c>
      <c r="T382" s="537" t="e">
        <f t="shared" si="86"/>
        <v>#DIV/0!</v>
      </c>
      <c r="U382" s="538" t="e">
        <f>IF(INPUTS!$B$15="yes",T382,S382)</f>
        <v>#DIV/0!</v>
      </c>
      <c r="V382" s="536" t="e">
        <f t="shared" si="82"/>
        <v>#DIV/0!</v>
      </c>
      <c r="W382" s="537" t="e">
        <f t="shared" si="87"/>
        <v>#DIV/0!</v>
      </c>
      <c r="X382" s="538" t="e">
        <f>IF(INPUTS!$B$15="yes",W382,V382)</f>
        <v>#DIV/0!</v>
      </c>
      <c r="Y382" s="536" t="e">
        <f t="shared" si="83"/>
        <v>#DIV/0!</v>
      </c>
      <c r="Z382" s="537" t="e">
        <f t="shared" si="88"/>
        <v>#DIV/0!</v>
      </c>
      <c r="AA382" s="538" t="e">
        <f>IF(INPUTS!$B$15="yes",Z382,Y382)</f>
        <v>#DIV/0!</v>
      </c>
      <c r="AB382" s="536" t="e">
        <f t="shared" si="84"/>
        <v>#DIV/0!</v>
      </c>
      <c r="AC382" s="537" t="e">
        <f t="shared" si="89"/>
        <v>#DIV/0!</v>
      </c>
      <c r="AD382" s="538" t="e">
        <f>IF(INPUTS!$B$15="yes",AC382,AB382)</f>
        <v>#DIV/0!</v>
      </c>
      <c r="AE382" s="36" t="str">
        <f t="shared" si="90"/>
        <v>no</v>
      </c>
      <c r="AF382" s="36"/>
      <c r="AG382" s="389" t="e">
        <f>P382*('upper bound Kenaga'!$F$36/100)</f>
        <v>#DIV/0!</v>
      </c>
      <c r="AH382" s="36"/>
      <c r="AI382" s="389" t="e">
        <f>P382*('upper bound Kenaga'!$F$96/100)</f>
        <v>#DIV/0!</v>
      </c>
      <c r="AJ382" s="36"/>
      <c r="AK382" s="36"/>
      <c r="AL382" s="36"/>
      <c r="AM382" s="36"/>
      <c r="AN382" s="36"/>
      <c r="AO382" s="36"/>
    </row>
    <row r="383" spans="10:41" s="1" customFormat="1">
      <c r="J383" s="6">
        <f>COUNTIF(K$21:K383,"=yes")</f>
        <v>1</v>
      </c>
      <c r="K383" s="533" t="str">
        <f>IF(LOOKUP(VALUE(M383),INPUTS!$G$6:$G$35)=M383,"yes","no")</f>
        <v>no</v>
      </c>
      <c r="L383" s="533">
        <f>IF(K383="yes",(LOOKUP(J383,INPUTS!$E$6:$E$35,INPUTS!$F$6:$F$35)),0)</f>
        <v>0</v>
      </c>
      <c r="M383" s="135">
        <f t="shared" si="78"/>
        <v>362</v>
      </c>
      <c r="N383" s="135">
        <f t="shared" si="79"/>
        <v>1</v>
      </c>
      <c r="O383" s="135">
        <f t="shared" si="80"/>
        <v>0</v>
      </c>
      <c r="P383" s="536" t="e">
        <f t="shared" si="91"/>
        <v>#DIV/0!</v>
      </c>
      <c r="Q383" s="537" t="e">
        <f t="shared" si="85"/>
        <v>#DIV/0!</v>
      </c>
      <c r="R383" s="538" t="e">
        <f>IF(INPUTS!$B$15="yes",Q383,P383)</f>
        <v>#DIV/0!</v>
      </c>
      <c r="S383" s="536" t="e">
        <f t="shared" si="81"/>
        <v>#DIV/0!</v>
      </c>
      <c r="T383" s="537" t="e">
        <f t="shared" si="86"/>
        <v>#DIV/0!</v>
      </c>
      <c r="U383" s="538" t="e">
        <f>IF(INPUTS!$B$15="yes",T383,S383)</f>
        <v>#DIV/0!</v>
      </c>
      <c r="V383" s="536" t="e">
        <f t="shared" si="82"/>
        <v>#DIV/0!</v>
      </c>
      <c r="W383" s="537" t="e">
        <f t="shared" si="87"/>
        <v>#DIV/0!</v>
      </c>
      <c r="X383" s="538" t="e">
        <f>IF(INPUTS!$B$15="yes",W383,V383)</f>
        <v>#DIV/0!</v>
      </c>
      <c r="Y383" s="536" t="e">
        <f t="shared" si="83"/>
        <v>#DIV/0!</v>
      </c>
      <c r="Z383" s="537" t="e">
        <f t="shared" si="88"/>
        <v>#DIV/0!</v>
      </c>
      <c r="AA383" s="538" t="e">
        <f>IF(INPUTS!$B$15="yes",Z383,Y383)</f>
        <v>#DIV/0!</v>
      </c>
      <c r="AB383" s="536" t="e">
        <f t="shared" si="84"/>
        <v>#DIV/0!</v>
      </c>
      <c r="AC383" s="537" t="e">
        <f t="shared" si="89"/>
        <v>#DIV/0!</v>
      </c>
      <c r="AD383" s="538" t="e">
        <f>IF(INPUTS!$B$15="yes",AC383,AB383)</f>
        <v>#DIV/0!</v>
      </c>
      <c r="AE383" s="36" t="str">
        <f t="shared" si="90"/>
        <v>no</v>
      </c>
      <c r="AF383" s="36"/>
      <c r="AG383" s="389" t="e">
        <f>P383*('upper bound Kenaga'!$F$36/100)</f>
        <v>#DIV/0!</v>
      </c>
      <c r="AH383" s="36"/>
      <c r="AI383" s="389" t="e">
        <f>P383*('upper bound Kenaga'!$F$96/100)</f>
        <v>#DIV/0!</v>
      </c>
      <c r="AJ383" s="36"/>
      <c r="AK383" s="36"/>
      <c r="AL383" s="36"/>
      <c r="AM383" s="36"/>
      <c r="AN383" s="36"/>
      <c r="AO383" s="36"/>
    </row>
    <row r="384" spans="10:41" s="1" customFormat="1">
      <c r="J384" s="6">
        <f>COUNTIF(K$21:K384,"=yes")</f>
        <v>1</v>
      </c>
      <c r="K384" s="533" t="str">
        <f>IF(LOOKUP(VALUE(M384),INPUTS!$G$6:$G$35)=M384,"yes","no")</f>
        <v>no</v>
      </c>
      <c r="L384" s="533">
        <f>IF(K384="yes",(LOOKUP(J384,INPUTS!$E$6:$E$35,INPUTS!$F$6:$F$35)),0)</f>
        <v>0</v>
      </c>
      <c r="M384" s="135">
        <f t="shared" si="78"/>
        <v>363</v>
      </c>
      <c r="N384" s="135">
        <f t="shared" si="79"/>
        <v>1</v>
      </c>
      <c r="O384" s="135">
        <f t="shared" si="80"/>
        <v>0</v>
      </c>
      <c r="P384" s="536" t="e">
        <f t="shared" si="91"/>
        <v>#DIV/0!</v>
      </c>
      <c r="Q384" s="537" t="e">
        <f t="shared" si="85"/>
        <v>#DIV/0!</v>
      </c>
      <c r="R384" s="538" t="e">
        <f>IF(INPUTS!$B$15="yes",Q384,P384)</f>
        <v>#DIV/0!</v>
      </c>
      <c r="S384" s="536" t="e">
        <f t="shared" si="81"/>
        <v>#DIV/0!</v>
      </c>
      <c r="T384" s="537" t="e">
        <f t="shared" si="86"/>
        <v>#DIV/0!</v>
      </c>
      <c r="U384" s="538" t="e">
        <f>IF(INPUTS!$B$15="yes",T384,S384)</f>
        <v>#DIV/0!</v>
      </c>
      <c r="V384" s="536" t="e">
        <f t="shared" si="82"/>
        <v>#DIV/0!</v>
      </c>
      <c r="W384" s="537" t="e">
        <f t="shared" si="87"/>
        <v>#DIV/0!</v>
      </c>
      <c r="X384" s="538" t="e">
        <f>IF(INPUTS!$B$15="yes",W384,V384)</f>
        <v>#DIV/0!</v>
      </c>
      <c r="Y384" s="536" t="e">
        <f t="shared" si="83"/>
        <v>#DIV/0!</v>
      </c>
      <c r="Z384" s="537" t="e">
        <f t="shared" si="88"/>
        <v>#DIV/0!</v>
      </c>
      <c r="AA384" s="538" t="e">
        <f>IF(INPUTS!$B$15="yes",Z384,Y384)</f>
        <v>#DIV/0!</v>
      </c>
      <c r="AB384" s="536" t="e">
        <f t="shared" si="84"/>
        <v>#DIV/0!</v>
      </c>
      <c r="AC384" s="537" t="e">
        <f t="shared" si="89"/>
        <v>#DIV/0!</v>
      </c>
      <c r="AD384" s="538" t="e">
        <f>IF(INPUTS!$B$15="yes",AC384,AB384)</f>
        <v>#DIV/0!</v>
      </c>
      <c r="AE384" s="36" t="str">
        <f t="shared" si="90"/>
        <v>no</v>
      </c>
      <c r="AF384" s="36"/>
      <c r="AG384" s="389" t="e">
        <f>P384*('upper bound Kenaga'!$F$36/100)</f>
        <v>#DIV/0!</v>
      </c>
      <c r="AH384" s="36"/>
      <c r="AI384" s="389" t="e">
        <f>P384*('upper bound Kenaga'!$F$96/100)</f>
        <v>#DIV/0!</v>
      </c>
      <c r="AJ384" s="36"/>
      <c r="AK384" s="36"/>
      <c r="AL384" s="36"/>
      <c r="AM384" s="36"/>
      <c r="AN384" s="36"/>
      <c r="AO384" s="36"/>
    </row>
    <row r="385" spans="10:41" s="1" customFormat="1">
      <c r="J385" s="6">
        <f>COUNTIF(K$21:K385,"=yes")</f>
        <v>1</v>
      </c>
      <c r="K385" s="533" t="str">
        <f>IF(LOOKUP(VALUE(M385),INPUTS!$G$6:$G$35)=M385,"yes","no")</f>
        <v>no</v>
      </c>
      <c r="L385" s="533">
        <f>IF(K385="yes",(LOOKUP(J385,INPUTS!$E$6:$E$35,INPUTS!$F$6:$F$35)),0)</f>
        <v>0</v>
      </c>
      <c r="M385" s="135">
        <f t="shared" si="78"/>
        <v>364</v>
      </c>
      <c r="N385" s="135">
        <f t="shared" si="79"/>
        <v>1</v>
      </c>
      <c r="O385" s="135">
        <f t="shared" si="80"/>
        <v>0</v>
      </c>
      <c r="P385" s="536" t="e">
        <f t="shared" si="91"/>
        <v>#DIV/0!</v>
      </c>
      <c r="Q385" s="537" t="e">
        <f t="shared" si="85"/>
        <v>#DIV/0!</v>
      </c>
      <c r="R385" s="538" t="e">
        <f>IF(INPUTS!$B$15="yes",Q385,P385)</f>
        <v>#DIV/0!</v>
      </c>
      <c r="S385" s="536" t="e">
        <f t="shared" si="81"/>
        <v>#DIV/0!</v>
      </c>
      <c r="T385" s="537" t="e">
        <f t="shared" si="86"/>
        <v>#DIV/0!</v>
      </c>
      <c r="U385" s="538" t="e">
        <f>IF(INPUTS!$B$15="yes",T385,S385)</f>
        <v>#DIV/0!</v>
      </c>
      <c r="V385" s="536" t="e">
        <f t="shared" si="82"/>
        <v>#DIV/0!</v>
      </c>
      <c r="W385" s="537" t="e">
        <f t="shared" si="87"/>
        <v>#DIV/0!</v>
      </c>
      <c r="X385" s="538" t="e">
        <f>IF(INPUTS!$B$15="yes",W385,V385)</f>
        <v>#DIV/0!</v>
      </c>
      <c r="Y385" s="536" t="e">
        <f t="shared" si="83"/>
        <v>#DIV/0!</v>
      </c>
      <c r="Z385" s="537" t="e">
        <f t="shared" si="88"/>
        <v>#DIV/0!</v>
      </c>
      <c r="AA385" s="538" t="e">
        <f>IF(INPUTS!$B$15="yes",Z385,Y385)</f>
        <v>#DIV/0!</v>
      </c>
      <c r="AB385" s="536" t="e">
        <f t="shared" si="84"/>
        <v>#DIV/0!</v>
      </c>
      <c r="AC385" s="537" t="e">
        <f t="shared" si="89"/>
        <v>#DIV/0!</v>
      </c>
      <c r="AD385" s="538" t="e">
        <f>IF(INPUTS!$B$15="yes",AC385,AB385)</f>
        <v>#DIV/0!</v>
      </c>
      <c r="AE385" s="36" t="str">
        <f t="shared" si="90"/>
        <v>no</v>
      </c>
      <c r="AF385" s="36"/>
      <c r="AG385" s="389" t="e">
        <f>P385*('upper bound Kenaga'!$F$36/100)</f>
        <v>#DIV/0!</v>
      </c>
      <c r="AH385" s="36"/>
      <c r="AI385" s="389" t="e">
        <f>P385*('upper bound Kenaga'!$F$96/100)</f>
        <v>#DIV/0!</v>
      </c>
      <c r="AJ385" s="36"/>
      <c r="AK385" s="36"/>
      <c r="AL385" s="36"/>
      <c r="AM385" s="36"/>
      <c r="AN385" s="36"/>
      <c r="AO385" s="36"/>
    </row>
    <row r="386" spans="10:41" s="1" customFormat="1">
      <c r="J386" s="6">
        <f>COUNTIF(K$21:K386,"=yes")</f>
        <v>1</v>
      </c>
      <c r="K386" s="533" t="str">
        <f>IF(LOOKUP(VALUE(M386),INPUTS!$G$6:$G$35)=M386,"yes","no")</f>
        <v>no</v>
      </c>
      <c r="L386" s="533">
        <f>IF(K386="yes",(LOOKUP(J386,INPUTS!$E$6:$E$35,INPUTS!$F$6:$F$35)),0)</f>
        <v>0</v>
      </c>
      <c r="M386" s="135">
        <f t="shared" si="78"/>
        <v>365</v>
      </c>
      <c r="N386" s="135">
        <f t="shared" si="79"/>
        <v>1</v>
      </c>
      <c r="O386" s="135">
        <f t="shared" si="80"/>
        <v>0</v>
      </c>
      <c r="P386" s="536" t="e">
        <f t="shared" si="91"/>
        <v>#DIV/0!</v>
      </c>
      <c r="Q386" s="537" t="e">
        <f t="shared" si="85"/>
        <v>#DIV/0!</v>
      </c>
      <c r="R386" s="538" t="e">
        <f>IF(INPUTS!$B$15="yes",Q386,P386)</f>
        <v>#DIV/0!</v>
      </c>
      <c r="S386" s="536" t="e">
        <f t="shared" si="81"/>
        <v>#DIV/0!</v>
      </c>
      <c r="T386" s="537" t="e">
        <f t="shared" si="86"/>
        <v>#DIV/0!</v>
      </c>
      <c r="U386" s="538" t="e">
        <f>IF(INPUTS!$B$15="yes",T386,S386)</f>
        <v>#DIV/0!</v>
      </c>
      <c r="V386" s="536" t="e">
        <f t="shared" si="82"/>
        <v>#DIV/0!</v>
      </c>
      <c r="W386" s="537" t="e">
        <f t="shared" si="87"/>
        <v>#DIV/0!</v>
      </c>
      <c r="X386" s="538" t="e">
        <f>IF(INPUTS!$B$15="yes",W386,V386)</f>
        <v>#DIV/0!</v>
      </c>
      <c r="Y386" s="536" t="e">
        <f t="shared" si="83"/>
        <v>#DIV/0!</v>
      </c>
      <c r="Z386" s="537" t="e">
        <f t="shared" si="88"/>
        <v>#DIV/0!</v>
      </c>
      <c r="AA386" s="538" t="e">
        <f>IF(INPUTS!$B$15="yes",Z386,Y386)</f>
        <v>#DIV/0!</v>
      </c>
      <c r="AB386" s="536" t="e">
        <f t="shared" si="84"/>
        <v>#DIV/0!</v>
      </c>
      <c r="AC386" s="537" t="e">
        <f t="shared" si="89"/>
        <v>#DIV/0!</v>
      </c>
      <c r="AD386" s="538" t="e">
        <f>IF(INPUTS!$B$15="yes",AC386,AB386)</f>
        <v>#DIV/0!</v>
      </c>
      <c r="AE386" s="36" t="str">
        <f t="shared" si="90"/>
        <v>no</v>
      </c>
      <c r="AF386" s="36"/>
      <c r="AG386" s="389" t="e">
        <f>P386*('upper bound Kenaga'!$F$36/100)</f>
        <v>#DIV/0!</v>
      </c>
      <c r="AH386" s="36"/>
      <c r="AI386" s="389" t="e">
        <f>P386*('upper bound Kenaga'!$F$96/100)</f>
        <v>#DIV/0!</v>
      </c>
      <c r="AJ386" s="36"/>
      <c r="AK386" s="36"/>
      <c r="AL386" s="36"/>
      <c r="AM386" s="36"/>
      <c r="AN386" s="36"/>
      <c r="AO386" s="36"/>
    </row>
    <row r="387" spans="10:41" s="1" customFormat="1">
      <c r="J387" s="6">
        <f>COUNTIF(K$21:K387,"=yes")</f>
        <v>1</v>
      </c>
      <c r="K387" s="533" t="str">
        <f>IF(LOOKUP(VALUE(M387),INPUTS!$G$6:$G$35)=M387,"yes","no")</f>
        <v>no</v>
      </c>
      <c r="L387" s="533">
        <f>IF(K387="yes",(LOOKUP(J387,INPUTS!$E$6:$E$35,INPUTS!$F$6:$F$35)),0)</f>
        <v>0</v>
      </c>
      <c r="M387" s="135">
        <f t="shared" si="78"/>
        <v>366</v>
      </c>
      <c r="N387" s="135">
        <f t="shared" si="79"/>
        <v>1</v>
      </c>
      <c r="O387" s="135">
        <f t="shared" si="80"/>
        <v>0</v>
      </c>
      <c r="P387" s="536" t="e">
        <f t="shared" si="91"/>
        <v>#DIV/0!</v>
      </c>
      <c r="Q387" s="537" t="e">
        <f t="shared" si="85"/>
        <v>#DIV/0!</v>
      </c>
      <c r="R387" s="538" t="e">
        <f>IF(INPUTS!$B$15="yes",Q387,P387)</f>
        <v>#DIV/0!</v>
      </c>
      <c r="S387" s="536" t="e">
        <f t="shared" si="81"/>
        <v>#DIV/0!</v>
      </c>
      <c r="T387" s="537" t="e">
        <f t="shared" si="86"/>
        <v>#DIV/0!</v>
      </c>
      <c r="U387" s="538" t="e">
        <f>IF(INPUTS!$B$15="yes",T387,S387)</f>
        <v>#DIV/0!</v>
      </c>
      <c r="V387" s="536" t="e">
        <f t="shared" si="82"/>
        <v>#DIV/0!</v>
      </c>
      <c r="W387" s="537" t="e">
        <f t="shared" si="87"/>
        <v>#DIV/0!</v>
      </c>
      <c r="X387" s="538" t="e">
        <f>IF(INPUTS!$B$15="yes",W387,V387)</f>
        <v>#DIV/0!</v>
      </c>
      <c r="Y387" s="536" t="e">
        <f t="shared" si="83"/>
        <v>#DIV/0!</v>
      </c>
      <c r="Z387" s="537" t="e">
        <f t="shared" si="88"/>
        <v>#DIV/0!</v>
      </c>
      <c r="AA387" s="538" t="e">
        <f>IF(INPUTS!$B$15="yes",Z387,Y387)</f>
        <v>#DIV/0!</v>
      </c>
      <c r="AB387" s="536" t="e">
        <f t="shared" si="84"/>
        <v>#DIV/0!</v>
      </c>
      <c r="AC387" s="537" t="e">
        <f t="shared" si="89"/>
        <v>#DIV/0!</v>
      </c>
      <c r="AD387" s="538" t="e">
        <f>IF(INPUTS!$B$15="yes",AC387,AB387)</f>
        <v>#DIV/0!</v>
      </c>
      <c r="AE387" s="36" t="str">
        <f t="shared" si="90"/>
        <v>no</v>
      </c>
      <c r="AF387" s="36"/>
      <c r="AG387" s="389" t="e">
        <f>P387*('upper bound Kenaga'!$F$36/100)</f>
        <v>#DIV/0!</v>
      </c>
      <c r="AH387" s="36"/>
      <c r="AI387" s="389" t="e">
        <f>P387*('upper bound Kenaga'!$F$96/100)</f>
        <v>#DIV/0!</v>
      </c>
      <c r="AJ387" s="36"/>
      <c r="AK387" s="36"/>
      <c r="AL387" s="36"/>
      <c r="AM387" s="36"/>
      <c r="AN387" s="36"/>
      <c r="AO387" s="36"/>
    </row>
    <row r="388" spans="10:41" s="1" customFormat="1">
      <c r="J388" s="6">
        <f>COUNTIF(K$21:K388,"=yes")</f>
        <v>1</v>
      </c>
      <c r="K388" s="533" t="str">
        <f>IF(LOOKUP(VALUE(M388),INPUTS!$G$6:$G$35)=M388,"yes","no")</f>
        <v>no</v>
      </c>
      <c r="L388" s="533">
        <f>IF(K388="yes",(LOOKUP(J388,INPUTS!$E$6:$E$35,INPUTS!$F$6:$F$35)),0)</f>
        <v>0</v>
      </c>
      <c r="M388" s="135">
        <f t="shared" si="78"/>
        <v>367</v>
      </c>
      <c r="N388" s="135">
        <f t="shared" si="79"/>
        <v>1</v>
      </c>
      <c r="O388" s="135">
        <f t="shared" si="80"/>
        <v>0</v>
      </c>
      <c r="P388" s="536" t="e">
        <f t="shared" si="91"/>
        <v>#DIV/0!</v>
      </c>
      <c r="Q388" s="537" t="e">
        <f t="shared" si="85"/>
        <v>#DIV/0!</v>
      </c>
      <c r="R388" s="538" t="e">
        <f>IF(INPUTS!$B$15="yes",Q388,P388)</f>
        <v>#DIV/0!</v>
      </c>
      <c r="S388" s="536" t="e">
        <f t="shared" si="81"/>
        <v>#DIV/0!</v>
      </c>
      <c r="T388" s="537" t="e">
        <f t="shared" si="86"/>
        <v>#DIV/0!</v>
      </c>
      <c r="U388" s="538" t="e">
        <f>IF(INPUTS!$B$15="yes",T388,S388)</f>
        <v>#DIV/0!</v>
      </c>
      <c r="V388" s="536" t="e">
        <f t="shared" si="82"/>
        <v>#DIV/0!</v>
      </c>
      <c r="W388" s="537" t="e">
        <f t="shared" si="87"/>
        <v>#DIV/0!</v>
      </c>
      <c r="X388" s="538" t="e">
        <f>IF(INPUTS!$B$15="yes",W388,V388)</f>
        <v>#DIV/0!</v>
      </c>
      <c r="Y388" s="536" t="e">
        <f t="shared" si="83"/>
        <v>#DIV/0!</v>
      </c>
      <c r="Z388" s="537" t="e">
        <f t="shared" si="88"/>
        <v>#DIV/0!</v>
      </c>
      <c r="AA388" s="538" t="e">
        <f>IF(INPUTS!$B$15="yes",Z388,Y388)</f>
        <v>#DIV/0!</v>
      </c>
      <c r="AB388" s="536" t="e">
        <f t="shared" si="84"/>
        <v>#DIV/0!</v>
      </c>
      <c r="AC388" s="537" t="e">
        <f t="shared" si="89"/>
        <v>#DIV/0!</v>
      </c>
      <c r="AD388" s="538" t="e">
        <f>IF(INPUTS!$B$15="yes",AC388,AB388)</f>
        <v>#DIV/0!</v>
      </c>
      <c r="AE388" s="36" t="str">
        <f t="shared" si="90"/>
        <v>no</v>
      </c>
      <c r="AF388" s="36"/>
      <c r="AG388" s="389" t="e">
        <f>P388*('upper bound Kenaga'!$F$36/100)</f>
        <v>#DIV/0!</v>
      </c>
      <c r="AH388" s="36"/>
      <c r="AI388" s="389" t="e">
        <f>P388*('upper bound Kenaga'!$F$96/100)</f>
        <v>#DIV/0!</v>
      </c>
      <c r="AJ388" s="36"/>
      <c r="AK388" s="36"/>
      <c r="AL388" s="36"/>
      <c r="AM388" s="36"/>
      <c r="AN388" s="36"/>
      <c r="AO388" s="36"/>
    </row>
    <row r="389" spans="10:41" s="1" customFormat="1">
      <c r="J389" s="6">
        <f>COUNTIF(K$21:K389,"=yes")</f>
        <v>1</v>
      </c>
      <c r="K389" s="533" t="str">
        <f>IF(LOOKUP(VALUE(M389),INPUTS!$G$6:$G$35)=M389,"yes","no")</f>
        <v>no</v>
      </c>
      <c r="L389" s="533">
        <f>IF(K389="yes",(LOOKUP(J389,INPUTS!$E$6:$E$35,INPUTS!$F$6:$F$35)),0)</f>
        <v>0</v>
      </c>
      <c r="M389" s="135">
        <f t="shared" si="78"/>
        <v>368</v>
      </c>
      <c r="N389" s="135">
        <f t="shared" si="79"/>
        <v>1</v>
      </c>
      <c r="O389" s="135">
        <f t="shared" si="80"/>
        <v>0</v>
      </c>
      <c r="P389" s="536" t="e">
        <f t="shared" si="91"/>
        <v>#DIV/0!</v>
      </c>
      <c r="Q389" s="537" t="e">
        <f t="shared" si="85"/>
        <v>#DIV/0!</v>
      </c>
      <c r="R389" s="538" t="e">
        <f>IF(INPUTS!$B$15="yes",Q389,P389)</f>
        <v>#DIV/0!</v>
      </c>
      <c r="S389" s="536" t="e">
        <f t="shared" si="81"/>
        <v>#DIV/0!</v>
      </c>
      <c r="T389" s="537" t="e">
        <f t="shared" si="86"/>
        <v>#DIV/0!</v>
      </c>
      <c r="U389" s="538" t="e">
        <f>IF(INPUTS!$B$15="yes",T389,S389)</f>
        <v>#DIV/0!</v>
      </c>
      <c r="V389" s="536" t="e">
        <f t="shared" si="82"/>
        <v>#DIV/0!</v>
      </c>
      <c r="W389" s="537" t="e">
        <f t="shared" si="87"/>
        <v>#DIV/0!</v>
      </c>
      <c r="X389" s="538" t="e">
        <f>IF(INPUTS!$B$15="yes",W389,V389)</f>
        <v>#DIV/0!</v>
      </c>
      <c r="Y389" s="536" t="e">
        <f t="shared" si="83"/>
        <v>#DIV/0!</v>
      </c>
      <c r="Z389" s="537" t="e">
        <f t="shared" si="88"/>
        <v>#DIV/0!</v>
      </c>
      <c r="AA389" s="538" t="e">
        <f>IF(INPUTS!$B$15="yes",Z389,Y389)</f>
        <v>#DIV/0!</v>
      </c>
      <c r="AB389" s="536" t="e">
        <f t="shared" si="84"/>
        <v>#DIV/0!</v>
      </c>
      <c r="AC389" s="537" t="e">
        <f t="shared" si="89"/>
        <v>#DIV/0!</v>
      </c>
      <c r="AD389" s="538" t="e">
        <f>IF(INPUTS!$B$15="yes",AC389,AB389)</f>
        <v>#DIV/0!</v>
      </c>
      <c r="AE389" s="36" t="str">
        <f t="shared" si="90"/>
        <v>no</v>
      </c>
      <c r="AF389" s="36"/>
      <c r="AG389" s="389" t="e">
        <f>P389*('upper bound Kenaga'!$F$36/100)</f>
        <v>#DIV/0!</v>
      </c>
      <c r="AH389" s="36"/>
      <c r="AI389" s="389" t="e">
        <f>P389*('upper bound Kenaga'!$F$96/100)</f>
        <v>#DIV/0!</v>
      </c>
      <c r="AJ389" s="36"/>
      <c r="AK389" s="36"/>
      <c r="AL389" s="36"/>
      <c r="AM389" s="36"/>
      <c r="AN389" s="36"/>
      <c r="AO389" s="36"/>
    </row>
    <row r="390" spans="10:41" s="1" customFormat="1">
      <c r="J390" s="6">
        <f>COUNTIF(K$21:K390,"=yes")</f>
        <v>1</v>
      </c>
      <c r="K390" s="533" t="str">
        <f>IF(LOOKUP(VALUE(M390),INPUTS!$G$6:$G$35)=M390,"yes","no")</f>
        <v>no</v>
      </c>
      <c r="L390" s="533">
        <f>IF(K390="yes",(LOOKUP(J390,INPUTS!$E$6:$E$35,INPUTS!$F$6:$F$35)),0)</f>
        <v>0</v>
      </c>
      <c r="M390" s="135">
        <f t="shared" si="78"/>
        <v>369</v>
      </c>
      <c r="N390" s="135">
        <f t="shared" si="79"/>
        <v>1</v>
      </c>
      <c r="O390" s="135">
        <f t="shared" si="80"/>
        <v>0</v>
      </c>
      <c r="P390" s="536" t="e">
        <f t="shared" si="91"/>
        <v>#DIV/0!</v>
      </c>
      <c r="Q390" s="537" t="e">
        <f t="shared" si="85"/>
        <v>#DIV/0!</v>
      </c>
      <c r="R390" s="538" t="e">
        <f>IF(INPUTS!$B$15="yes",Q390,P390)</f>
        <v>#DIV/0!</v>
      </c>
      <c r="S390" s="536" t="e">
        <f t="shared" si="81"/>
        <v>#DIV/0!</v>
      </c>
      <c r="T390" s="537" t="e">
        <f t="shared" si="86"/>
        <v>#DIV/0!</v>
      </c>
      <c r="U390" s="538" t="e">
        <f>IF(INPUTS!$B$15="yes",T390,S390)</f>
        <v>#DIV/0!</v>
      </c>
      <c r="V390" s="536" t="e">
        <f t="shared" si="82"/>
        <v>#DIV/0!</v>
      </c>
      <c r="W390" s="537" t="e">
        <f t="shared" si="87"/>
        <v>#DIV/0!</v>
      </c>
      <c r="X390" s="538" t="e">
        <f>IF(INPUTS!$B$15="yes",W390,V390)</f>
        <v>#DIV/0!</v>
      </c>
      <c r="Y390" s="536" t="e">
        <f t="shared" si="83"/>
        <v>#DIV/0!</v>
      </c>
      <c r="Z390" s="537" t="e">
        <f t="shared" si="88"/>
        <v>#DIV/0!</v>
      </c>
      <c r="AA390" s="538" t="e">
        <f>IF(INPUTS!$B$15="yes",Z390,Y390)</f>
        <v>#DIV/0!</v>
      </c>
      <c r="AB390" s="536" t="e">
        <f t="shared" si="84"/>
        <v>#DIV/0!</v>
      </c>
      <c r="AC390" s="537" t="e">
        <f t="shared" si="89"/>
        <v>#DIV/0!</v>
      </c>
      <c r="AD390" s="538" t="e">
        <f>IF(INPUTS!$B$15="yes",AC390,AB390)</f>
        <v>#DIV/0!</v>
      </c>
      <c r="AE390" s="36" t="str">
        <f t="shared" si="90"/>
        <v>no</v>
      </c>
      <c r="AF390" s="36"/>
      <c r="AG390" s="389" t="e">
        <f>P390*('upper bound Kenaga'!$F$36/100)</f>
        <v>#DIV/0!</v>
      </c>
      <c r="AH390" s="36"/>
      <c r="AI390" s="389" t="e">
        <f>P390*('upper bound Kenaga'!$F$96/100)</f>
        <v>#DIV/0!</v>
      </c>
      <c r="AJ390" s="36"/>
      <c r="AK390" s="36"/>
      <c r="AL390" s="36"/>
      <c r="AM390" s="36"/>
      <c r="AN390" s="36"/>
      <c r="AO390" s="36"/>
    </row>
    <row r="391" spans="10:41" s="1" customFormat="1" ht="13.5" thickBot="1">
      <c r="J391" s="6">
        <f>COUNTIF(K$21:K391,"=yes")</f>
        <v>1</v>
      </c>
      <c r="K391" s="533" t="str">
        <f>IF(LOOKUP(VALUE(M391),INPUTS!$G$6:$G$35)=M391,"yes","no")</f>
        <v>no</v>
      </c>
      <c r="L391" s="533">
        <f>IF(K391="yes",(LOOKUP(J391,INPUTS!$E$6:$E$35,INPUTS!$F$6:$F$35)),0)</f>
        <v>0</v>
      </c>
      <c r="M391" s="135">
        <f t="shared" si="78"/>
        <v>370</v>
      </c>
      <c r="N391" s="135">
        <f t="shared" si="79"/>
        <v>1</v>
      </c>
      <c r="O391" s="135">
        <f t="shared" si="80"/>
        <v>0</v>
      </c>
      <c r="P391" s="539" t="e">
        <f t="shared" si="91"/>
        <v>#DIV/0!</v>
      </c>
      <c r="Q391" s="537" t="e">
        <f t="shared" si="85"/>
        <v>#DIV/0!</v>
      </c>
      <c r="R391" s="538" t="e">
        <f>IF(INPUTS!$B$15="yes",Q391,P391)</f>
        <v>#DIV/0!</v>
      </c>
      <c r="S391" s="536" t="e">
        <f t="shared" si="81"/>
        <v>#DIV/0!</v>
      </c>
      <c r="T391" s="537" t="e">
        <f t="shared" si="86"/>
        <v>#DIV/0!</v>
      </c>
      <c r="U391" s="538" t="e">
        <f>IF(INPUTS!$B$15="yes",T391,S391)</f>
        <v>#DIV/0!</v>
      </c>
      <c r="V391" s="536" t="e">
        <f t="shared" si="82"/>
        <v>#DIV/0!</v>
      </c>
      <c r="W391" s="537" t="e">
        <f t="shared" si="87"/>
        <v>#DIV/0!</v>
      </c>
      <c r="X391" s="538" t="e">
        <f>IF(INPUTS!$B$15="yes",W391,V391)</f>
        <v>#DIV/0!</v>
      </c>
      <c r="Y391" s="536" t="e">
        <f t="shared" si="83"/>
        <v>#DIV/0!</v>
      </c>
      <c r="Z391" s="537" t="e">
        <f t="shared" si="88"/>
        <v>#DIV/0!</v>
      </c>
      <c r="AA391" s="538" t="e">
        <f>IF(INPUTS!$B$15="yes",Z391,Y391)</f>
        <v>#DIV/0!</v>
      </c>
      <c r="AB391" s="536" t="e">
        <f t="shared" si="84"/>
        <v>#DIV/0!</v>
      </c>
      <c r="AC391" s="537" t="e">
        <f t="shared" si="89"/>
        <v>#DIV/0!</v>
      </c>
      <c r="AD391" s="538" t="e">
        <f>IF(INPUTS!$B$15="yes",AC391,AB391)</f>
        <v>#DIV/0!</v>
      </c>
      <c r="AE391" s="36" t="str">
        <f t="shared" si="90"/>
        <v>no</v>
      </c>
      <c r="AF391" s="36"/>
      <c r="AG391" s="389" t="e">
        <f>P391*('upper bound Kenaga'!$F$36/100)</f>
        <v>#DIV/0!</v>
      </c>
      <c r="AH391" s="36"/>
      <c r="AI391" s="389" t="e">
        <f>P391*('upper bound Kenaga'!$F$96/100)</f>
        <v>#DIV/0!</v>
      </c>
      <c r="AJ391" s="36"/>
      <c r="AK391" s="36"/>
      <c r="AL391" s="36"/>
      <c r="AM391" s="36"/>
      <c r="AN391" s="36"/>
      <c r="AO391" s="36"/>
    </row>
    <row r="392" spans="10:41" s="1" customFormat="1">
      <c r="J392" s="6"/>
      <c r="K392"/>
      <c r="M392" s="6"/>
      <c r="N392" s="6"/>
      <c r="O392" s="6"/>
      <c r="P392" s="6"/>
      <c r="Q392" s="6"/>
      <c r="R392" s="6"/>
      <c r="S392" s="6"/>
      <c r="T392" s="6"/>
      <c r="AF392" s="36"/>
      <c r="AG392" s="36"/>
      <c r="AH392" s="36"/>
      <c r="AI392" s="36"/>
      <c r="AJ392" s="36"/>
      <c r="AK392" s="36"/>
    </row>
  </sheetData>
  <sheetProtection password="85F4" sheet="1" objects="1" scenarios="1"/>
  <mergeCells count="43">
    <mergeCell ref="A137:A139"/>
    <mergeCell ref="B137:C137"/>
    <mergeCell ref="D137:E137"/>
    <mergeCell ref="F137:G137"/>
    <mergeCell ref="AG15:AL15"/>
    <mergeCell ref="E113:G113"/>
    <mergeCell ref="B121:D121"/>
    <mergeCell ref="E121:G121"/>
    <mergeCell ref="A125:A127"/>
    <mergeCell ref="B125:C125"/>
    <mergeCell ref="D125:E125"/>
    <mergeCell ref="F125:G125"/>
    <mergeCell ref="A67:A68"/>
    <mergeCell ref="B67:D67"/>
    <mergeCell ref="B76:C77"/>
    <mergeCell ref="A112:A114"/>
    <mergeCell ref="B112:D112"/>
    <mergeCell ref="B113:D113"/>
    <mergeCell ref="A25:A26"/>
    <mergeCell ref="A50:A52"/>
    <mergeCell ref="B50:D50"/>
    <mergeCell ref="E51:G51"/>
    <mergeCell ref="A58:A60"/>
    <mergeCell ref="B58:D58"/>
    <mergeCell ref="F58:G58"/>
    <mergeCell ref="A20:A23"/>
    <mergeCell ref="B20:C20"/>
    <mergeCell ref="B21:C21"/>
    <mergeCell ref="B22:C22"/>
    <mergeCell ref="B23:C23"/>
    <mergeCell ref="AB19:AD19"/>
    <mergeCell ref="A1:C2"/>
    <mergeCell ref="B3:C3"/>
    <mergeCell ref="B4:C4"/>
    <mergeCell ref="B5:C5"/>
    <mergeCell ref="B12:C12"/>
    <mergeCell ref="A13:D14"/>
    <mergeCell ref="A15:A18"/>
    <mergeCell ref="K18:L18"/>
    <mergeCell ref="P19:R19"/>
    <mergeCell ref="S19:U19"/>
    <mergeCell ref="V19:X19"/>
    <mergeCell ref="Y19:AA19"/>
  </mergeCells>
  <conditionalFormatting sqref="A6:C6 A8:C9">
    <cfRule type="expression" dxfId="1" priority="1">
      <formula>$B$11="yes"</formula>
    </cfRule>
  </conditionalFormatting>
  <pageMargins left="0.7" right="0.7" top="0.75" bottom="0.75" header="0.3" footer="0.3"/>
  <pageSetup scale="55"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6" enableFormatConditionsCalculation="0">
    <tabColor indexed="46"/>
    <pageSetUpPr fitToPage="1"/>
  </sheetPr>
  <dimension ref="A1:T61"/>
  <sheetViews>
    <sheetView workbookViewId="0"/>
  </sheetViews>
  <sheetFormatPr defaultRowHeight="12.75"/>
  <cols>
    <col min="2" max="2" width="14.140625" customWidth="1"/>
    <col min="4" max="4" width="11.5703125" customWidth="1"/>
    <col min="7" max="7" width="12.28515625" customWidth="1"/>
    <col min="8" max="8" width="11.28515625" customWidth="1"/>
  </cols>
  <sheetData>
    <row r="1" spans="1:20" ht="15.75">
      <c r="A1" s="37"/>
      <c r="B1" s="120" t="s">
        <v>97</v>
      </c>
      <c r="C1" s="121">
        <f>'upper bound Kenaga'!B3</f>
        <v>0</v>
      </c>
      <c r="D1" s="10"/>
      <c r="E1" s="37"/>
      <c r="F1" s="37"/>
      <c r="G1" s="37"/>
      <c r="H1" s="37"/>
      <c r="I1" s="37"/>
      <c r="J1" s="37"/>
      <c r="K1" s="37"/>
      <c r="L1" s="37"/>
      <c r="M1" s="37"/>
      <c r="N1" s="37"/>
      <c r="O1" s="37"/>
      <c r="P1" s="37"/>
      <c r="Q1" s="37"/>
      <c r="R1" s="37"/>
      <c r="S1" s="37"/>
      <c r="T1" s="37"/>
    </row>
    <row r="2" spans="1:20">
      <c r="A2" s="37"/>
      <c r="B2" s="10"/>
      <c r="C2" s="10"/>
      <c r="D2" s="10"/>
      <c r="E2" s="37"/>
      <c r="F2" s="37"/>
      <c r="G2" s="37"/>
      <c r="H2" s="37"/>
      <c r="I2" s="37"/>
      <c r="J2" s="37"/>
      <c r="K2" s="37"/>
      <c r="L2" s="37"/>
      <c r="M2" s="37"/>
      <c r="N2" s="37"/>
      <c r="O2" s="37"/>
      <c r="P2" s="37"/>
      <c r="Q2" s="37"/>
      <c r="R2" s="37"/>
      <c r="S2" s="37"/>
      <c r="T2" s="37"/>
    </row>
    <row r="3" spans="1:20" ht="15.75">
      <c r="A3" s="37"/>
      <c r="B3" s="933" t="s">
        <v>94</v>
      </c>
      <c r="C3" s="934"/>
      <c r="D3" s="122"/>
      <c r="E3" s="81"/>
      <c r="F3" s="81"/>
      <c r="G3" s="81"/>
      <c r="H3" s="81"/>
      <c r="I3" s="81"/>
      <c r="J3" s="48"/>
      <c r="K3" s="37"/>
      <c r="L3" s="37"/>
      <c r="M3" s="37"/>
      <c r="N3" s="37"/>
      <c r="O3" s="37"/>
      <c r="P3" s="37"/>
      <c r="Q3" s="37"/>
      <c r="R3" s="37"/>
      <c r="S3" s="37"/>
      <c r="T3" s="37"/>
    </row>
    <row r="4" spans="1:20" ht="16.5" thickBot="1">
      <c r="A4" s="37"/>
      <c r="B4" s="81"/>
      <c r="C4" s="48"/>
      <c r="D4" s="81"/>
      <c r="E4" s="81"/>
      <c r="F4" s="81"/>
      <c r="G4" s="81"/>
      <c r="H4" s="81"/>
      <c r="I4" s="81"/>
      <c r="J4" s="48"/>
      <c r="K4" s="37"/>
      <c r="L4" s="37"/>
      <c r="M4" s="37"/>
      <c r="N4" s="37"/>
      <c r="O4" s="37"/>
      <c r="P4" s="37"/>
      <c r="Q4" s="37"/>
      <c r="R4" s="37"/>
      <c r="S4" s="37"/>
      <c r="T4" s="37"/>
    </row>
    <row r="5" spans="1:20" ht="16.5" thickBot="1">
      <c r="A5" s="37"/>
      <c r="B5" s="394" t="s">
        <v>158</v>
      </c>
      <c r="C5" s="395" t="s">
        <v>200</v>
      </c>
      <c r="D5" s="395"/>
      <c r="E5" s="395"/>
      <c r="F5" s="396"/>
      <c r="G5" s="37"/>
      <c r="H5" s="129" t="s">
        <v>216</v>
      </c>
      <c r="I5" s="130"/>
      <c r="J5" s="130"/>
      <c r="K5" s="131"/>
      <c r="L5" s="37"/>
      <c r="M5" s="37"/>
      <c r="N5" s="37"/>
      <c r="O5" s="37"/>
      <c r="P5" s="37"/>
      <c r="Q5" s="37"/>
      <c r="R5" s="37"/>
      <c r="S5" s="37"/>
      <c r="T5" s="37"/>
    </row>
    <row r="6" spans="1:20" ht="15.75">
      <c r="A6" s="37"/>
      <c r="B6" s="944" t="s">
        <v>84</v>
      </c>
      <c r="C6" s="945"/>
      <c r="D6" s="89">
        <f>INPUTS!B11</f>
        <v>0</v>
      </c>
      <c r="E6" s="390" t="s">
        <v>311</v>
      </c>
      <c r="F6" s="91"/>
      <c r="G6" s="37"/>
      <c r="H6" s="132" t="s">
        <v>280</v>
      </c>
      <c r="I6" s="128"/>
      <c r="J6" s="128"/>
      <c r="K6" s="133"/>
      <c r="L6" s="37"/>
      <c r="M6" s="37"/>
      <c r="N6" s="37"/>
      <c r="O6" s="37"/>
      <c r="P6" s="37"/>
      <c r="Q6" s="37"/>
      <c r="R6" s="37"/>
      <c r="S6" s="37"/>
      <c r="T6" s="37"/>
    </row>
    <row r="7" spans="1:20">
      <c r="A7" s="37"/>
      <c r="B7" s="937" t="s">
        <v>159</v>
      </c>
      <c r="C7" s="939"/>
      <c r="D7" s="391">
        <f>INPUTS!B10</f>
        <v>0</v>
      </c>
      <c r="E7" s="48"/>
      <c r="F7" s="63"/>
      <c r="G7" s="183" t="str">
        <f>IF(INPUTS!$D$45="","Warning! You Have Failed to Enter a Toxicity Scaling Factor on the Inputs Page","")</f>
        <v/>
      </c>
      <c r="I7" s="182"/>
      <c r="J7" s="182"/>
      <c r="K7" s="182"/>
      <c r="L7" s="37"/>
      <c r="M7" s="37"/>
      <c r="N7" s="37"/>
      <c r="O7" s="37"/>
      <c r="P7" s="37"/>
      <c r="Q7" s="37"/>
      <c r="R7" s="37"/>
      <c r="S7" s="37"/>
      <c r="T7" s="37"/>
    </row>
    <row r="8" spans="1:20">
      <c r="A8" s="37"/>
      <c r="B8" s="937" t="s">
        <v>161</v>
      </c>
      <c r="C8" s="938"/>
      <c r="D8" s="392">
        <f>'upper bound Kenaga'!C46</f>
        <v>0</v>
      </c>
      <c r="E8" s="61" t="s">
        <v>166</v>
      </c>
      <c r="F8" s="63"/>
      <c r="G8" s="153" t="str">
        <f>IF(INPUTS!$F$41=0,"",IF(INPUTS!$D$41&lt;3,"NOTE:Toxicity adjustments not based on standard assumed test animal body weight",""))</f>
        <v/>
      </c>
      <c r="H8" s="37"/>
      <c r="I8" s="37"/>
      <c r="J8" s="37"/>
      <c r="K8" s="37"/>
      <c r="L8" s="37"/>
      <c r="M8" s="37"/>
      <c r="N8" s="37"/>
      <c r="O8" s="37"/>
      <c r="P8" s="37"/>
      <c r="Q8" s="37"/>
      <c r="R8" s="37"/>
      <c r="S8" s="37"/>
      <c r="T8" s="37"/>
    </row>
    <row r="9" spans="1:20">
      <c r="A9" s="37"/>
      <c r="B9" s="937" t="s">
        <v>162</v>
      </c>
      <c r="C9" s="938"/>
      <c r="D9" s="392">
        <f>'upper bound Kenaga'!C47</f>
        <v>0</v>
      </c>
      <c r="E9" s="61"/>
      <c r="F9" s="63"/>
      <c r="G9" s="157" t="str">
        <f>IF(INPUTS!$F$41=0,"",IF(INPUTS!$D$41&lt;3,"NOTE:Toxicity adjustments not based on standard assumed test animal body weight",""))</f>
        <v/>
      </c>
      <c r="H9" s="37"/>
      <c r="I9" s="37"/>
      <c r="J9" s="37"/>
      <c r="K9" s="37"/>
      <c r="L9" s="37"/>
      <c r="M9" s="37"/>
      <c r="N9" s="37"/>
      <c r="O9" s="37"/>
      <c r="P9" s="37"/>
      <c r="Q9" s="37"/>
      <c r="R9" s="37"/>
      <c r="S9" s="37"/>
      <c r="T9" s="37"/>
    </row>
    <row r="10" spans="1:20">
      <c r="A10" s="37"/>
      <c r="B10" s="937" t="s">
        <v>163</v>
      </c>
      <c r="C10" s="938"/>
      <c r="D10" s="392">
        <f>'upper bound Kenaga'!C48</f>
        <v>0</v>
      </c>
      <c r="E10" s="61"/>
      <c r="F10" s="63"/>
      <c r="G10" s="153" t="str">
        <f>IF(INPUTS!$F$41=0,"",IF(INPUTS!$D$41&lt;3,"NOTE:Toxicity adjustments not based on standard assumed test animal body weight",""))</f>
        <v/>
      </c>
      <c r="H10" s="37"/>
      <c r="I10" s="37"/>
      <c r="J10" s="37"/>
      <c r="K10" s="37"/>
      <c r="L10" s="37"/>
      <c r="M10" s="37"/>
      <c r="N10" s="37"/>
      <c r="O10" s="37"/>
      <c r="P10" s="37"/>
      <c r="Q10" s="37"/>
      <c r="R10" s="37"/>
      <c r="S10" s="37"/>
      <c r="T10" s="37"/>
    </row>
    <row r="11" spans="1:20">
      <c r="A11" s="37"/>
      <c r="B11" s="937" t="s">
        <v>164</v>
      </c>
      <c r="C11" s="938"/>
      <c r="D11" s="392">
        <f>'upper bound Kenaga'!D105</f>
        <v>0</v>
      </c>
      <c r="E11" s="61" t="s">
        <v>166</v>
      </c>
      <c r="F11" s="63"/>
      <c r="G11" s="37"/>
      <c r="H11" s="37"/>
      <c r="I11" s="37"/>
      <c r="J11" s="37"/>
      <c r="K11" s="37"/>
      <c r="L11" s="37"/>
      <c r="M11" s="37"/>
      <c r="N11" s="37"/>
      <c r="O11" s="37"/>
      <c r="P11" s="37"/>
      <c r="Q11" s="37"/>
      <c r="R11" s="37"/>
      <c r="S11" s="37"/>
      <c r="T11" s="37"/>
    </row>
    <row r="12" spans="1:20">
      <c r="A12" s="37"/>
      <c r="B12" s="937" t="s">
        <v>165</v>
      </c>
      <c r="C12" s="938"/>
      <c r="D12" s="392">
        <f>'upper bound Kenaga'!D106</f>
        <v>0</v>
      </c>
      <c r="E12" s="61"/>
      <c r="F12" s="63"/>
      <c r="G12" s="37"/>
      <c r="H12" s="37"/>
      <c r="I12" s="37"/>
      <c r="J12" s="37"/>
      <c r="K12" s="37"/>
      <c r="L12" s="37"/>
      <c r="M12" s="37"/>
      <c r="N12" s="37"/>
      <c r="O12" s="37"/>
      <c r="P12" s="37"/>
      <c r="Q12" s="37"/>
      <c r="R12" s="37"/>
      <c r="S12" s="37"/>
      <c r="T12" s="37"/>
    </row>
    <row r="13" spans="1:20">
      <c r="A13" s="37"/>
      <c r="B13" s="937" t="s">
        <v>163</v>
      </c>
      <c r="C13" s="938"/>
      <c r="D13" s="392">
        <f>'upper bound Kenaga'!D107</f>
        <v>0</v>
      </c>
      <c r="E13" s="61"/>
      <c r="F13" s="63"/>
      <c r="G13" s="37"/>
      <c r="H13" s="37"/>
      <c r="I13" s="37"/>
      <c r="J13" s="37"/>
      <c r="K13" s="37"/>
      <c r="L13" s="37"/>
      <c r="M13" s="37"/>
      <c r="N13" s="37"/>
      <c r="O13" s="37"/>
      <c r="P13" s="37"/>
      <c r="Q13" s="37"/>
      <c r="R13" s="37"/>
      <c r="S13" s="37"/>
      <c r="T13" s="37"/>
    </row>
    <row r="14" spans="1:20">
      <c r="A14" s="37"/>
      <c r="B14" s="937" t="s">
        <v>85</v>
      </c>
      <c r="C14" s="938"/>
      <c r="D14" s="68">
        <f>INPUTS!D63</f>
        <v>0</v>
      </c>
      <c r="E14" s="61" t="s">
        <v>90</v>
      </c>
      <c r="F14" s="63"/>
      <c r="G14" s="37"/>
      <c r="H14" s="37"/>
      <c r="I14" s="37"/>
      <c r="J14" s="37"/>
      <c r="K14" s="37"/>
      <c r="L14" s="37"/>
      <c r="M14" s="37"/>
      <c r="N14" s="37"/>
      <c r="O14" s="37"/>
      <c r="P14" s="37"/>
      <c r="Q14" s="37"/>
      <c r="R14" s="37"/>
      <c r="S14" s="37"/>
      <c r="T14" s="37"/>
    </row>
    <row r="15" spans="1:20">
      <c r="A15" s="37"/>
      <c r="B15" s="937" t="s">
        <v>86</v>
      </c>
      <c r="C15" s="938"/>
      <c r="D15" s="68">
        <f>INPUTS!D64</f>
        <v>0</v>
      </c>
      <c r="E15" s="61" t="s">
        <v>90</v>
      </c>
      <c r="F15" s="63"/>
      <c r="G15" s="37"/>
      <c r="H15" s="37"/>
      <c r="I15" s="37"/>
      <c r="J15" s="37"/>
      <c r="K15" s="37"/>
      <c r="L15" s="37"/>
      <c r="M15" s="37"/>
      <c r="N15" s="37"/>
      <c r="O15" s="37"/>
      <c r="P15" s="37"/>
      <c r="Q15" s="37"/>
      <c r="R15" s="37"/>
      <c r="S15" s="37"/>
      <c r="T15" s="37"/>
    </row>
    <row r="16" spans="1:20" ht="13.5" thickBot="1">
      <c r="A16" s="37"/>
      <c r="B16" s="826" t="s">
        <v>87</v>
      </c>
      <c r="C16" s="943"/>
      <c r="D16" s="393">
        <f>1-INPUTS!D65</f>
        <v>1</v>
      </c>
      <c r="E16" s="59"/>
      <c r="F16" s="60"/>
      <c r="G16" s="37"/>
      <c r="H16" s="37"/>
      <c r="I16" s="37"/>
      <c r="J16" s="37"/>
      <c r="K16" s="37"/>
      <c r="L16" s="37"/>
      <c r="M16" s="37"/>
      <c r="N16" s="37"/>
      <c r="O16" s="37"/>
      <c r="P16" s="37"/>
      <c r="Q16" s="37"/>
      <c r="R16" s="37"/>
      <c r="S16" s="37"/>
      <c r="T16" s="37"/>
    </row>
    <row r="17" spans="1:20" ht="13.5" thickBot="1">
      <c r="A17" s="37"/>
      <c r="B17" s="62"/>
      <c r="C17" s="82"/>
      <c r="D17" s="68"/>
      <c r="E17" s="48"/>
      <c r="F17" s="48"/>
      <c r="G17" s="37"/>
      <c r="H17" s="37"/>
      <c r="I17" s="37"/>
      <c r="J17" s="37"/>
      <c r="K17" s="37"/>
      <c r="L17" s="37"/>
      <c r="M17" s="37"/>
      <c r="N17" s="37"/>
      <c r="O17" s="37"/>
      <c r="P17" s="37"/>
      <c r="Q17" s="37"/>
      <c r="R17" s="37"/>
      <c r="S17" s="37"/>
      <c r="T17" s="37"/>
    </row>
    <row r="18" spans="1:20" ht="15.75">
      <c r="A18" s="37"/>
      <c r="B18" s="87" t="s">
        <v>155</v>
      </c>
      <c r="C18" s="88"/>
      <c r="D18" s="89"/>
      <c r="E18" s="90"/>
      <c r="F18" s="90"/>
      <c r="G18" s="90"/>
      <c r="H18" s="90"/>
      <c r="I18" s="90"/>
      <c r="J18" s="91"/>
      <c r="K18" s="37"/>
      <c r="L18" s="37"/>
      <c r="M18" s="37"/>
      <c r="N18" s="37"/>
      <c r="O18" s="37"/>
      <c r="P18" s="37"/>
      <c r="Q18" s="37"/>
      <c r="R18" s="37"/>
      <c r="S18" s="37"/>
      <c r="T18" s="37"/>
    </row>
    <row r="19" spans="1:20" ht="16.5" thickBot="1">
      <c r="A19" s="37"/>
      <c r="B19" s="92"/>
      <c r="C19" s="81"/>
      <c r="D19" s="81"/>
      <c r="E19" s="81"/>
      <c r="F19" s="81"/>
      <c r="G19" s="81"/>
      <c r="H19" s="48"/>
      <c r="I19" s="48"/>
      <c r="J19" s="63"/>
      <c r="K19" s="37"/>
      <c r="L19" s="37"/>
      <c r="M19" s="37"/>
      <c r="N19" s="37"/>
      <c r="O19" s="37"/>
      <c r="P19" s="37"/>
      <c r="Q19" s="37"/>
      <c r="R19" s="37"/>
      <c r="S19" s="37"/>
      <c r="T19" s="37"/>
    </row>
    <row r="20" spans="1:20" ht="16.5" thickBot="1">
      <c r="A20" s="37"/>
      <c r="B20" s="946" t="str">
        <f>IF(AND(INPUTS!C59=2,INPUTS!D60="yes"),"Liquid",IF(AND(INPUTS!C59=2,INPUTS!D60="no"),"N/A","Granular"))</f>
        <v>Liquid</v>
      </c>
      <c r="C20" s="947"/>
      <c r="D20" s="947"/>
      <c r="E20" s="948"/>
      <c r="F20" s="37"/>
      <c r="G20" s="953" t="str">
        <f>IF(INPUTS!D60="yes","N/A","Liquid")</f>
        <v>N/A</v>
      </c>
      <c r="H20" s="954"/>
      <c r="I20" s="954"/>
      <c r="J20" s="955"/>
      <c r="K20" s="37"/>
      <c r="L20" s="37"/>
      <c r="M20" s="37"/>
      <c r="N20" s="37"/>
      <c r="O20" s="37"/>
      <c r="P20" s="37"/>
      <c r="Q20" s="37"/>
      <c r="R20" s="37"/>
      <c r="S20" s="37"/>
      <c r="T20" s="37"/>
    </row>
    <row r="21" spans="1:20">
      <c r="A21" s="37"/>
      <c r="B21" s="940" t="s">
        <v>95</v>
      </c>
      <c r="C21" s="941"/>
      <c r="D21" s="941"/>
      <c r="E21" s="942"/>
      <c r="F21" s="48"/>
      <c r="G21" s="956" t="s">
        <v>95</v>
      </c>
      <c r="H21" s="957"/>
      <c r="I21" s="957"/>
      <c r="J21" s="958"/>
      <c r="K21" s="35"/>
      <c r="L21" s="37"/>
      <c r="M21" s="37"/>
      <c r="N21" s="37"/>
      <c r="O21" s="37"/>
      <c r="P21" s="37"/>
      <c r="Q21" s="37"/>
      <c r="R21" s="37"/>
      <c r="S21" s="37"/>
      <c r="T21" s="37"/>
    </row>
    <row r="22" spans="1:20">
      <c r="A22" s="37"/>
      <c r="B22" s="935" t="s">
        <v>167</v>
      </c>
      <c r="C22" s="936"/>
      <c r="D22" s="961" t="str">
        <f>IF(INPUTS!C58=1,"N/A",IF(AND(INPUTS!C59=2,INPUTS!D60="No"),"N/A",(SQRT(43560))/(D14/12)))</f>
        <v>N/A</v>
      </c>
      <c r="E22" s="962"/>
      <c r="F22" s="48"/>
      <c r="G22" s="937" t="s">
        <v>170</v>
      </c>
      <c r="H22" s="939"/>
      <c r="I22" s="959" t="str">
        <f>IF(INPUTS!C58=1,"N/A",IF(INPUTS!C59=1,"N/A",IF(INPUTS!D60="yes","N/A",INPUTS!D62*28349*D7)))</f>
        <v>N/A</v>
      </c>
      <c r="J22" s="960"/>
      <c r="K22" s="37"/>
      <c r="L22" s="37"/>
      <c r="M22" s="37"/>
      <c r="N22" s="37"/>
      <c r="O22" s="37"/>
      <c r="P22" s="37"/>
      <c r="Q22" s="37"/>
      <c r="R22" s="37"/>
      <c r="S22" s="37"/>
      <c r="T22" s="37"/>
    </row>
    <row r="23" spans="1:20">
      <c r="A23" s="37"/>
      <c r="B23" s="935" t="s">
        <v>157</v>
      </c>
      <c r="C23" s="936"/>
      <c r="D23" s="951" t="str">
        <f>IF(INPUTS!C58=1,"N/A",IF(AND(INPUTS!C59=2,INPUTS!D60="No"),"N/A",SQRT(43560)))</f>
        <v>N/A</v>
      </c>
      <c r="E23" s="952"/>
      <c r="F23" s="48"/>
      <c r="G23" s="937" t="s">
        <v>171</v>
      </c>
      <c r="H23" s="939"/>
      <c r="I23" s="959" t="str">
        <f>IF(INPUTS!C58=1,"N/A",IF(INPUTS!C59=1,"N/A",IF(INPUTS!D60="yes","N/A",D15/12)))</f>
        <v>N/A</v>
      </c>
      <c r="J23" s="960"/>
      <c r="K23" s="37"/>
      <c r="L23" s="37"/>
      <c r="M23" s="37"/>
      <c r="N23" s="37"/>
      <c r="O23" s="37"/>
      <c r="P23" s="37"/>
      <c r="Q23" s="37"/>
      <c r="R23" s="37"/>
      <c r="S23" s="37"/>
      <c r="T23" s="37"/>
    </row>
    <row r="24" spans="1:20">
      <c r="A24" s="37"/>
      <c r="B24" s="935" t="s">
        <v>91</v>
      </c>
      <c r="C24" s="936"/>
      <c r="D24" s="951" t="str">
        <f>IF(INPUTS!C58=1,"N/A",IF(AND(INPUTS!C59=2,INPUTS!D60="No"),"N/A",((D6)/((43560)/(D14/12)))*1000))</f>
        <v>N/A</v>
      </c>
      <c r="E24" s="952"/>
      <c r="F24" s="48"/>
      <c r="G24" s="937" t="s">
        <v>172</v>
      </c>
      <c r="H24" s="939"/>
      <c r="I24" s="959" t="str">
        <f>IF(INPUTS!C58=1,"N/A",IF(INPUTS!C59=1,"N/A",IF(INPUTS!D60="yes","N/A",I22/(1000*I23))))</f>
        <v>N/A</v>
      </c>
      <c r="J24" s="960"/>
      <c r="K24" s="37"/>
      <c r="L24" s="37"/>
      <c r="M24" s="37"/>
      <c r="N24" s="37"/>
      <c r="O24" s="37"/>
      <c r="P24" s="37"/>
      <c r="Q24" s="37"/>
      <c r="R24" s="37"/>
      <c r="S24" s="37"/>
      <c r="T24" s="37"/>
    </row>
    <row r="25" spans="1:20">
      <c r="A25" s="37"/>
      <c r="B25" s="935" t="s">
        <v>96</v>
      </c>
      <c r="C25" s="936"/>
      <c r="D25" s="951" t="str">
        <f>IF(INPUTS!C58=1,"N/A",IF(AND(INPUTS!C59=2,INPUTS!D60="No"),"N/A",D15/12))</f>
        <v>N/A</v>
      </c>
      <c r="E25" s="952"/>
      <c r="F25" s="48"/>
      <c r="G25" s="963" t="s">
        <v>173</v>
      </c>
      <c r="H25" s="964"/>
      <c r="I25" s="949" t="str">
        <f>IF(INPUTS!C58=1,"N/A",IF(INPUTS!C59=1,"N/A",IF(INPUTS!D60="yes","N/A",I24*D16)))</f>
        <v>N/A</v>
      </c>
      <c r="J25" s="950"/>
      <c r="K25" s="37"/>
      <c r="L25" s="37"/>
      <c r="M25" s="37"/>
      <c r="N25" s="37"/>
      <c r="O25" s="37"/>
      <c r="P25" s="37"/>
      <c r="Q25" s="37"/>
      <c r="R25" s="37"/>
      <c r="S25" s="37"/>
      <c r="T25" s="37"/>
    </row>
    <row r="26" spans="1:20">
      <c r="A26" s="37"/>
      <c r="B26" s="935" t="s">
        <v>92</v>
      </c>
      <c r="C26" s="936"/>
      <c r="D26" s="951" t="str">
        <f>IF(INPUTS!C58=1,"N/A",IF(AND(INPUTS!C59=2,INPUTS!D60="No"),"N/A",(D6*D7*453590)/((D22*D25*D23))))</f>
        <v>N/A</v>
      </c>
      <c r="E26" s="952"/>
      <c r="F26" s="48"/>
      <c r="G26" s="84"/>
      <c r="H26" s="48"/>
      <c r="I26" s="12"/>
      <c r="J26" s="118"/>
      <c r="K26" s="37"/>
      <c r="L26" s="37"/>
      <c r="M26" s="37"/>
      <c r="N26" s="37"/>
      <c r="O26" s="37"/>
      <c r="P26" s="37"/>
      <c r="Q26" s="37"/>
      <c r="R26" s="37"/>
      <c r="S26" s="37"/>
      <c r="T26" s="37"/>
    </row>
    <row r="27" spans="1:20">
      <c r="A27" s="37"/>
      <c r="B27" s="970" t="s">
        <v>93</v>
      </c>
      <c r="C27" s="971"/>
      <c r="D27" s="972" t="str">
        <f>IF(INPUTS!C58=1,"N/A",IF(AND(INPUTS!C59=2,INPUTS!D60="No"),"N/A",D26*D16))</f>
        <v>N/A</v>
      </c>
      <c r="E27" s="973"/>
      <c r="F27" s="48"/>
      <c r="G27" s="84"/>
      <c r="H27" s="48"/>
      <c r="I27" s="12"/>
      <c r="J27" s="118"/>
      <c r="K27" s="37"/>
      <c r="L27" s="37"/>
      <c r="M27" s="37"/>
      <c r="N27" s="37"/>
      <c r="O27" s="37"/>
      <c r="P27" s="37"/>
      <c r="Q27" s="37"/>
      <c r="R27" s="37"/>
      <c r="S27" s="37"/>
      <c r="T27" s="37"/>
    </row>
    <row r="28" spans="1:20">
      <c r="A28" s="37"/>
      <c r="B28" s="85"/>
      <c r="C28" s="86"/>
      <c r="D28" s="86"/>
      <c r="E28" s="63"/>
      <c r="F28" s="37"/>
      <c r="G28" s="84"/>
      <c r="H28" s="48"/>
      <c r="I28" s="12"/>
      <c r="J28" s="118"/>
      <c r="K28" s="37"/>
      <c r="L28" s="37"/>
      <c r="M28" s="37"/>
      <c r="N28" s="37"/>
      <c r="O28" s="37"/>
      <c r="P28" s="37"/>
      <c r="Q28" s="37"/>
      <c r="R28" s="37"/>
      <c r="S28" s="37"/>
      <c r="T28" s="37"/>
    </row>
    <row r="29" spans="1:20" ht="15.75">
      <c r="A29" s="37"/>
      <c r="B29" s="473" t="s">
        <v>94</v>
      </c>
      <c r="C29" s="474"/>
      <c r="D29" s="475"/>
      <c r="E29" s="63"/>
      <c r="F29" s="37"/>
      <c r="G29" s="473" t="str">
        <f>IF(G20="N/A","N/A","LD50 ft-2")</f>
        <v>N/A</v>
      </c>
      <c r="H29" s="474"/>
      <c r="I29" s="475"/>
      <c r="J29" s="118"/>
      <c r="K29" s="37"/>
      <c r="L29" s="37"/>
      <c r="M29" s="37"/>
      <c r="N29" s="37"/>
      <c r="O29" s="37"/>
      <c r="P29" s="37"/>
      <c r="Q29" s="37"/>
      <c r="R29" s="37"/>
      <c r="S29" s="37"/>
      <c r="T29" s="37"/>
    </row>
    <row r="30" spans="1:20">
      <c r="A30" s="37"/>
      <c r="B30" s="476"/>
      <c r="C30" s="477" t="s">
        <v>378</v>
      </c>
      <c r="D30" s="478"/>
      <c r="E30" s="63"/>
      <c r="F30" s="37"/>
      <c r="G30" s="476"/>
      <c r="H30" s="477" t="s">
        <v>378</v>
      </c>
      <c r="I30" s="478"/>
      <c r="J30" s="118"/>
      <c r="K30" s="37"/>
      <c r="L30" s="37"/>
      <c r="M30" s="37"/>
      <c r="N30" s="37"/>
      <c r="O30" s="37"/>
      <c r="P30" s="37"/>
      <c r="Q30" s="37"/>
      <c r="R30" s="37"/>
      <c r="S30" s="37"/>
      <c r="T30" s="37"/>
    </row>
    <row r="31" spans="1:20">
      <c r="A31" s="37"/>
      <c r="B31" s="479" t="s">
        <v>14</v>
      </c>
      <c r="C31" s="480">
        <f t="shared" ref="C31:C36" si="0">C46</f>
        <v>20</v>
      </c>
      <c r="D31" s="344" t="str">
        <f>IF(INPUTS!C58=1,"N/A",IF(AND(INPUTS!C59=2,INPUTS!D60="No"),"N/A",$D$27/($D$8*(C31/1000))))</f>
        <v>N/A</v>
      </c>
      <c r="E31" s="63"/>
      <c r="F31" s="37"/>
      <c r="G31" s="479" t="s">
        <v>14</v>
      </c>
      <c r="H31" s="480">
        <f t="shared" ref="H31:H36" si="1">C31</f>
        <v>20</v>
      </c>
      <c r="I31" s="344" t="str">
        <f>IF(INPUTS!C58=1,"N/A",IF(INPUTS!C59=1,"N/A",IF(INPUTS!D60="yes","N/A",I25/($D$8*(H31/1000)))))</f>
        <v>N/A</v>
      </c>
      <c r="J31" s="118"/>
      <c r="K31" s="37"/>
      <c r="L31" s="37"/>
      <c r="M31" s="37"/>
      <c r="N31" s="37"/>
      <c r="O31" s="37"/>
      <c r="P31" s="37"/>
      <c r="Q31" s="37"/>
      <c r="R31" s="37"/>
      <c r="S31" s="37"/>
      <c r="T31" s="37"/>
    </row>
    <row r="32" spans="1:20">
      <c r="A32" s="37"/>
      <c r="B32" s="481"/>
      <c r="C32" s="480">
        <f t="shared" si="0"/>
        <v>100</v>
      </c>
      <c r="D32" s="324" t="str">
        <f>IF(INPUTS!C58=1,"N/A",IF(AND(INPUTS!C59=2,INPUTS!D60="No"),"N/A",$D$27/(D9*(C32/1000))))</f>
        <v>N/A</v>
      </c>
      <c r="E32" s="63"/>
      <c r="F32" s="37"/>
      <c r="G32" s="481"/>
      <c r="H32" s="480">
        <f t="shared" si="1"/>
        <v>100</v>
      </c>
      <c r="I32" s="324" t="str">
        <f>IF(INPUTS!C58=1,"N/A",IF(INPUTS!C59=1,"N/A",IF(INPUTS!D60="yes","N/A",I25/(D9*(H32/1000)))))</f>
        <v>N/A</v>
      </c>
      <c r="J32" s="118"/>
      <c r="K32" s="37"/>
      <c r="L32" s="37"/>
      <c r="M32" s="37"/>
      <c r="N32" s="37"/>
      <c r="O32" s="37"/>
      <c r="P32" s="37"/>
      <c r="Q32" s="37"/>
      <c r="R32" s="37"/>
      <c r="S32" s="37"/>
      <c r="T32" s="37"/>
    </row>
    <row r="33" spans="1:20">
      <c r="A33" s="37"/>
      <c r="B33" s="482"/>
      <c r="C33" s="483">
        <f t="shared" si="0"/>
        <v>1000</v>
      </c>
      <c r="D33" s="348" t="str">
        <f>IF(INPUTS!C58=1,"N/A",IF(AND(INPUTS!C59=2,INPUTS!D60="No"),"N/A",$D$27/(D10*(C33/1000))))</f>
        <v>N/A</v>
      </c>
      <c r="E33" s="63"/>
      <c r="F33" s="37"/>
      <c r="G33" s="482"/>
      <c r="H33" s="483">
        <f t="shared" si="1"/>
        <v>1000</v>
      </c>
      <c r="I33" s="348" t="str">
        <f>IF(INPUTS!C58=1,"N/A",IF(INPUTS!C59=1,"N/A",IF(INPUTS!D60="yes","N/A",I25/(D10*(H33/1000)))))</f>
        <v>N/A</v>
      </c>
      <c r="J33" s="118"/>
      <c r="K33" s="37"/>
      <c r="L33" s="37"/>
      <c r="M33" s="37"/>
      <c r="N33" s="37"/>
      <c r="O33" s="37"/>
      <c r="P33" s="37"/>
      <c r="Q33" s="37"/>
      <c r="R33" s="37"/>
      <c r="S33" s="37"/>
      <c r="T33" s="37"/>
    </row>
    <row r="34" spans="1:20">
      <c r="A34" s="37"/>
      <c r="B34" s="481" t="s">
        <v>83</v>
      </c>
      <c r="C34" s="484">
        <f t="shared" si="0"/>
        <v>15</v>
      </c>
      <c r="D34" s="324" t="str">
        <f>IF(INPUTS!C58=1,"N/A",IF(AND(INPUTS!C59=2,INPUTS!D60="No"),"N/A",$D$27/($D$11*(C34/1000))))</f>
        <v>N/A</v>
      </c>
      <c r="E34" s="63"/>
      <c r="F34" s="37"/>
      <c r="G34" s="481" t="s">
        <v>83</v>
      </c>
      <c r="H34" s="484">
        <f t="shared" si="1"/>
        <v>15</v>
      </c>
      <c r="I34" s="324" t="str">
        <f>IF(INPUTS!C58=1,"N/A",IF(INPUTS!C59=1,"N/A",IF(INPUTS!D60="yes","N/A",I25/($D$11*(H34/1000)))))</f>
        <v>N/A</v>
      </c>
      <c r="J34" s="118"/>
      <c r="K34" s="37"/>
      <c r="L34" s="37"/>
      <c r="M34" s="37"/>
      <c r="N34" s="37"/>
      <c r="O34" s="37"/>
      <c r="P34" s="37"/>
      <c r="Q34" s="37"/>
      <c r="R34" s="37"/>
      <c r="S34" s="37"/>
      <c r="T34" s="37"/>
    </row>
    <row r="35" spans="1:20">
      <c r="A35" s="37"/>
      <c r="B35" s="481"/>
      <c r="C35" s="484">
        <f t="shared" si="0"/>
        <v>35</v>
      </c>
      <c r="D35" s="324" t="str">
        <f>IF(INPUTS!C58=1,"N/A",IF(AND(INPUTS!C59=2,INPUTS!D60="No"),"N/A",$D$27/(D12*(C35/1000))))</f>
        <v>N/A</v>
      </c>
      <c r="E35" s="63"/>
      <c r="F35" s="37"/>
      <c r="G35" s="481"/>
      <c r="H35" s="484">
        <f t="shared" si="1"/>
        <v>35</v>
      </c>
      <c r="I35" s="324" t="str">
        <f>IF(INPUTS!C58=1,"N/A",IF(INPUTS!C59=1,"N/A",IF(INPUTS!D60="yes","N/A",I25/(D12*(H35/1000)))))</f>
        <v>N/A</v>
      </c>
      <c r="J35" s="118"/>
      <c r="K35" s="37"/>
      <c r="L35" s="37"/>
      <c r="M35" s="37"/>
      <c r="N35" s="37"/>
      <c r="O35" s="37"/>
      <c r="P35" s="37"/>
      <c r="Q35" s="37"/>
      <c r="R35" s="37"/>
      <c r="S35" s="37"/>
      <c r="T35" s="37"/>
    </row>
    <row r="36" spans="1:20" ht="13.5" thickBot="1">
      <c r="A36" s="37"/>
      <c r="B36" s="485"/>
      <c r="C36" s="486">
        <f t="shared" si="0"/>
        <v>1000</v>
      </c>
      <c r="D36" s="325" t="str">
        <f>IF(INPUTS!C58=1,"N/A",IF(AND(INPUTS!C59=2,INPUTS!D60="No"),"N/A",$D$27/(D13*(C36/1000))))</f>
        <v>N/A</v>
      </c>
      <c r="E36" s="60"/>
      <c r="F36" s="93"/>
      <c r="G36" s="485"/>
      <c r="H36" s="486">
        <f t="shared" si="1"/>
        <v>1000</v>
      </c>
      <c r="I36" s="325" t="str">
        <f>IF(INPUTS!C58=1,"N/A",IF(INPUTS!C59=1,"N/A",IF(INPUTS!D60="yes","N/A",I25/(D13*(H36/1000)))))</f>
        <v>N/A</v>
      </c>
      <c r="J36" s="119"/>
      <c r="K36" s="37"/>
      <c r="L36" s="37"/>
      <c r="M36" s="37"/>
      <c r="N36" s="37"/>
      <c r="O36" s="37"/>
      <c r="P36" s="37"/>
      <c r="Q36" s="37"/>
      <c r="R36" s="37"/>
      <c r="S36" s="37"/>
      <c r="T36" s="37"/>
    </row>
    <row r="37" spans="1:20">
      <c r="A37" s="37"/>
      <c r="B37" s="37"/>
      <c r="C37" s="37"/>
      <c r="D37" s="37"/>
      <c r="E37" s="37"/>
      <c r="F37" s="37"/>
      <c r="G37" s="37"/>
      <c r="H37" s="37"/>
      <c r="I37" s="37"/>
      <c r="J37" s="37"/>
      <c r="K37" s="37"/>
      <c r="L37" s="37"/>
      <c r="M37" s="37"/>
      <c r="N37" s="37"/>
      <c r="O37" s="37"/>
      <c r="P37" s="37"/>
      <c r="Q37" s="37"/>
      <c r="R37" s="37"/>
      <c r="S37" s="37"/>
      <c r="T37" s="37"/>
    </row>
    <row r="38" spans="1:20" ht="13.5" thickBot="1">
      <c r="A38" s="37"/>
      <c r="C38" s="37"/>
      <c r="D38" s="37"/>
      <c r="E38" s="37"/>
      <c r="F38" s="37"/>
      <c r="G38" s="37"/>
      <c r="H38" s="37"/>
      <c r="I38" s="37"/>
      <c r="J38" s="37"/>
      <c r="K38" s="37"/>
      <c r="L38" s="37"/>
      <c r="M38" s="37"/>
      <c r="N38" s="37"/>
      <c r="O38" s="37"/>
      <c r="P38" s="37"/>
      <c r="Q38" s="37"/>
      <c r="R38" s="37"/>
      <c r="S38" s="37"/>
      <c r="T38" s="37"/>
    </row>
    <row r="39" spans="1:20" ht="15.75">
      <c r="A39" s="37"/>
      <c r="B39" s="487" t="s">
        <v>156</v>
      </c>
      <c r="C39" s="488"/>
      <c r="D39" s="489"/>
      <c r="E39" s="37"/>
      <c r="F39" s="37"/>
      <c r="G39" s="37"/>
      <c r="H39" s="37"/>
      <c r="I39" s="37"/>
      <c r="J39" s="37"/>
      <c r="K39" s="37"/>
      <c r="L39" s="37"/>
      <c r="M39" s="37"/>
      <c r="N39" s="37"/>
      <c r="O39" s="37"/>
      <c r="P39" s="37"/>
      <c r="Q39" s="37"/>
      <c r="R39" s="37"/>
      <c r="S39" s="37"/>
      <c r="T39" s="37"/>
    </row>
    <row r="40" spans="1:20" ht="13.5" thickBot="1">
      <c r="A40" s="37"/>
      <c r="B40" s="490" t="str">
        <f>IF(INPUTS!C59=1,"Granular","Liquid")</f>
        <v>Liquid</v>
      </c>
      <c r="C40" s="491"/>
      <c r="D40" s="492"/>
      <c r="E40" s="37"/>
      <c r="F40" s="37"/>
      <c r="G40" s="37"/>
      <c r="H40" s="37"/>
      <c r="I40" s="37"/>
      <c r="J40" s="37"/>
      <c r="K40" s="37"/>
      <c r="L40" s="37"/>
      <c r="M40" s="37"/>
      <c r="N40" s="37"/>
      <c r="O40" s="37"/>
      <c r="P40" s="37"/>
      <c r="Q40" s="37"/>
      <c r="R40" s="37"/>
      <c r="S40" s="37"/>
      <c r="T40" s="37"/>
    </row>
    <row r="41" spans="1:20" ht="19.5" customHeight="1">
      <c r="A41" s="37"/>
      <c r="B41" s="967" t="s">
        <v>95</v>
      </c>
      <c r="C41" s="968"/>
      <c r="D41" s="969"/>
      <c r="E41" s="37"/>
      <c r="F41" s="37"/>
      <c r="G41" s="37"/>
      <c r="H41" s="37"/>
      <c r="I41" s="37"/>
      <c r="J41" s="37"/>
      <c r="K41" s="37"/>
      <c r="L41" s="37"/>
      <c r="M41" s="37"/>
      <c r="N41" s="37"/>
      <c r="O41" s="37"/>
      <c r="P41" s="37"/>
      <c r="Q41" s="37"/>
      <c r="R41" s="37"/>
      <c r="S41" s="37"/>
      <c r="T41" s="37"/>
    </row>
    <row r="42" spans="1:20" ht="21" customHeight="1" thickBot="1">
      <c r="A42" s="37"/>
      <c r="B42" s="495" t="s">
        <v>92</v>
      </c>
      <c r="C42" s="965">
        <f>IF(OR(INPUTS!C59=1,(AND(INPUTS!C59=2,INPUTS!D60="yes"))),((D6*D7*453590)/43560),((INPUTS!D62*28349*'LD50 ft-2'!D7)/43560))*D16</f>
        <v>0</v>
      </c>
      <c r="D42" s="966"/>
      <c r="E42" s="37"/>
      <c r="F42" s="37"/>
      <c r="G42" s="37"/>
      <c r="H42" s="37"/>
      <c r="I42" s="37"/>
      <c r="J42" s="37"/>
      <c r="K42" s="37"/>
      <c r="L42" s="37"/>
      <c r="M42" s="37"/>
      <c r="N42" s="37"/>
      <c r="O42" s="37"/>
      <c r="P42" s="37"/>
      <c r="Q42" s="37"/>
      <c r="R42" s="37"/>
      <c r="S42" s="37"/>
      <c r="T42" s="37"/>
    </row>
    <row r="43" spans="1:20" ht="21" customHeight="1" thickBot="1">
      <c r="A43" s="37"/>
      <c r="B43" s="496"/>
      <c r="C43" s="497"/>
      <c r="D43" s="498"/>
      <c r="E43" s="37"/>
      <c r="F43" s="37"/>
      <c r="G43" s="37"/>
      <c r="H43" s="37"/>
      <c r="I43" s="37"/>
      <c r="J43" s="37"/>
      <c r="K43" s="37"/>
      <c r="L43" s="37"/>
      <c r="M43" s="37"/>
      <c r="N43" s="37"/>
      <c r="O43" s="37"/>
      <c r="P43" s="37"/>
      <c r="Q43" s="37"/>
      <c r="R43" s="37"/>
      <c r="S43" s="37"/>
      <c r="T43" s="37"/>
    </row>
    <row r="44" spans="1:20" ht="15.75">
      <c r="A44" s="37"/>
      <c r="B44" s="499" t="s">
        <v>94</v>
      </c>
      <c r="C44" s="493"/>
      <c r="D44" s="494"/>
      <c r="E44" s="37"/>
      <c r="F44" s="37"/>
      <c r="G44" s="37"/>
      <c r="H44" s="37"/>
      <c r="I44" s="37"/>
      <c r="J44" s="37"/>
      <c r="K44" s="37"/>
      <c r="L44" s="37"/>
      <c r="M44" s="37"/>
      <c r="N44" s="37"/>
      <c r="O44" s="37"/>
      <c r="P44" s="37"/>
      <c r="Q44" s="37"/>
      <c r="R44" s="37"/>
      <c r="S44" s="37"/>
      <c r="T44" s="37"/>
    </row>
    <row r="45" spans="1:20">
      <c r="A45" s="37"/>
      <c r="B45" s="500"/>
      <c r="C45" s="342" t="s">
        <v>378</v>
      </c>
      <c r="D45" s="501"/>
      <c r="E45" s="37"/>
      <c r="F45" s="37"/>
      <c r="G45" s="37"/>
      <c r="H45" s="37"/>
      <c r="I45" s="37"/>
      <c r="J45" s="37"/>
      <c r="K45" s="37"/>
      <c r="L45" s="37"/>
      <c r="M45" s="37"/>
      <c r="N45" s="37"/>
      <c r="O45" s="37"/>
      <c r="P45" s="37"/>
      <c r="Q45" s="37"/>
      <c r="R45" s="37"/>
      <c r="S45" s="37"/>
      <c r="T45" s="37"/>
    </row>
    <row r="46" spans="1:20">
      <c r="A46" s="37"/>
      <c r="B46" s="496" t="s">
        <v>14</v>
      </c>
      <c r="C46" s="353">
        <f>INPUTS!B19</f>
        <v>20</v>
      </c>
      <c r="D46" s="502" t="e">
        <f>IF(INPUTS!C58=1,C42/($D$8*(C46/1000)),"N/A")</f>
        <v>#DIV/0!</v>
      </c>
      <c r="E46" s="37"/>
      <c r="F46" s="37"/>
      <c r="G46" s="37"/>
      <c r="H46" s="37"/>
      <c r="I46" s="37"/>
      <c r="J46" s="37"/>
      <c r="K46" s="37"/>
      <c r="L46" s="37"/>
      <c r="M46" s="37"/>
      <c r="N46" s="37"/>
      <c r="O46" s="37"/>
      <c r="P46" s="37"/>
      <c r="Q46" s="37"/>
      <c r="R46" s="37"/>
      <c r="S46" s="37"/>
      <c r="T46" s="37"/>
    </row>
    <row r="47" spans="1:20">
      <c r="A47" s="37"/>
      <c r="B47" s="496"/>
      <c r="C47" s="353">
        <f>INPUTS!B20</f>
        <v>100</v>
      </c>
      <c r="D47" s="502" t="e">
        <f>IF(INPUTS!C58=1,C42/(D9*(C47/1000)),"N/A")</f>
        <v>#DIV/0!</v>
      </c>
      <c r="E47" s="37"/>
      <c r="F47" s="37"/>
      <c r="G47" s="37"/>
      <c r="H47" s="37"/>
      <c r="I47" s="37"/>
      <c r="J47" s="37"/>
      <c r="K47" s="37"/>
      <c r="L47" s="37"/>
      <c r="M47" s="37"/>
      <c r="N47" s="37"/>
      <c r="O47" s="37"/>
      <c r="P47" s="37"/>
      <c r="Q47" s="37"/>
      <c r="R47" s="37"/>
      <c r="S47" s="37"/>
      <c r="T47" s="37"/>
    </row>
    <row r="48" spans="1:20">
      <c r="A48" s="37"/>
      <c r="B48" s="500"/>
      <c r="C48" s="342">
        <f>INPUTS!B21</f>
        <v>1000</v>
      </c>
      <c r="D48" s="503" t="e">
        <f>IF(INPUTS!C58=1,C42/(D10*(C48/1000)),"N/A")</f>
        <v>#DIV/0!</v>
      </c>
      <c r="E48" s="37"/>
      <c r="F48" s="37"/>
      <c r="G48" s="37"/>
      <c r="H48" s="37"/>
      <c r="I48" s="37"/>
      <c r="J48" s="37"/>
      <c r="K48" s="37"/>
      <c r="L48" s="37"/>
      <c r="M48" s="37"/>
      <c r="N48" s="37"/>
      <c r="O48" s="37"/>
      <c r="P48" s="37"/>
      <c r="Q48" s="37"/>
      <c r="R48" s="37"/>
      <c r="S48" s="37"/>
      <c r="T48" s="37"/>
    </row>
    <row r="49" spans="1:20">
      <c r="A49" s="37"/>
      <c r="B49" s="496" t="s">
        <v>83</v>
      </c>
      <c r="C49" s="343">
        <f>INPUTS!C19</f>
        <v>15</v>
      </c>
      <c r="D49" s="502" t="e">
        <f>IF(INPUTS!C58=1,C42/($D$11*(C49/1000)),"N/A")</f>
        <v>#DIV/0!</v>
      </c>
      <c r="E49" s="37"/>
      <c r="F49" s="37"/>
      <c r="G49" s="37"/>
      <c r="H49" s="37"/>
      <c r="I49" s="37"/>
      <c r="J49" s="37"/>
      <c r="K49" s="37"/>
      <c r="L49" s="37"/>
      <c r="M49" s="37"/>
      <c r="N49" s="37"/>
      <c r="O49" s="37"/>
      <c r="P49" s="37"/>
      <c r="Q49" s="37"/>
      <c r="R49" s="37"/>
      <c r="S49" s="37"/>
      <c r="T49" s="37"/>
    </row>
    <row r="50" spans="1:20">
      <c r="A50" s="37"/>
      <c r="B50" s="496"/>
      <c r="C50" s="343">
        <f>INPUTS!C20</f>
        <v>35</v>
      </c>
      <c r="D50" s="502" t="e">
        <f>IF(INPUTS!C58=1,C42/(D12*(C50/1000)),"N/A")</f>
        <v>#DIV/0!</v>
      </c>
      <c r="E50" s="37"/>
      <c r="F50" s="37"/>
      <c r="G50" s="37"/>
      <c r="H50" s="37"/>
      <c r="I50" s="37"/>
      <c r="J50" s="37"/>
      <c r="K50" s="37"/>
      <c r="L50" s="37"/>
      <c r="M50" s="37"/>
      <c r="N50" s="37"/>
      <c r="O50" s="37"/>
      <c r="P50" s="37"/>
      <c r="Q50" s="37"/>
      <c r="R50" s="37"/>
      <c r="S50" s="37"/>
      <c r="T50" s="37"/>
    </row>
    <row r="51" spans="1:20" ht="13.5" thickBot="1">
      <c r="B51" s="504"/>
      <c r="C51" s="350">
        <f>INPUTS!C21</f>
        <v>1000</v>
      </c>
      <c r="D51" s="505" t="e">
        <f>IF(INPUTS!C58=1,C42/(D13*(C51/1000)),"N/A")</f>
        <v>#DIV/0!</v>
      </c>
      <c r="E51" s="37"/>
      <c r="F51" s="37"/>
      <c r="G51" s="37"/>
      <c r="H51" s="37"/>
      <c r="I51" s="37"/>
      <c r="J51" s="37"/>
      <c r="K51" s="37"/>
      <c r="L51" s="37"/>
      <c r="M51" s="37"/>
      <c r="N51" s="37"/>
      <c r="O51" s="37"/>
      <c r="P51" s="37"/>
      <c r="Q51" s="37"/>
      <c r="R51" s="37"/>
      <c r="S51" s="37"/>
      <c r="T51" s="37"/>
    </row>
    <row r="52" spans="1:20" s="37" customFormat="1"/>
    <row r="53" spans="1:20" s="37" customFormat="1">
      <c r="B53" s="37" t="s">
        <v>302</v>
      </c>
    </row>
    <row r="54" spans="1:20" s="37" customFormat="1"/>
    <row r="55" spans="1:20" s="37" customFormat="1"/>
    <row r="56" spans="1:20" s="37" customFormat="1"/>
    <row r="57" spans="1:20" s="37" customFormat="1"/>
    <row r="58" spans="1:20" s="37" customFormat="1"/>
    <row r="59" spans="1:20" s="37" customFormat="1"/>
    <row r="60" spans="1:20" s="37" customFormat="1"/>
    <row r="61" spans="1:20" s="37" customFormat="1">
      <c r="H61"/>
    </row>
  </sheetData>
  <sheetProtection password="85F4" sheet="1" objects="1" scenarios="1" formatCells="0" formatColumns="0" formatRows="0"/>
  <mergeCells count="38">
    <mergeCell ref="C42:D42"/>
    <mergeCell ref="B41:D41"/>
    <mergeCell ref="B27:C27"/>
    <mergeCell ref="D27:E27"/>
    <mergeCell ref="B25:C25"/>
    <mergeCell ref="B26:C26"/>
    <mergeCell ref="D26:E26"/>
    <mergeCell ref="I25:J25"/>
    <mergeCell ref="G22:H22"/>
    <mergeCell ref="B24:C24"/>
    <mergeCell ref="D23:E23"/>
    <mergeCell ref="G20:J20"/>
    <mergeCell ref="D24:E24"/>
    <mergeCell ref="D25:E25"/>
    <mergeCell ref="G23:H23"/>
    <mergeCell ref="G21:J21"/>
    <mergeCell ref="I23:J23"/>
    <mergeCell ref="I24:J24"/>
    <mergeCell ref="I22:J22"/>
    <mergeCell ref="G24:H24"/>
    <mergeCell ref="D22:E22"/>
    <mergeCell ref="G25:H25"/>
    <mergeCell ref="B3:C3"/>
    <mergeCell ref="B22:C22"/>
    <mergeCell ref="B23:C23"/>
    <mergeCell ref="B12:C12"/>
    <mergeCell ref="B13:C13"/>
    <mergeCell ref="B14:C14"/>
    <mergeCell ref="B11:C11"/>
    <mergeCell ref="B7:C7"/>
    <mergeCell ref="B21:E21"/>
    <mergeCell ref="B9:C9"/>
    <mergeCell ref="B10:C10"/>
    <mergeCell ref="B15:C15"/>
    <mergeCell ref="B16:C16"/>
    <mergeCell ref="B6:C6"/>
    <mergeCell ref="B8:C8"/>
    <mergeCell ref="B20:E20"/>
  </mergeCells>
  <phoneticPr fontId="25" type="noConversion"/>
  <pageMargins left="0.75" right="0.75" top="0.82" bottom="1" header="0.5" footer="0.5"/>
  <pageSetup scale="87" orientation="portrait" r:id="rId1"/>
  <headerFooter alignWithMargins="0">
    <oddHeader>&amp;A</oddHeader>
    <oddFooter>&amp;F</oddFooter>
  </headerFooter>
  <legacyDrawing r:id="rId2"/>
</worksheet>
</file>

<file path=xl/worksheets/sheet7.xml><?xml version="1.0" encoding="utf-8"?>
<worksheet xmlns="http://schemas.openxmlformats.org/spreadsheetml/2006/main" xmlns:r="http://schemas.openxmlformats.org/officeDocument/2006/relationships">
  <sheetPr codeName="Sheet10"/>
  <dimension ref="A1:AT1163"/>
  <sheetViews>
    <sheetView zoomScaleNormal="100" workbookViewId="0"/>
  </sheetViews>
  <sheetFormatPr defaultRowHeight="12.75"/>
  <cols>
    <col min="1" max="1" width="35.140625" style="94" customWidth="1"/>
    <col min="2" max="3" width="15.42578125" style="94" customWidth="1"/>
    <col min="4" max="4" width="69.85546875" style="94" customWidth="1"/>
    <col min="5" max="6" width="9.140625" style="799"/>
    <col min="7" max="7" width="11" style="799" bestFit="1" customWidth="1"/>
    <col min="8" max="46" width="9.140625" style="799"/>
    <col min="47" max="16384" width="9.140625" style="94"/>
  </cols>
  <sheetData>
    <row r="1" spans="1:4" s="799" customFormat="1"/>
    <row r="2" spans="1:4" s="799" customFormat="1"/>
    <row r="3" spans="1:4" s="799" customFormat="1"/>
    <row r="4" spans="1:4" s="799" customFormat="1"/>
    <row r="5" spans="1:4" s="799" customFormat="1"/>
    <row r="6" spans="1:4" s="799" customFormat="1"/>
    <row r="7" spans="1:4" s="799" customFormat="1"/>
    <row r="8" spans="1:4" s="799" customFormat="1"/>
    <row r="9" spans="1:4" s="799" customFormat="1" ht="13.5" thickBot="1"/>
    <row r="10" spans="1:4" ht="21.75" customHeight="1" thickBot="1">
      <c r="A10" s="977" t="s">
        <v>321</v>
      </c>
      <c r="B10" s="978"/>
      <c r="C10" s="978"/>
      <c r="D10" s="979"/>
    </row>
    <row r="11" spans="1:4">
      <c r="A11" s="984" t="s">
        <v>306</v>
      </c>
      <c r="B11" s="985"/>
      <c r="C11" s="986"/>
      <c r="D11" s="987"/>
    </row>
    <row r="12" spans="1:4">
      <c r="A12" s="995" t="s">
        <v>379</v>
      </c>
      <c r="B12" s="999" t="s">
        <v>380</v>
      </c>
      <c r="C12" s="1000"/>
      <c r="D12" s="997" t="s">
        <v>382</v>
      </c>
    </row>
    <row r="13" spans="1:4">
      <c r="A13" s="996"/>
      <c r="B13" s="407" t="s">
        <v>381</v>
      </c>
      <c r="C13" s="408" t="s">
        <v>83</v>
      </c>
      <c r="D13" s="998"/>
    </row>
    <row r="14" spans="1:4" ht="25.5">
      <c r="A14" s="767" t="s">
        <v>597</v>
      </c>
      <c r="B14" s="527">
        <v>0</v>
      </c>
      <c r="C14" s="526">
        <v>0.15</v>
      </c>
      <c r="D14" s="206" t="s">
        <v>383</v>
      </c>
    </row>
    <row r="15" spans="1:4" ht="25.5">
      <c r="A15" s="767" t="s">
        <v>593</v>
      </c>
      <c r="B15" s="219">
        <f>+IF(INPUTS!$D$41=3,(('upper bound Kenaga'!D15)*((B14*1000/INPUTS!$F$41)^(INPUTS!$D$45-1))),IF(INPUTS!$D$41=1,(('upper bound Kenaga'!D15)*((B14*1000/178)^(INPUTS!$D$45-1))),(('upper bound Kenaga'!D15)*((B14*1000/1580)^(INPUTS!$D$45-1)))))</f>
        <v>0</v>
      </c>
      <c r="C15" s="410">
        <f>(INPUTS!C50*((350/(C14*1000))^0.25))</f>
        <v>0</v>
      </c>
      <c r="D15" s="207" t="s">
        <v>384</v>
      </c>
    </row>
    <row r="16" spans="1:4" ht="25.5">
      <c r="A16" s="767" t="s">
        <v>598</v>
      </c>
      <c r="B16" s="221">
        <f>B15*B14</f>
        <v>0</v>
      </c>
      <c r="C16" s="221">
        <f>C15*C14</f>
        <v>0</v>
      </c>
      <c r="D16" s="992" t="s">
        <v>316</v>
      </c>
    </row>
    <row r="17" spans="1:5" ht="38.25">
      <c r="A17" s="767" t="s">
        <v>599</v>
      </c>
      <c r="B17" s="221">
        <f>B15/2*B14</f>
        <v>0</v>
      </c>
      <c r="C17" s="221">
        <f>C15/2*C14</f>
        <v>0</v>
      </c>
      <c r="D17" s="993"/>
    </row>
    <row r="18" spans="1:5" ht="38.25">
      <c r="A18" s="767" t="s">
        <v>600</v>
      </c>
      <c r="B18" s="221">
        <f>(B15/10)*B14</f>
        <v>0</v>
      </c>
      <c r="C18" s="221">
        <f>(C15/10)*C14</f>
        <v>0</v>
      </c>
      <c r="D18" s="994"/>
    </row>
    <row r="19" spans="1:5">
      <c r="A19" s="980" t="s">
        <v>308</v>
      </c>
      <c r="B19" s="981"/>
      <c r="C19" s="982"/>
      <c r="D19" s="983"/>
    </row>
    <row r="20" spans="1:5">
      <c r="A20" s="205" t="s">
        <v>354</v>
      </c>
      <c r="B20" s="228">
        <v>0</v>
      </c>
      <c r="C20" s="406">
        <v>0</v>
      </c>
      <c r="D20" s="227" t="s">
        <v>353</v>
      </c>
    </row>
    <row r="21" spans="1:5" ht="25.5">
      <c r="A21" s="767" t="s">
        <v>307</v>
      </c>
      <c r="B21" s="222">
        <v>0</v>
      </c>
      <c r="C21" s="452">
        <v>0</v>
      </c>
      <c r="D21" s="206" t="s">
        <v>315</v>
      </c>
    </row>
    <row r="22" spans="1:5">
      <c r="A22" s="208" t="s">
        <v>317</v>
      </c>
      <c r="B22" s="226">
        <f>B21*B20</f>
        <v>0</v>
      </c>
      <c r="C22" s="226">
        <f>C21*C20</f>
        <v>0</v>
      </c>
      <c r="D22" s="209" t="s">
        <v>318</v>
      </c>
    </row>
    <row r="23" spans="1:5">
      <c r="A23" s="988" t="s">
        <v>319</v>
      </c>
      <c r="B23" s="989"/>
      <c r="C23" s="990"/>
      <c r="D23" s="991"/>
    </row>
    <row r="24" spans="1:5">
      <c r="A24" s="767" t="s">
        <v>596</v>
      </c>
      <c r="B24" s="203" t="e">
        <f>B16/B22</f>
        <v>#DIV/0!</v>
      </c>
      <c r="C24" s="203" t="e">
        <f>C16/C22</f>
        <v>#DIV/0!</v>
      </c>
      <c r="D24" s="207" t="s">
        <v>385</v>
      </c>
    </row>
    <row r="25" spans="1:5" ht="25.5">
      <c r="A25" s="767" t="s">
        <v>595</v>
      </c>
      <c r="B25" s="203" t="e">
        <f>B17/B22</f>
        <v>#DIV/0!</v>
      </c>
      <c r="C25" s="203" t="e">
        <f>C17/C22</f>
        <v>#DIV/0!</v>
      </c>
      <c r="D25" s="207" t="s">
        <v>386</v>
      </c>
    </row>
    <row r="26" spans="1:5" ht="26.25" thickBot="1">
      <c r="A26" s="768" t="s">
        <v>594</v>
      </c>
      <c r="B26" s="220" t="e">
        <f>B18/B22</f>
        <v>#DIV/0!</v>
      </c>
      <c r="C26" s="220" t="e">
        <f>C18/C22</f>
        <v>#DIV/0!</v>
      </c>
      <c r="D26" s="210" t="s">
        <v>387</v>
      </c>
    </row>
    <row r="27" spans="1:5" s="799" customFormat="1">
      <c r="A27" s="800"/>
      <c r="B27" s="801"/>
      <c r="C27" s="801"/>
      <c r="D27" s="802"/>
      <c r="E27" s="804"/>
    </row>
    <row r="28" spans="1:5" s="799" customFormat="1" ht="13.5" thickBot="1">
      <c r="A28" s="803"/>
      <c r="B28" s="800"/>
      <c r="C28" s="800"/>
      <c r="D28" s="802"/>
    </row>
    <row r="29" spans="1:5" ht="24" customHeight="1">
      <c r="A29" s="974" t="s">
        <v>312</v>
      </c>
      <c r="B29" s="975"/>
      <c r="C29" s="975"/>
      <c r="D29" s="976"/>
    </row>
    <row r="30" spans="1:5">
      <c r="A30" s="208" t="s">
        <v>309</v>
      </c>
      <c r="B30" s="204">
        <f>'LD50 ft-2'!C42</f>
        <v>0</v>
      </c>
      <c r="C30" s="204">
        <f>'LD50 ft-2'!C42</f>
        <v>0</v>
      </c>
      <c r="D30" s="209" t="s">
        <v>310</v>
      </c>
    </row>
    <row r="31" spans="1:5" ht="38.25">
      <c r="A31" s="769" t="s">
        <v>603</v>
      </c>
      <c r="B31" s="204" t="e">
        <f>B18/B30</f>
        <v>#DIV/0!</v>
      </c>
      <c r="C31" s="204" t="e">
        <f>C18/C30</f>
        <v>#DIV/0!</v>
      </c>
      <c r="D31" s="209" t="s">
        <v>388</v>
      </c>
    </row>
    <row r="32" spans="1:5" ht="38.25">
      <c r="A32" s="769" t="s">
        <v>602</v>
      </c>
      <c r="B32" s="204" t="e">
        <f>B31*2</f>
        <v>#DIV/0!</v>
      </c>
      <c r="C32" s="204" t="e">
        <f>C31*2</f>
        <v>#DIV/0!</v>
      </c>
      <c r="D32" s="209" t="s">
        <v>389</v>
      </c>
    </row>
    <row r="33" spans="1:4" ht="39" thickBot="1">
      <c r="A33" s="770" t="s">
        <v>601</v>
      </c>
      <c r="B33" s="211" t="e">
        <f>B31*10</f>
        <v>#DIV/0!</v>
      </c>
      <c r="C33" s="211" t="e">
        <f>C31*10</f>
        <v>#DIV/0!</v>
      </c>
      <c r="D33" s="409" t="s">
        <v>390</v>
      </c>
    </row>
    <row r="34" spans="1:4" s="799" customFormat="1"/>
    <row r="35" spans="1:4" s="799" customFormat="1"/>
    <row r="36" spans="1:4" s="799" customFormat="1"/>
    <row r="37" spans="1:4" s="799" customFormat="1"/>
    <row r="38" spans="1:4" s="799" customFormat="1"/>
    <row r="39" spans="1:4" s="799" customFormat="1"/>
    <row r="40" spans="1:4" s="799" customFormat="1"/>
    <row r="41" spans="1:4" s="799" customFormat="1"/>
    <row r="42" spans="1:4" s="799" customFormat="1"/>
    <row r="43" spans="1:4" s="799" customFormat="1"/>
    <row r="44" spans="1:4" s="799" customFormat="1"/>
    <row r="45" spans="1:4" s="799" customFormat="1"/>
    <row r="46" spans="1:4" s="799" customFormat="1"/>
    <row r="47" spans="1:4" s="799" customFormat="1"/>
    <row r="48" spans="1:4" s="799" customFormat="1"/>
    <row r="49" s="799" customFormat="1"/>
    <row r="50" s="799" customFormat="1"/>
    <row r="51" s="799" customFormat="1"/>
    <row r="52" s="799" customFormat="1"/>
    <row r="53" s="799" customFormat="1"/>
    <row r="54" s="799" customFormat="1"/>
    <row r="55" s="799" customFormat="1"/>
    <row r="56" s="799" customFormat="1"/>
    <row r="57" s="799" customFormat="1"/>
    <row r="58" s="799" customFormat="1"/>
    <row r="59" s="799" customFormat="1"/>
    <row r="60" s="799" customFormat="1"/>
    <row r="61" s="799" customFormat="1"/>
    <row r="62" s="799" customFormat="1"/>
    <row r="63" s="799" customFormat="1"/>
    <row r="64" s="799" customFormat="1"/>
    <row r="65" s="799" customFormat="1"/>
    <row r="66" s="799" customFormat="1"/>
    <row r="67" s="799" customFormat="1"/>
    <row r="68" s="799" customFormat="1"/>
    <row r="69" s="799" customFormat="1"/>
    <row r="70" s="799" customFormat="1"/>
    <row r="71" s="799" customFormat="1"/>
    <row r="72" s="799" customFormat="1"/>
    <row r="73" s="799" customFormat="1"/>
    <row r="74" s="799" customFormat="1"/>
    <row r="75" s="799" customFormat="1"/>
    <row r="76" s="799" customFormat="1"/>
    <row r="77" s="799" customFormat="1"/>
    <row r="78" s="799" customFormat="1"/>
    <row r="79" s="799" customFormat="1"/>
    <row r="80" s="799" customFormat="1"/>
    <row r="81" s="799" customFormat="1"/>
    <row r="82" s="799" customFormat="1"/>
    <row r="83" s="799" customFormat="1"/>
    <row r="84" s="799" customFormat="1"/>
    <row r="85" s="799" customFormat="1"/>
    <row r="86" s="799" customFormat="1"/>
    <row r="87" s="799" customFormat="1"/>
    <row r="88" s="799" customFormat="1"/>
    <row r="89" s="799" customFormat="1"/>
    <row r="90" s="799" customFormat="1"/>
    <row r="91" s="799" customFormat="1"/>
    <row r="92" s="799" customFormat="1"/>
    <row r="93" s="799" customFormat="1"/>
    <row r="94" s="799" customFormat="1"/>
    <row r="95" s="799" customFormat="1"/>
    <row r="96" s="799" customFormat="1"/>
    <row r="97" s="799" customFormat="1"/>
    <row r="98" s="799" customFormat="1"/>
    <row r="99" s="799" customFormat="1"/>
    <row r="100" s="799" customFormat="1"/>
    <row r="101" s="799" customFormat="1"/>
    <row r="102" s="799" customFormat="1"/>
    <row r="103" s="799" customFormat="1"/>
    <row r="104" s="799" customFormat="1"/>
    <row r="105" s="799" customFormat="1"/>
    <row r="106" s="799" customFormat="1"/>
    <row r="107" s="799" customFormat="1"/>
    <row r="108" s="799" customFormat="1"/>
    <row r="109" s="799" customFormat="1"/>
    <row r="110" s="799" customFormat="1"/>
    <row r="111" s="799" customFormat="1"/>
    <row r="112" s="799" customFormat="1"/>
    <row r="113" s="799" customFormat="1"/>
    <row r="114" s="799" customFormat="1"/>
    <row r="115" s="799" customFormat="1"/>
    <row r="116" s="799" customFormat="1"/>
    <row r="117" s="799" customFormat="1"/>
    <row r="118" s="799" customFormat="1"/>
    <row r="119" s="799" customFormat="1"/>
    <row r="120" s="799" customFormat="1"/>
    <row r="121" s="799" customFormat="1"/>
    <row r="122" s="799" customFormat="1"/>
    <row r="123" s="799" customFormat="1"/>
    <row r="124" s="799" customFormat="1"/>
    <row r="125" s="799" customFormat="1"/>
    <row r="126" s="799" customFormat="1"/>
    <row r="127" s="799" customFormat="1"/>
    <row r="128" s="799" customFormat="1"/>
    <row r="129" s="799" customFormat="1"/>
    <row r="130" s="799" customFormat="1"/>
    <row r="131" s="799" customFormat="1"/>
    <row r="132" s="799" customFormat="1"/>
    <row r="133" s="799" customFormat="1"/>
    <row r="134" s="799" customFormat="1"/>
    <row r="135" s="799" customFormat="1"/>
    <row r="136" s="799" customFormat="1"/>
    <row r="137" s="799" customFormat="1"/>
    <row r="138" s="799" customFormat="1"/>
    <row r="139" s="799" customFormat="1"/>
    <row r="140" s="799" customFormat="1"/>
    <row r="141" s="799" customFormat="1"/>
    <row r="142" s="799" customFormat="1"/>
    <row r="143" s="799" customFormat="1"/>
    <row r="144" s="799" customFormat="1"/>
    <row r="145" s="799" customFormat="1"/>
    <row r="146" s="799" customFormat="1"/>
    <row r="147" s="799" customFormat="1"/>
    <row r="148" s="799" customFormat="1"/>
    <row r="149" s="799" customFormat="1"/>
    <row r="150" s="799" customFormat="1"/>
    <row r="151" s="799" customFormat="1"/>
    <row r="152" s="799" customFormat="1"/>
    <row r="153" s="799" customFormat="1"/>
    <row r="154" s="799" customFormat="1"/>
    <row r="155" s="799" customFormat="1"/>
    <row r="156" s="799" customFormat="1"/>
    <row r="157" s="799" customFormat="1"/>
    <row r="158" s="799" customFormat="1"/>
    <row r="159" s="799" customFormat="1"/>
    <row r="160" s="799" customFormat="1"/>
    <row r="161" s="799" customFormat="1"/>
    <row r="162" s="799" customFormat="1"/>
    <row r="163" s="799" customFormat="1"/>
    <row r="164" s="799" customFormat="1"/>
    <row r="165" s="799" customFormat="1"/>
    <row r="166" s="799" customFormat="1"/>
    <row r="167" s="799" customFormat="1"/>
    <row r="168" s="799" customFormat="1"/>
    <row r="169" s="799" customFormat="1"/>
    <row r="170" s="799" customFormat="1"/>
    <row r="171" s="799" customFormat="1"/>
    <row r="172" s="799" customFormat="1"/>
    <row r="173" s="799" customFormat="1"/>
    <row r="174" s="799" customFormat="1"/>
    <row r="175" s="799" customFormat="1"/>
    <row r="176" s="799" customFormat="1"/>
    <row r="177" s="799" customFormat="1"/>
    <row r="178" s="799" customFormat="1"/>
    <row r="179" s="799" customFormat="1"/>
    <row r="180" s="799" customFormat="1"/>
    <row r="181" s="799" customFormat="1"/>
    <row r="182" s="799" customFormat="1"/>
    <row r="183" s="799" customFormat="1"/>
    <row r="184" s="799" customFormat="1"/>
    <row r="185" s="799" customFormat="1"/>
    <row r="186" s="799" customFormat="1"/>
    <row r="187" s="799" customFormat="1"/>
    <row r="188" s="799" customFormat="1"/>
    <row r="189" s="799" customFormat="1"/>
    <row r="190" s="799" customFormat="1"/>
    <row r="191" s="799" customFormat="1"/>
    <row r="192" s="799" customFormat="1"/>
    <row r="193" s="799" customFormat="1"/>
    <row r="194" s="799" customFormat="1"/>
    <row r="195" s="799" customFormat="1"/>
    <row r="196" s="799" customFormat="1"/>
    <row r="197" s="799" customFormat="1"/>
    <row r="198" s="799" customFormat="1"/>
    <row r="199" s="799" customFormat="1"/>
    <row r="200" s="799" customFormat="1"/>
    <row r="201" s="799" customFormat="1"/>
    <row r="202" s="799" customFormat="1"/>
    <row r="203" s="799" customFormat="1"/>
    <row r="204" s="799" customFormat="1"/>
    <row r="205" s="799" customFormat="1"/>
    <row r="206" s="799" customFormat="1"/>
    <row r="207" s="799" customFormat="1"/>
    <row r="208" s="799" customFormat="1"/>
    <row r="209" s="799" customFormat="1"/>
    <row r="210" s="799" customFormat="1"/>
    <row r="211" s="799" customFormat="1"/>
    <row r="212" s="799" customFormat="1"/>
    <row r="213" s="799" customFormat="1"/>
    <row r="214" s="799" customFormat="1"/>
    <row r="215" s="799" customFormat="1"/>
    <row r="216" s="799" customFormat="1"/>
    <row r="217" s="799" customFormat="1"/>
    <row r="218" s="799" customFormat="1"/>
    <row r="219" s="799" customFormat="1"/>
    <row r="220" s="799" customFormat="1"/>
    <row r="221" s="799" customFormat="1"/>
    <row r="222" s="799" customFormat="1"/>
    <row r="223" s="799" customFormat="1"/>
    <row r="224" s="799" customFormat="1"/>
    <row r="225" s="799" customFormat="1"/>
    <row r="226" s="799" customFormat="1"/>
    <row r="227" s="799" customFormat="1"/>
    <row r="228" s="799" customFormat="1"/>
    <row r="229" s="799" customFormat="1"/>
    <row r="230" s="799" customFormat="1"/>
    <row r="231" s="799" customFormat="1"/>
    <row r="232" s="799" customFormat="1"/>
    <row r="233" s="799" customFormat="1"/>
    <row r="234" s="799" customFormat="1"/>
    <row r="235" s="799" customFormat="1"/>
    <row r="236" s="799" customFormat="1"/>
    <row r="237" s="799" customFormat="1"/>
    <row r="238" s="799" customFormat="1"/>
    <row r="239" s="799" customFormat="1"/>
    <row r="240" s="799" customFormat="1"/>
    <row r="241" s="799" customFormat="1"/>
    <row r="242" s="799" customFormat="1"/>
    <row r="243" s="799" customFormat="1"/>
    <row r="244" s="799" customFormat="1"/>
    <row r="245" s="799" customFormat="1"/>
    <row r="246" s="799" customFormat="1"/>
    <row r="247" s="799" customFormat="1"/>
    <row r="248" s="799" customFormat="1"/>
    <row r="249" s="799" customFormat="1"/>
    <row r="250" s="799" customFormat="1"/>
    <row r="251" s="799" customFormat="1"/>
    <row r="252" s="799" customFormat="1"/>
    <row r="253" s="799" customFormat="1"/>
    <row r="254" s="799" customFormat="1"/>
    <row r="255" s="799" customFormat="1"/>
    <row r="256" s="799" customFormat="1"/>
    <row r="257" s="799" customFormat="1"/>
    <row r="258" s="799" customFormat="1"/>
    <row r="259" s="799" customFormat="1"/>
    <row r="260" s="799" customFormat="1"/>
    <row r="261" s="799" customFormat="1"/>
    <row r="262" s="799" customFormat="1"/>
    <row r="263" s="799" customFormat="1"/>
    <row r="264" s="799" customFormat="1"/>
    <row r="265" s="799" customFormat="1"/>
    <row r="266" s="799" customFormat="1"/>
    <row r="267" s="799" customFormat="1"/>
    <row r="268" s="799" customFormat="1"/>
    <row r="269" s="799" customFormat="1"/>
    <row r="270" s="799" customFormat="1"/>
    <row r="271" s="799" customFormat="1"/>
    <row r="272" s="799" customFormat="1"/>
    <row r="273" s="799" customFormat="1"/>
    <row r="274" s="799" customFormat="1"/>
    <row r="275" s="799" customFormat="1"/>
    <row r="276" s="799" customFormat="1"/>
    <row r="277" s="799" customFormat="1"/>
    <row r="278" s="799" customFormat="1"/>
    <row r="279" s="799" customFormat="1"/>
    <row r="280" s="799" customFormat="1"/>
    <row r="281" s="799" customFormat="1"/>
    <row r="282" s="799" customFormat="1"/>
    <row r="283" s="799" customFormat="1"/>
    <row r="284" s="799" customFormat="1"/>
    <row r="285" s="799" customFormat="1"/>
    <row r="286" s="799" customFormat="1"/>
    <row r="287" s="799" customFormat="1"/>
    <row r="288" s="799" customFormat="1"/>
    <row r="289" s="799" customFormat="1"/>
    <row r="290" s="799" customFormat="1"/>
    <row r="291" s="799" customFormat="1"/>
    <row r="292" s="799" customFormat="1"/>
    <row r="293" s="799" customFormat="1"/>
    <row r="294" s="799" customFormat="1"/>
    <row r="295" s="799" customFormat="1"/>
    <row r="296" s="799" customFormat="1"/>
    <row r="297" s="799" customFormat="1"/>
    <row r="298" s="799" customFormat="1"/>
    <row r="299" s="799" customFormat="1"/>
    <row r="300" s="799" customFormat="1"/>
    <row r="301" s="799" customFormat="1"/>
    <row r="302" s="799" customFormat="1"/>
    <row r="303" s="799" customFormat="1"/>
    <row r="304" s="799" customFormat="1"/>
    <row r="305" s="799" customFormat="1"/>
    <row r="306" s="799" customFormat="1"/>
    <row r="307" s="799" customFormat="1"/>
    <row r="308" s="799" customFormat="1"/>
    <row r="309" s="799" customFormat="1"/>
    <row r="310" s="799" customFormat="1"/>
    <row r="311" s="799" customFormat="1"/>
    <row r="312" s="799" customFormat="1"/>
    <row r="313" s="799" customFormat="1"/>
    <row r="314" s="799" customFormat="1"/>
    <row r="315" s="799" customFormat="1"/>
    <row r="316" s="799" customFormat="1"/>
    <row r="317" s="799" customFormat="1"/>
    <row r="318" s="799" customFormat="1"/>
    <row r="319" s="799" customFormat="1"/>
    <row r="320" s="799" customFormat="1"/>
    <row r="321" s="799" customFormat="1"/>
    <row r="322" s="799" customFormat="1"/>
    <row r="323" s="799" customFormat="1"/>
    <row r="324" s="799" customFormat="1"/>
    <row r="325" s="799" customFormat="1"/>
    <row r="326" s="799" customFormat="1"/>
    <row r="327" s="799" customFormat="1"/>
    <row r="328" s="799" customFormat="1"/>
    <row r="329" s="799" customFormat="1"/>
    <row r="330" s="799" customFormat="1"/>
    <row r="331" s="799" customFormat="1"/>
    <row r="332" s="799" customFormat="1"/>
    <row r="333" s="799" customFormat="1"/>
    <row r="334" s="799" customFormat="1"/>
    <row r="335" s="799" customFormat="1"/>
    <row r="336" s="799" customFormat="1"/>
    <row r="337" s="799" customFormat="1"/>
    <row r="338" s="799" customFormat="1"/>
    <row r="339" s="799" customFormat="1"/>
    <row r="340" s="799" customFormat="1"/>
    <row r="341" s="799" customFormat="1"/>
    <row r="342" s="799" customFormat="1"/>
    <row r="343" s="799" customFormat="1"/>
    <row r="344" s="799" customFormat="1"/>
    <row r="345" s="799" customFormat="1"/>
    <row r="346" s="799" customFormat="1"/>
    <row r="347" s="799" customFormat="1"/>
    <row r="348" s="799" customFormat="1"/>
    <row r="349" s="799" customFormat="1"/>
    <row r="350" s="799" customFormat="1"/>
    <row r="351" s="799" customFormat="1"/>
    <row r="352" s="799" customFormat="1"/>
    <row r="353" s="799" customFormat="1"/>
    <row r="354" s="799" customFormat="1"/>
    <row r="355" s="799" customFormat="1"/>
    <row r="356" s="799" customFormat="1"/>
    <row r="357" s="799" customFormat="1"/>
    <row r="358" s="799" customFormat="1"/>
    <row r="359" s="799" customFormat="1"/>
    <row r="360" s="799" customFormat="1"/>
    <row r="361" s="799" customFormat="1"/>
    <row r="362" s="799" customFormat="1"/>
    <row r="363" s="799" customFormat="1"/>
    <row r="364" s="799" customFormat="1"/>
    <row r="365" s="799" customFormat="1"/>
    <row r="366" s="799" customFormat="1"/>
    <row r="367" s="799" customFormat="1"/>
    <row r="368" s="799" customFormat="1"/>
    <row r="369" s="799" customFormat="1"/>
    <row r="370" s="799" customFormat="1"/>
    <row r="371" s="799" customFormat="1"/>
    <row r="372" s="799" customFormat="1"/>
    <row r="373" s="799" customFormat="1"/>
    <row r="374" s="799" customFormat="1"/>
    <row r="375" s="799" customFormat="1"/>
    <row r="376" s="799" customFormat="1"/>
    <row r="377" s="799" customFormat="1"/>
    <row r="378" s="799" customFormat="1"/>
    <row r="379" s="799" customFormat="1"/>
    <row r="380" s="799" customFormat="1"/>
    <row r="381" s="799" customFormat="1"/>
    <row r="382" s="799" customFormat="1"/>
    <row r="383" s="799" customFormat="1"/>
    <row r="384" s="799" customFormat="1"/>
    <row r="385" s="799" customFormat="1"/>
    <row r="386" s="799" customFormat="1"/>
    <row r="387" s="799" customFormat="1"/>
    <row r="388" s="799" customFormat="1"/>
    <row r="389" s="799" customFormat="1"/>
    <row r="390" s="799" customFormat="1"/>
    <row r="391" s="799" customFormat="1"/>
    <row r="392" s="799" customFormat="1"/>
    <row r="393" s="799" customFormat="1"/>
    <row r="394" s="799" customFormat="1"/>
    <row r="395" s="799" customFormat="1"/>
    <row r="396" s="799" customFormat="1"/>
    <row r="397" s="799" customFormat="1"/>
    <row r="398" s="799" customFormat="1"/>
    <row r="399" s="799" customFormat="1"/>
    <row r="400" s="799" customFormat="1"/>
    <row r="401" s="799" customFormat="1"/>
    <row r="402" s="799" customFormat="1"/>
    <row r="403" s="799" customFormat="1"/>
    <row r="404" s="799" customFormat="1"/>
    <row r="405" s="799" customFormat="1"/>
    <row r="406" s="799" customFormat="1"/>
    <row r="407" s="799" customFormat="1"/>
    <row r="408" s="799" customFormat="1"/>
    <row r="409" s="799" customFormat="1"/>
    <row r="410" s="799" customFormat="1"/>
    <row r="411" s="799" customFormat="1"/>
    <row r="412" s="799" customFormat="1"/>
    <row r="413" s="799" customFormat="1"/>
    <row r="414" s="799" customFormat="1"/>
    <row r="415" s="799" customFormat="1"/>
    <row r="416" s="799" customFormat="1"/>
    <row r="417" s="799" customFormat="1"/>
    <row r="418" s="799" customFormat="1"/>
    <row r="419" s="799" customFormat="1"/>
    <row r="420" s="799" customFormat="1"/>
    <row r="421" s="799" customFormat="1"/>
    <row r="422" s="799" customFormat="1"/>
    <row r="423" s="799" customFormat="1"/>
    <row r="424" s="799" customFormat="1"/>
    <row r="425" s="799" customFormat="1"/>
    <row r="426" s="799" customFormat="1"/>
    <row r="427" s="799" customFormat="1"/>
    <row r="428" s="799" customFormat="1"/>
    <row r="429" s="799" customFormat="1"/>
    <row r="430" s="799" customFormat="1"/>
    <row r="431" s="799" customFormat="1"/>
    <row r="432" s="799" customFormat="1"/>
    <row r="433" s="799" customFormat="1"/>
    <row r="434" s="799" customFormat="1"/>
    <row r="435" s="799" customFormat="1"/>
    <row r="436" s="799" customFormat="1"/>
    <row r="437" s="799" customFormat="1"/>
    <row r="438" s="799" customFormat="1"/>
    <row r="439" s="799" customFormat="1"/>
    <row r="440" s="799" customFormat="1"/>
    <row r="441" s="799" customFormat="1"/>
    <row r="442" s="799" customFormat="1"/>
    <row r="443" s="799" customFormat="1"/>
    <row r="444" s="799" customFormat="1"/>
    <row r="445" s="799" customFormat="1"/>
    <row r="446" s="799" customFormat="1"/>
    <row r="447" s="799" customFormat="1"/>
    <row r="448" s="799" customFormat="1"/>
    <row r="449" s="799" customFormat="1"/>
    <row r="450" s="799" customFormat="1"/>
    <row r="451" s="799" customFormat="1"/>
    <row r="452" s="799" customFormat="1"/>
    <row r="453" s="799" customFormat="1"/>
    <row r="454" s="799" customFormat="1"/>
    <row r="455" s="799" customFormat="1"/>
    <row r="456" s="799" customFormat="1"/>
    <row r="457" s="799" customFormat="1"/>
    <row r="458" s="799" customFormat="1"/>
    <row r="459" s="799" customFormat="1"/>
    <row r="460" s="799" customFormat="1"/>
    <row r="461" s="799" customFormat="1"/>
    <row r="462" s="799" customFormat="1"/>
    <row r="463" s="799" customFormat="1"/>
    <row r="464" s="799" customFormat="1"/>
    <row r="465" s="799" customFormat="1"/>
    <row r="466" s="799" customFormat="1"/>
    <row r="467" s="799" customFormat="1"/>
    <row r="468" s="799" customFormat="1"/>
    <row r="469" s="799" customFormat="1"/>
    <row r="470" s="799" customFormat="1"/>
    <row r="471" s="799" customFormat="1"/>
    <row r="472" s="799" customFormat="1"/>
    <row r="473" s="799" customFormat="1"/>
    <row r="474" s="799" customFormat="1"/>
    <row r="475" s="799" customFormat="1"/>
    <row r="476" s="799" customFormat="1"/>
    <row r="477" s="799" customFormat="1"/>
    <row r="478" s="799" customFormat="1"/>
    <row r="479" s="799" customFormat="1"/>
    <row r="480" s="799" customFormat="1"/>
    <row r="481" s="799" customFormat="1"/>
    <row r="482" s="799" customFormat="1"/>
    <row r="483" s="799" customFormat="1"/>
    <row r="484" s="799" customFormat="1"/>
    <row r="485" s="799" customFormat="1"/>
    <row r="486" s="799" customFormat="1"/>
    <row r="487" s="799" customFormat="1"/>
    <row r="488" s="799" customFormat="1"/>
    <row r="489" s="799" customFormat="1"/>
    <row r="490" s="799" customFormat="1"/>
    <row r="491" s="799" customFormat="1"/>
    <row r="492" s="799" customFormat="1"/>
    <row r="493" s="799" customFormat="1"/>
    <row r="494" s="799" customFormat="1"/>
    <row r="495" s="799" customFormat="1"/>
    <row r="496" s="799" customFormat="1"/>
    <row r="497" s="799" customFormat="1"/>
    <row r="498" s="799" customFormat="1"/>
    <row r="499" s="799" customFormat="1"/>
    <row r="500" s="799" customFormat="1"/>
    <row r="501" s="799" customFormat="1"/>
    <row r="502" s="799" customFormat="1"/>
    <row r="503" s="799" customFormat="1"/>
    <row r="504" s="799" customFormat="1"/>
    <row r="505" s="799" customFormat="1"/>
    <row r="506" s="799" customFormat="1"/>
    <row r="507" s="799" customFormat="1"/>
    <row r="508" s="799" customFormat="1"/>
    <row r="509" s="799" customFormat="1"/>
    <row r="510" s="799" customFormat="1"/>
    <row r="511" s="799" customFormat="1"/>
    <row r="512" s="799" customFormat="1"/>
    <row r="513" s="799" customFormat="1"/>
    <row r="514" s="799" customFormat="1"/>
    <row r="515" s="799" customFormat="1"/>
    <row r="516" s="799" customFormat="1"/>
    <row r="517" s="799" customFormat="1"/>
    <row r="518" s="799" customFormat="1"/>
    <row r="519" s="799" customFormat="1"/>
    <row r="520" s="799" customFormat="1"/>
    <row r="521" s="799" customFormat="1"/>
    <row r="522" s="799" customFormat="1"/>
    <row r="523" s="799" customFormat="1"/>
    <row r="524" s="799" customFormat="1"/>
    <row r="525" s="799" customFormat="1"/>
    <row r="526" s="799" customFormat="1"/>
    <row r="527" s="799" customFormat="1"/>
    <row r="528" s="799" customFormat="1"/>
    <row r="529" s="799" customFormat="1"/>
    <row r="530" s="799" customFormat="1"/>
    <row r="531" s="799" customFormat="1"/>
    <row r="532" s="799" customFormat="1"/>
    <row r="533" s="799" customFormat="1"/>
    <row r="534" s="799" customFormat="1"/>
    <row r="535" s="799" customFormat="1"/>
    <row r="536" s="799" customFormat="1"/>
    <row r="537" s="799" customFormat="1"/>
    <row r="538" s="799" customFormat="1"/>
    <row r="539" s="799" customFormat="1"/>
    <row r="540" s="799" customFormat="1"/>
    <row r="541" s="799" customFormat="1"/>
    <row r="542" s="799" customFormat="1"/>
    <row r="543" s="799" customFormat="1"/>
    <row r="544" s="799" customFormat="1"/>
    <row r="545" s="799" customFormat="1"/>
    <row r="546" s="799" customFormat="1"/>
    <row r="547" s="799" customFormat="1"/>
    <row r="548" s="799" customFormat="1"/>
    <row r="549" s="799" customFormat="1"/>
    <row r="550" s="799" customFormat="1"/>
    <row r="551" s="799" customFormat="1"/>
    <row r="552" s="799" customFormat="1"/>
    <row r="553" s="799" customFormat="1"/>
    <row r="554" s="799" customFormat="1"/>
    <row r="555" s="799" customFormat="1"/>
    <row r="556" s="799" customFormat="1"/>
    <row r="557" s="799" customFormat="1"/>
    <row r="558" s="799" customFormat="1"/>
    <row r="559" s="799" customFormat="1"/>
    <row r="560" s="799" customFormat="1"/>
    <row r="561" s="799" customFormat="1"/>
    <row r="562" s="799" customFormat="1"/>
    <row r="563" s="799" customFormat="1"/>
    <row r="564" s="799" customFormat="1"/>
    <row r="565" s="799" customFormat="1"/>
    <row r="566" s="799" customFormat="1"/>
    <row r="567" s="799" customFormat="1"/>
    <row r="568" s="799" customFormat="1"/>
    <row r="569" s="799" customFormat="1"/>
    <row r="570" s="799" customFormat="1"/>
    <row r="571" s="799" customFormat="1"/>
    <row r="572" s="799" customFormat="1"/>
    <row r="573" s="799" customFormat="1"/>
    <row r="574" s="799" customFormat="1"/>
    <row r="575" s="799" customFormat="1"/>
    <row r="576" s="799" customFormat="1"/>
    <row r="577" s="799" customFormat="1"/>
    <row r="578" s="799" customFormat="1"/>
    <row r="579" s="799" customFormat="1"/>
    <row r="580" s="799" customFormat="1"/>
    <row r="581" s="799" customFormat="1"/>
    <row r="582" s="799" customFormat="1"/>
    <row r="583" s="799" customFormat="1"/>
    <row r="584" s="799" customFormat="1"/>
    <row r="585" s="799" customFormat="1"/>
    <row r="586" s="799" customFormat="1"/>
    <row r="587" s="799" customFormat="1"/>
    <row r="588" s="799" customFormat="1"/>
    <row r="589" s="799" customFormat="1"/>
    <row r="590" s="799" customFormat="1"/>
    <row r="591" s="799" customFormat="1"/>
    <row r="592" s="799" customFormat="1"/>
    <row r="593" s="799" customFormat="1"/>
    <row r="594" s="799" customFormat="1"/>
    <row r="595" s="799" customFormat="1"/>
    <row r="596" s="799" customFormat="1"/>
    <row r="597" s="799" customFormat="1"/>
    <row r="598" s="799" customFormat="1"/>
    <row r="599" s="799" customFormat="1"/>
    <row r="600" s="799" customFormat="1"/>
    <row r="601" s="799" customFormat="1"/>
    <row r="602" s="799" customFormat="1"/>
    <row r="603" s="799" customFormat="1"/>
    <row r="604" s="799" customFormat="1"/>
    <row r="605" s="799" customFormat="1"/>
    <row r="606" s="799" customFormat="1"/>
    <row r="607" s="799" customFormat="1"/>
    <row r="608" s="799" customFormat="1"/>
    <row r="609" s="799" customFormat="1"/>
    <row r="610" s="799" customFormat="1"/>
    <row r="611" s="799" customFormat="1"/>
    <row r="612" s="799" customFormat="1"/>
    <row r="613" s="799" customFormat="1"/>
    <row r="614" s="799" customFormat="1"/>
    <row r="615" s="799" customFormat="1"/>
    <row r="616" s="799" customFormat="1"/>
    <row r="617" s="799" customFormat="1"/>
    <row r="618" s="799" customFormat="1"/>
    <row r="619" s="799" customFormat="1"/>
    <row r="620" s="799" customFormat="1"/>
    <row r="621" s="799" customFormat="1"/>
    <row r="622" s="799" customFormat="1"/>
    <row r="623" s="799" customFormat="1"/>
    <row r="624" s="799" customFormat="1"/>
    <row r="625" s="799" customFormat="1"/>
    <row r="626" s="799" customFormat="1"/>
    <row r="627" s="799" customFormat="1"/>
    <row r="628" s="799" customFormat="1"/>
    <row r="629" s="799" customFormat="1"/>
    <row r="630" s="799" customFormat="1"/>
    <row r="631" s="799" customFormat="1"/>
    <row r="632" s="799" customFormat="1"/>
    <row r="633" s="799" customFormat="1"/>
    <row r="634" s="799" customFormat="1"/>
    <row r="635" s="799" customFormat="1"/>
    <row r="636" s="799" customFormat="1"/>
    <row r="637" s="799" customFormat="1"/>
    <row r="638" s="799" customFormat="1"/>
    <row r="639" s="799" customFormat="1"/>
    <row r="640" s="799" customFormat="1"/>
    <row r="641" s="799" customFormat="1"/>
    <row r="642" s="799" customFormat="1"/>
    <row r="643" s="799" customFormat="1"/>
    <row r="644" s="799" customFormat="1"/>
    <row r="645" s="799" customFormat="1"/>
    <row r="646" s="799" customFormat="1"/>
    <row r="647" s="799" customFormat="1"/>
    <row r="648" s="799" customFormat="1"/>
    <row r="649" s="799" customFormat="1"/>
    <row r="650" s="799" customFormat="1"/>
    <row r="651" s="799" customFormat="1"/>
    <row r="652" s="799" customFormat="1"/>
    <row r="653" s="799" customFormat="1"/>
    <row r="654" s="799" customFormat="1"/>
    <row r="655" s="799" customFormat="1"/>
    <row r="656" s="799" customFormat="1"/>
    <row r="657" s="799" customFormat="1"/>
    <row r="658" s="799" customFormat="1"/>
    <row r="659" s="799" customFormat="1"/>
    <row r="660" s="799" customFormat="1"/>
    <row r="661" s="799" customFormat="1"/>
    <row r="662" s="799" customFormat="1"/>
    <row r="663" s="799" customFormat="1"/>
    <row r="664" s="799" customFormat="1"/>
    <row r="665" s="799" customFormat="1"/>
    <row r="666" s="799" customFormat="1"/>
    <row r="667" s="799" customFormat="1"/>
    <row r="668" s="799" customFormat="1"/>
    <row r="669" s="799" customFormat="1"/>
    <row r="670" s="799" customFormat="1"/>
    <row r="671" s="799" customFormat="1"/>
    <row r="672" s="799" customFormat="1"/>
    <row r="673" s="799" customFormat="1"/>
    <row r="674" s="799" customFormat="1"/>
    <row r="675" s="799" customFormat="1"/>
    <row r="676" s="799" customFormat="1"/>
    <row r="677" s="799" customFormat="1"/>
    <row r="678" s="799" customFormat="1"/>
    <row r="679" s="799" customFormat="1"/>
    <row r="680" s="799" customFormat="1"/>
    <row r="681" s="799" customFormat="1"/>
    <row r="682" s="799" customFormat="1"/>
    <row r="683" s="799" customFormat="1"/>
    <row r="684" s="799" customFormat="1"/>
    <row r="685" s="799" customFormat="1"/>
    <row r="686" s="799" customFormat="1"/>
    <row r="687" s="799" customFormat="1"/>
    <row r="688" s="799" customFormat="1"/>
    <row r="689" s="799" customFormat="1"/>
    <row r="690" s="799" customFormat="1"/>
    <row r="691" s="799" customFormat="1"/>
    <row r="692" s="799" customFormat="1"/>
    <row r="693" s="799" customFormat="1"/>
    <row r="694" s="799" customFormat="1"/>
    <row r="695" s="799" customFormat="1"/>
    <row r="696" s="799" customFormat="1"/>
    <row r="697" s="799" customFormat="1"/>
    <row r="698" s="799" customFormat="1"/>
    <row r="699" s="799" customFormat="1"/>
    <row r="700" s="799" customFormat="1"/>
    <row r="701" s="799" customFormat="1"/>
    <row r="702" s="799" customFormat="1"/>
    <row r="703" s="799" customFormat="1"/>
    <row r="704" s="799" customFormat="1"/>
    <row r="705" s="799" customFormat="1"/>
    <row r="706" s="799" customFormat="1"/>
    <row r="707" s="799" customFormat="1"/>
    <row r="708" s="799" customFormat="1"/>
    <row r="709" s="799" customFormat="1"/>
    <row r="710" s="799" customFormat="1"/>
    <row r="711" s="799" customFormat="1"/>
    <row r="712" s="799" customFormat="1"/>
    <row r="713" s="799" customFormat="1"/>
    <row r="714" s="799" customFormat="1"/>
    <row r="715" s="799" customFormat="1"/>
    <row r="716" s="799" customFormat="1"/>
    <row r="717" s="799" customFormat="1"/>
    <row r="718" s="799" customFormat="1"/>
    <row r="719" s="799" customFormat="1"/>
    <row r="720" s="799" customFormat="1"/>
    <row r="721" s="799" customFormat="1"/>
    <row r="722" s="799" customFormat="1"/>
    <row r="723" s="799" customFormat="1"/>
    <row r="724" s="799" customFormat="1"/>
    <row r="725" s="799" customFormat="1"/>
    <row r="726" s="799" customFormat="1"/>
    <row r="727" s="799" customFormat="1"/>
    <row r="728" s="799" customFormat="1"/>
    <row r="729" s="799" customFormat="1"/>
    <row r="730" s="799" customFormat="1"/>
    <row r="731" s="799" customFormat="1"/>
    <row r="732" s="799" customFormat="1"/>
    <row r="733" s="799" customFormat="1"/>
    <row r="734" s="799" customFormat="1"/>
    <row r="735" s="799" customFormat="1"/>
    <row r="736" s="799" customFormat="1"/>
    <row r="737" s="799" customFormat="1"/>
    <row r="738" s="799" customFormat="1"/>
    <row r="739" s="799" customFormat="1"/>
    <row r="740" s="799" customFormat="1"/>
    <row r="741" s="799" customFormat="1"/>
    <row r="742" s="799" customFormat="1"/>
    <row r="743" s="799" customFormat="1"/>
    <row r="744" s="799" customFormat="1"/>
    <row r="745" s="799" customFormat="1"/>
    <row r="746" s="799" customFormat="1"/>
    <row r="747" s="799" customFormat="1"/>
    <row r="748" s="799" customFormat="1"/>
    <row r="749" s="799" customFormat="1"/>
    <row r="750" s="799" customFormat="1"/>
    <row r="751" s="799" customFormat="1"/>
    <row r="752" s="799" customFormat="1"/>
    <row r="753" s="799" customFormat="1"/>
    <row r="754" s="799" customFormat="1"/>
    <row r="755" s="799" customFormat="1"/>
    <row r="756" s="799" customFormat="1"/>
    <row r="757" s="799" customFormat="1"/>
    <row r="758" s="799" customFormat="1"/>
    <row r="759" s="799" customFormat="1"/>
    <row r="760" s="799" customFormat="1"/>
    <row r="761" s="799" customFormat="1"/>
    <row r="762" s="799" customFormat="1"/>
    <row r="763" s="799" customFormat="1"/>
    <row r="764" s="799" customFormat="1"/>
    <row r="765" s="799" customFormat="1"/>
    <row r="766" s="799" customFormat="1"/>
    <row r="767" s="799" customFormat="1"/>
    <row r="768" s="799" customFormat="1"/>
    <row r="769" s="799" customFormat="1"/>
    <row r="770" s="799" customFormat="1"/>
    <row r="771" s="799" customFormat="1"/>
    <row r="772" s="799" customFormat="1"/>
    <row r="773" s="799" customFormat="1"/>
    <row r="774" s="799" customFormat="1"/>
    <row r="775" s="799" customFormat="1"/>
    <row r="776" s="799" customFormat="1"/>
    <row r="777" s="799" customFormat="1"/>
    <row r="778" s="799" customFormat="1"/>
    <row r="779" s="799" customFormat="1"/>
    <row r="780" s="799" customFormat="1"/>
    <row r="781" s="799" customFormat="1"/>
    <row r="782" s="799" customFormat="1"/>
    <row r="783" s="799" customFormat="1"/>
    <row r="784" s="799" customFormat="1"/>
    <row r="785" s="799" customFormat="1"/>
    <row r="786" s="799" customFormat="1"/>
    <row r="787" s="799" customFormat="1"/>
    <row r="788" s="799" customFormat="1"/>
    <row r="789" s="799" customFormat="1"/>
    <row r="790" s="799" customFormat="1"/>
    <row r="791" s="799" customFormat="1"/>
    <row r="792" s="799" customFormat="1"/>
    <row r="793" s="799" customFormat="1"/>
    <row r="794" s="799" customFormat="1"/>
    <row r="795" s="799" customFormat="1"/>
    <row r="796" s="799" customFormat="1"/>
    <row r="797" s="799" customFormat="1"/>
    <row r="798" s="799" customFormat="1"/>
    <row r="799" s="799" customFormat="1"/>
    <row r="800" s="799" customFormat="1"/>
    <row r="801" s="799" customFormat="1"/>
    <row r="802" s="799" customFormat="1"/>
    <row r="803" s="799" customFormat="1"/>
    <row r="804" s="799" customFormat="1"/>
    <row r="805" s="799" customFormat="1"/>
    <row r="806" s="799" customFormat="1"/>
    <row r="807" s="799" customFormat="1"/>
    <row r="808" s="799" customFormat="1"/>
    <row r="809" s="799" customFormat="1"/>
    <row r="810" s="799" customFormat="1"/>
    <row r="811" s="799" customFormat="1"/>
    <row r="812" s="799" customFormat="1"/>
    <row r="813" s="799" customFormat="1"/>
    <row r="814" s="799" customFormat="1"/>
    <row r="815" s="799" customFormat="1"/>
    <row r="816" s="799" customFormat="1"/>
    <row r="817" s="799" customFormat="1"/>
    <row r="818" s="799" customFormat="1"/>
    <row r="819" s="799" customFormat="1"/>
    <row r="820" s="799" customFormat="1"/>
    <row r="821" s="799" customFormat="1"/>
    <row r="822" s="799" customFormat="1"/>
    <row r="823" s="799" customFormat="1"/>
    <row r="824" s="799" customFormat="1"/>
    <row r="825" s="799" customFormat="1"/>
    <row r="826" s="799" customFormat="1"/>
    <row r="827" s="799" customFormat="1"/>
    <row r="828" s="799" customFormat="1"/>
    <row r="829" s="799" customFormat="1"/>
    <row r="830" s="799" customFormat="1"/>
    <row r="831" s="799" customFormat="1"/>
    <row r="832" s="799" customFormat="1"/>
    <row r="833" s="799" customFormat="1"/>
    <row r="834" s="799" customFormat="1"/>
    <row r="835" s="799" customFormat="1"/>
    <row r="836" s="799" customFormat="1"/>
    <row r="837" s="799" customFormat="1"/>
    <row r="838" s="799" customFormat="1"/>
    <row r="839" s="799" customFormat="1"/>
    <row r="840" s="799" customFormat="1"/>
    <row r="841" s="799" customFormat="1"/>
    <row r="842" s="799" customFormat="1"/>
    <row r="843" s="799" customFormat="1"/>
    <row r="844" s="799" customFormat="1"/>
    <row r="845" s="799" customFormat="1"/>
    <row r="846" s="799" customFormat="1"/>
    <row r="847" s="799" customFormat="1"/>
    <row r="848" s="799" customFormat="1"/>
    <row r="849" s="799" customFormat="1"/>
    <row r="850" s="799" customFormat="1"/>
    <row r="851" s="799" customFormat="1"/>
    <row r="852" s="799" customFormat="1"/>
    <row r="853" s="799" customFormat="1"/>
    <row r="854" s="799" customFormat="1"/>
    <row r="855" s="799" customFormat="1"/>
    <row r="856" s="799" customFormat="1"/>
    <row r="857" s="799" customFormat="1"/>
    <row r="858" s="799" customFormat="1"/>
    <row r="859" s="799" customFormat="1"/>
    <row r="860" s="799" customFormat="1"/>
    <row r="861" s="799" customFormat="1"/>
    <row r="862" s="799" customFormat="1"/>
    <row r="863" s="799" customFormat="1"/>
    <row r="864" s="799" customFormat="1"/>
    <row r="865" s="799" customFormat="1"/>
    <row r="866" s="799" customFormat="1"/>
    <row r="867" s="799" customFormat="1"/>
    <row r="868" s="799" customFormat="1"/>
    <row r="869" s="799" customFormat="1"/>
    <row r="870" s="799" customFormat="1"/>
    <row r="871" s="799" customFormat="1"/>
    <row r="872" s="799" customFormat="1"/>
    <row r="873" s="799" customFormat="1"/>
    <row r="874" s="799" customFormat="1"/>
    <row r="875" s="799" customFormat="1"/>
    <row r="876" s="799" customFormat="1"/>
    <row r="877" s="799" customFormat="1"/>
    <row r="878" s="799" customFormat="1"/>
    <row r="879" s="799" customFormat="1"/>
    <row r="880" s="799" customFormat="1"/>
    <row r="881" s="799" customFormat="1"/>
    <row r="882" s="799" customFormat="1"/>
    <row r="883" s="799" customFormat="1"/>
    <row r="884" s="799" customFormat="1"/>
    <row r="885" s="799" customFormat="1"/>
    <row r="886" s="799" customFormat="1"/>
    <row r="887" s="799" customFormat="1"/>
    <row r="888" s="799" customFormat="1"/>
    <row r="889" s="799" customFormat="1"/>
    <row r="890" s="799" customFormat="1"/>
    <row r="891" s="799" customFormat="1"/>
    <row r="892" s="799" customFormat="1"/>
    <row r="893" s="799" customFormat="1"/>
    <row r="894" s="799" customFormat="1"/>
    <row r="895" s="799" customFormat="1"/>
    <row r="896" s="799" customFormat="1"/>
    <row r="897" s="799" customFormat="1"/>
    <row r="898" s="799" customFormat="1"/>
    <row r="899" s="799" customFormat="1"/>
    <row r="900" s="799" customFormat="1"/>
    <row r="901" s="799" customFormat="1"/>
    <row r="902" s="799" customFormat="1"/>
    <row r="903" s="799" customFormat="1"/>
    <row r="904" s="799" customFormat="1"/>
    <row r="905" s="799" customFormat="1"/>
    <row r="906" s="799" customFormat="1"/>
    <row r="907" s="799" customFormat="1"/>
    <row r="908" s="799" customFormat="1"/>
    <row r="909" s="799" customFormat="1"/>
    <row r="910" s="799" customFormat="1"/>
    <row r="911" s="799" customFormat="1"/>
    <row r="912" s="799" customFormat="1"/>
    <row r="913" s="799" customFormat="1"/>
    <row r="914" s="799" customFormat="1"/>
    <row r="915" s="799" customFormat="1"/>
    <row r="916" s="799" customFormat="1"/>
    <row r="917" s="799" customFormat="1"/>
    <row r="918" s="799" customFormat="1"/>
    <row r="919" s="799" customFormat="1"/>
    <row r="920" s="799" customFormat="1"/>
    <row r="921" s="799" customFormat="1"/>
    <row r="922" s="799" customFormat="1"/>
    <row r="923" s="799" customFormat="1"/>
    <row r="924" s="799" customFormat="1"/>
    <row r="925" s="799" customFormat="1"/>
    <row r="926" s="799" customFormat="1"/>
    <row r="927" s="799" customFormat="1"/>
    <row r="928" s="799" customFormat="1"/>
    <row r="929" s="799" customFormat="1"/>
    <row r="930" s="799" customFormat="1"/>
    <row r="931" s="799" customFormat="1"/>
    <row r="932" s="799" customFormat="1"/>
    <row r="933" s="799" customFormat="1"/>
    <row r="934" s="799" customFormat="1"/>
    <row r="935" s="799" customFormat="1"/>
    <row r="936" s="799" customFormat="1"/>
    <row r="937" s="799" customFormat="1"/>
    <row r="938" s="799" customFormat="1"/>
    <row r="939" s="799" customFormat="1"/>
    <row r="940" s="799" customFormat="1"/>
    <row r="941" s="799" customFormat="1"/>
    <row r="942" s="799" customFormat="1"/>
    <row r="943" s="799" customFormat="1"/>
    <row r="944" s="799" customFormat="1"/>
    <row r="945" s="799" customFormat="1"/>
    <row r="946" s="799" customFormat="1"/>
    <row r="947" s="799" customFormat="1"/>
    <row r="948" s="799" customFormat="1"/>
    <row r="949" s="799" customFormat="1"/>
    <row r="950" s="799" customFormat="1"/>
    <row r="951" s="799" customFormat="1"/>
    <row r="952" s="799" customFormat="1"/>
    <row r="953" s="799" customFormat="1"/>
    <row r="954" s="799" customFormat="1"/>
    <row r="955" s="799" customFormat="1"/>
    <row r="956" s="799" customFormat="1"/>
    <row r="957" s="799" customFormat="1"/>
    <row r="958" s="799" customFormat="1"/>
    <row r="959" s="799" customFormat="1"/>
    <row r="960" s="799" customFormat="1"/>
    <row r="961" s="799" customFormat="1"/>
    <row r="962" s="799" customFormat="1"/>
    <row r="963" s="799" customFormat="1"/>
    <row r="964" s="799" customFormat="1"/>
    <row r="965" s="799" customFormat="1"/>
    <row r="966" s="799" customFormat="1"/>
    <row r="967" s="799" customFormat="1"/>
    <row r="968" s="799" customFormat="1"/>
    <row r="969" s="799" customFormat="1"/>
    <row r="970" s="799" customFormat="1"/>
    <row r="971" s="799" customFormat="1"/>
    <row r="972" s="799" customFormat="1"/>
    <row r="973" s="799" customFormat="1"/>
    <row r="974" s="799" customFormat="1"/>
    <row r="975" s="799" customFormat="1"/>
    <row r="976" s="799" customFormat="1"/>
    <row r="977" s="799" customFormat="1"/>
    <row r="978" s="799" customFormat="1"/>
    <row r="979" s="799" customFormat="1"/>
    <row r="980" s="799" customFormat="1"/>
    <row r="981" s="799" customFormat="1"/>
    <row r="982" s="799" customFormat="1"/>
    <row r="983" s="799" customFormat="1"/>
    <row r="984" s="799" customFormat="1"/>
    <row r="985" s="799" customFormat="1"/>
    <row r="986" s="799" customFormat="1"/>
    <row r="987" s="799" customFormat="1"/>
    <row r="988" s="799" customFormat="1"/>
    <row r="989" s="799" customFormat="1"/>
    <row r="990" s="799" customFormat="1"/>
    <row r="991" s="799" customFormat="1"/>
    <row r="992" s="799" customFormat="1"/>
    <row r="993" s="799" customFormat="1"/>
    <row r="994" s="799" customFormat="1"/>
    <row r="995" s="799" customFormat="1"/>
    <row r="996" s="799" customFormat="1"/>
    <row r="997" s="799" customFormat="1"/>
    <row r="998" s="799" customFormat="1"/>
    <row r="999" s="799" customFormat="1"/>
    <row r="1000" s="799" customFormat="1"/>
    <row r="1001" s="799" customFormat="1"/>
    <row r="1002" s="799" customFormat="1"/>
    <row r="1003" s="799" customFormat="1"/>
    <row r="1004" s="799" customFormat="1"/>
    <row r="1005" s="799" customFormat="1"/>
    <row r="1006" s="799" customFormat="1"/>
    <row r="1007" s="799" customFormat="1"/>
    <row r="1008" s="799" customFormat="1"/>
    <row r="1009" s="799" customFormat="1"/>
    <row r="1010" s="799" customFormat="1"/>
    <row r="1011" s="799" customFormat="1"/>
    <row r="1012" s="799" customFormat="1"/>
    <row r="1013" s="799" customFormat="1"/>
    <row r="1014" s="799" customFormat="1"/>
    <row r="1015" s="799" customFormat="1"/>
    <row r="1016" s="799" customFormat="1"/>
    <row r="1017" s="799" customFormat="1"/>
    <row r="1018" s="799" customFormat="1"/>
    <row r="1019" s="799" customFormat="1"/>
    <row r="1020" s="799" customFormat="1"/>
    <row r="1021" s="799" customFormat="1"/>
    <row r="1022" s="799" customFormat="1"/>
    <row r="1023" s="799" customFormat="1"/>
    <row r="1024" s="799" customFormat="1"/>
    <row r="1025" s="799" customFormat="1"/>
    <row r="1026" s="799" customFormat="1"/>
    <row r="1027" s="799" customFormat="1"/>
    <row r="1028" s="799" customFormat="1"/>
    <row r="1029" s="799" customFormat="1"/>
    <row r="1030" s="799" customFormat="1"/>
    <row r="1031" s="799" customFormat="1"/>
    <row r="1032" s="799" customFormat="1"/>
    <row r="1033" s="799" customFormat="1"/>
    <row r="1034" s="799" customFormat="1"/>
    <row r="1035" s="799" customFormat="1"/>
    <row r="1036" s="799" customFormat="1"/>
    <row r="1037" s="799" customFormat="1"/>
    <row r="1038" s="799" customFormat="1"/>
    <row r="1039" s="799" customFormat="1"/>
    <row r="1040" s="799" customFormat="1"/>
    <row r="1041" s="799" customFormat="1"/>
    <row r="1042" s="799" customFormat="1"/>
    <row r="1043" s="799" customFormat="1"/>
    <row r="1044" s="799" customFormat="1"/>
    <row r="1045" s="799" customFormat="1"/>
    <row r="1046" s="799" customFormat="1"/>
    <row r="1047" s="799" customFormat="1"/>
    <row r="1048" s="799" customFormat="1"/>
    <row r="1049" s="799" customFormat="1"/>
    <row r="1050" s="799" customFormat="1"/>
    <row r="1051" s="799" customFormat="1"/>
    <row r="1052" s="799" customFormat="1"/>
    <row r="1053" s="799" customFormat="1"/>
    <row r="1054" s="799" customFormat="1"/>
    <row r="1055" s="799" customFormat="1"/>
    <row r="1056" s="799" customFormat="1"/>
    <row r="1057" s="799" customFormat="1"/>
    <row r="1058" s="799" customFormat="1"/>
    <row r="1059" s="799" customFormat="1"/>
    <row r="1060" s="799" customFormat="1"/>
    <row r="1061" s="799" customFormat="1"/>
    <row r="1062" s="799" customFormat="1"/>
    <row r="1063" s="799" customFormat="1"/>
    <row r="1064" s="799" customFormat="1"/>
    <row r="1065" s="799" customFormat="1"/>
    <row r="1066" s="799" customFormat="1"/>
    <row r="1067" s="799" customFormat="1"/>
    <row r="1068" s="799" customFormat="1"/>
    <row r="1069" s="799" customFormat="1"/>
    <row r="1070" s="799" customFormat="1"/>
    <row r="1071" s="799" customFormat="1"/>
    <row r="1072" s="799" customFormat="1"/>
    <row r="1073" s="799" customFormat="1"/>
    <row r="1074" s="799" customFormat="1"/>
    <row r="1075" s="799" customFormat="1"/>
    <row r="1076" s="799" customFormat="1"/>
    <row r="1077" s="799" customFormat="1"/>
    <row r="1078" s="799" customFormat="1"/>
    <row r="1079" s="799" customFormat="1"/>
    <row r="1080" s="799" customFormat="1"/>
    <row r="1081" s="799" customFormat="1"/>
    <row r="1082" s="799" customFormat="1"/>
    <row r="1083" s="799" customFormat="1"/>
    <row r="1084" s="799" customFormat="1"/>
    <row r="1085" s="799" customFormat="1"/>
    <row r="1086" s="799" customFormat="1"/>
    <row r="1087" s="799" customFormat="1"/>
    <row r="1088" s="799" customFormat="1"/>
    <row r="1089" s="799" customFormat="1"/>
    <row r="1090" s="799" customFormat="1"/>
    <row r="1091" s="799" customFormat="1"/>
    <row r="1092" s="799" customFormat="1"/>
    <row r="1093" s="799" customFormat="1"/>
    <row r="1094" s="799" customFormat="1"/>
    <row r="1095" s="799" customFormat="1"/>
    <row r="1096" s="799" customFormat="1"/>
    <row r="1097" s="799" customFormat="1"/>
    <row r="1098" s="799" customFormat="1"/>
    <row r="1099" s="799" customFormat="1"/>
    <row r="1100" s="799" customFormat="1"/>
    <row r="1101" s="799" customFormat="1"/>
    <row r="1102" s="799" customFormat="1"/>
    <row r="1103" s="799" customFormat="1"/>
    <row r="1104" s="799" customFormat="1"/>
    <row r="1105" s="799" customFormat="1"/>
    <row r="1106" s="799" customFormat="1"/>
    <row r="1107" s="799" customFormat="1"/>
    <row r="1108" s="799" customFormat="1"/>
    <row r="1109" s="799" customFormat="1"/>
    <row r="1110" s="799" customFormat="1"/>
    <row r="1111" s="799" customFormat="1"/>
    <row r="1112" s="799" customFormat="1"/>
    <row r="1113" s="799" customFormat="1"/>
    <row r="1114" s="799" customFormat="1"/>
    <row r="1115" s="799" customFormat="1"/>
    <row r="1116" s="799" customFormat="1"/>
    <row r="1117" s="799" customFormat="1"/>
    <row r="1118" s="799" customFormat="1"/>
    <row r="1119" s="799" customFormat="1"/>
    <row r="1120" s="799" customFormat="1"/>
    <row r="1121" s="799" customFormat="1"/>
    <row r="1122" s="799" customFormat="1"/>
    <row r="1123" s="799" customFormat="1"/>
    <row r="1124" s="799" customFormat="1"/>
    <row r="1125" s="799" customFormat="1"/>
    <row r="1126" s="799" customFormat="1"/>
    <row r="1127" s="799" customFormat="1"/>
    <row r="1128" s="799" customFormat="1"/>
    <row r="1129" s="799" customFormat="1"/>
    <row r="1130" s="799" customFormat="1"/>
    <row r="1131" s="799" customFormat="1"/>
    <row r="1132" s="799" customFormat="1"/>
    <row r="1133" s="799" customFormat="1"/>
    <row r="1134" s="799" customFormat="1"/>
    <row r="1135" s="799" customFormat="1"/>
    <row r="1136" s="799" customFormat="1"/>
    <row r="1137" s="799" customFormat="1"/>
    <row r="1138" s="799" customFormat="1"/>
    <row r="1139" s="799" customFormat="1"/>
    <row r="1140" s="799" customFormat="1"/>
    <row r="1141" s="799" customFormat="1"/>
    <row r="1142" s="799" customFormat="1"/>
    <row r="1143" s="799" customFormat="1"/>
    <row r="1144" s="799" customFormat="1"/>
    <row r="1145" s="799" customFormat="1"/>
    <row r="1146" s="799" customFormat="1"/>
    <row r="1147" s="799" customFormat="1"/>
    <row r="1148" s="799" customFormat="1"/>
    <row r="1149" s="799" customFormat="1"/>
    <row r="1150" s="799" customFormat="1"/>
    <row r="1151" s="799" customFormat="1"/>
    <row r="1152" s="799" customFormat="1"/>
    <row r="1153" s="799" customFormat="1"/>
    <row r="1154" s="799" customFormat="1"/>
    <row r="1155" s="799" customFormat="1"/>
    <row r="1156" s="799" customFormat="1"/>
    <row r="1157" s="799" customFormat="1"/>
    <row r="1158" s="799" customFormat="1"/>
    <row r="1159" s="799" customFormat="1"/>
    <row r="1160" s="799" customFormat="1"/>
    <row r="1161" s="799" customFormat="1"/>
    <row r="1162" s="799" customFormat="1"/>
    <row r="1163" s="799" customFormat="1"/>
  </sheetData>
  <sheetProtection password="85F4" sheet="1" objects="1" scenarios="1" formatCells="0" formatColumns="0" formatRows="0"/>
  <mergeCells count="9">
    <mergeCell ref="A29:D29"/>
    <mergeCell ref="A10:D10"/>
    <mergeCell ref="A19:D19"/>
    <mergeCell ref="A11:D11"/>
    <mergeCell ref="A23:D23"/>
    <mergeCell ref="D16:D18"/>
    <mergeCell ref="A12:A13"/>
    <mergeCell ref="D12:D13"/>
    <mergeCell ref="B12:C12"/>
  </mergeCells>
  <phoneticPr fontId="25" type="noConversion"/>
  <pageMargins left="0.75" right="0.75" top="1" bottom="1" header="0.5" footer="0.5"/>
  <pageSetup scale="93" orientation="portrait" verticalDpi="1200" r:id="rId1"/>
  <headerFooter alignWithMargins="0"/>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sheetPr codeName="Sheet7" enableFormatConditionsCalculation="0">
    <tabColor indexed="42"/>
    <pageSetUpPr fitToPage="1"/>
  </sheetPr>
  <dimension ref="A1:Z2223"/>
  <sheetViews>
    <sheetView zoomScale="75" workbookViewId="0"/>
  </sheetViews>
  <sheetFormatPr defaultRowHeight="12.75"/>
  <cols>
    <col min="1" max="1" width="31.140625" style="114" customWidth="1"/>
    <col min="2" max="2" width="29.5703125" style="53" customWidth="1"/>
    <col min="3" max="3" width="18" style="53" customWidth="1"/>
    <col min="4" max="4" width="19.5703125" customWidth="1"/>
    <col min="5" max="5" width="20.28515625" customWidth="1"/>
    <col min="6" max="6" width="20" customWidth="1"/>
    <col min="7" max="7" width="14.7109375" customWidth="1"/>
    <col min="8" max="8" width="3.140625" customWidth="1"/>
    <col min="9" max="9" width="9.140625" hidden="1" customWidth="1"/>
    <col min="10" max="10" width="15.42578125" customWidth="1"/>
    <col min="11" max="11" width="14.7109375" customWidth="1"/>
    <col min="12" max="16" width="10.28515625" customWidth="1"/>
    <col min="18" max="18" width="29.28515625" customWidth="1"/>
    <col min="19" max="19" width="23.7109375" customWidth="1"/>
    <col min="20" max="20" width="13.7109375" customWidth="1"/>
  </cols>
  <sheetData>
    <row r="1" spans="1:26" ht="13.5" thickBot="1">
      <c r="B1" s="54"/>
      <c r="C1" s="54"/>
      <c r="D1" s="37"/>
      <c r="E1" s="37"/>
      <c r="F1" s="37"/>
      <c r="G1" s="37"/>
      <c r="H1" s="37"/>
      <c r="I1" s="37"/>
      <c r="J1" s="37"/>
      <c r="K1" s="37"/>
      <c r="L1" s="37"/>
      <c r="M1" s="37"/>
      <c r="N1" s="37"/>
      <c r="O1" s="37"/>
      <c r="P1" s="37"/>
      <c r="R1" s="48"/>
      <c r="S1" s="48"/>
      <c r="T1" s="48"/>
      <c r="U1" s="48"/>
      <c r="V1" s="55"/>
      <c r="W1" s="55"/>
      <c r="X1" s="55"/>
      <c r="Y1" s="55"/>
      <c r="Z1" s="55"/>
    </row>
    <row r="2" spans="1:26" ht="15.75">
      <c r="A2" s="257"/>
      <c r="B2" s="435" t="s">
        <v>97</v>
      </c>
      <c r="C2" s="1001">
        <f>'upper bound Kenaga'!B3</f>
        <v>0</v>
      </c>
      <c r="D2" s="1002"/>
      <c r="E2" s="1002"/>
      <c r="F2" s="1003"/>
      <c r="G2" s="1009" t="s">
        <v>199</v>
      </c>
      <c r="H2" s="1010"/>
      <c r="I2" s="1010"/>
      <c r="J2" s="1010"/>
      <c r="K2" s="37"/>
      <c r="L2" s="37"/>
      <c r="M2" s="37"/>
      <c r="N2" s="37"/>
      <c r="O2" s="37"/>
      <c r="P2" s="37"/>
      <c r="R2" s="50"/>
      <c r="S2" s="50"/>
      <c r="T2" s="124"/>
      <c r="U2" s="48"/>
      <c r="V2" s="55"/>
      <c r="W2" s="55"/>
      <c r="X2" s="55"/>
      <c r="Y2" s="55"/>
      <c r="Z2" s="55"/>
    </row>
    <row r="3" spans="1:26" ht="16.5" thickBot="1">
      <c r="A3" s="429"/>
      <c r="B3" s="436" t="s">
        <v>106</v>
      </c>
      <c r="C3" s="1004">
        <f>INPUTS!B9</f>
        <v>0</v>
      </c>
      <c r="D3" s="1005"/>
      <c r="E3" s="1005"/>
      <c r="F3" s="1006"/>
      <c r="G3" s="66"/>
      <c r="H3" s="59"/>
      <c r="I3" s="59"/>
      <c r="J3" s="59"/>
      <c r="K3" s="37"/>
      <c r="L3" s="37"/>
      <c r="M3" s="37"/>
      <c r="N3" s="37"/>
      <c r="O3" s="37"/>
      <c r="P3" s="37"/>
      <c r="R3" s="50"/>
      <c r="S3" s="50"/>
      <c r="T3" s="124"/>
      <c r="U3" s="48"/>
      <c r="V3" s="55"/>
      <c r="W3" s="55"/>
      <c r="X3" s="55"/>
      <c r="Y3" s="55"/>
      <c r="Z3" s="55"/>
    </row>
    <row r="4" spans="1:26" ht="15.75">
      <c r="A4" s="430"/>
      <c r="B4" s="437" t="s">
        <v>107</v>
      </c>
      <c r="C4" s="179">
        <f>INPUTS!B10</f>
        <v>0</v>
      </c>
      <c r="D4" s="439"/>
      <c r="E4" s="440">
        <f>C4</f>
        <v>0</v>
      </c>
      <c r="F4" s="1007" t="s">
        <v>194</v>
      </c>
      <c r="G4" s="1008"/>
      <c r="H4" s="1008"/>
      <c r="I4" s="116"/>
      <c r="J4" s="765">
        <v>8.33</v>
      </c>
      <c r="K4" s="37"/>
      <c r="L4" s="37"/>
      <c r="M4" s="37"/>
      <c r="N4" s="37"/>
      <c r="O4" s="37"/>
      <c r="P4" s="37"/>
      <c r="R4" s="50"/>
      <c r="S4" s="51"/>
      <c r="T4" s="50"/>
      <c r="U4" s="48"/>
      <c r="V4" s="55"/>
      <c r="W4" s="55"/>
      <c r="X4" s="55"/>
      <c r="Y4" s="55"/>
      <c r="Z4" s="55"/>
    </row>
    <row r="5" spans="1:26" ht="15.75">
      <c r="A5" s="1024" t="s">
        <v>45</v>
      </c>
      <c r="B5" s="1025"/>
      <c r="C5" s="1031" t="s">
        <v>116</v>
      </c>
      <c r="D5" s="740" t="s">
        <v>117</v>
      </c>
      <c r="E5" s="1028" t="s">
        <v>139</v>
      </c>
      <c r="F5" s="1030" t="s">
        <v>575</v>
      </c>
      <c r="G5" s="48"/>
      <c r="H5" s="48"/>
      <c r="I5" s="48"/>
      <c r="J5" s="63"/>
      <c r="K5" s="37"/>
      <c r="L5" s="37"/>
      <c r="M5" s="37"/>
      <c r="N5" s="37"/>
      <c r="O5" s="37"/>
      <c r="P5" s="37"/>
      <c r="R5" s="50"/>
      <c r="S5" s="51"/>
      <c r="T5" s="50"/>
      <c r="U5" s="48"/>
      <c r="V5" s="55"/>
      <c r="W5" s="55"/>
      <c r="X5" s="55"/>
      <c r="Y5" s="55"/>
      <c r="Z5" s="55"/>
    </row>
    <row r="6" spans="1:26" ht="16.5" thickBot="1">
      <c r="A6" s="1026"/>
      <c r="B6" s="1027"/>
      <c r="C6" s="1032"/>
      <c r="D6" s="741" t="s">
        <v>118</v>
      </c>
      <c r="E6" s="1029"/>
      <c r="F6" s="1029"/>
      <c r="G6" s="37"/>
      <c r="H6" s="37"/>
      <c r="I6" s="37"/>
      <c r="J6" s="63"/>
      <c r="K6" s="37"/>
      <c r="L6" s="37"/>
      <c r="M6" s="37"/>
      <c r="N6" s="37"/>
      <c r="O6" s="37"/>
      <c r="P6" s="37"/>
      <c r="R6" s="50"/>
      <c r="S6" s="51"/>
      <c r="T6" s="50"/>
      <c r="U6" s="48"/>
      <c r="V6" s="55"/>
      <c r="W6" s="55"/>
      <c r="X6" s="55"/>
      <c r="Y6" s="55"/>
      <c r="Z6" s="55"/>
    </row>
    <row r="7" spans="1:26" ht="16.5" thickTop="1">
      <c r="A7" s="429"/>
      <c r="B7" s="436" t="s">
        <v>88</v>
      </c>
      <c r="C7" s="424">
        <f>'upper bound Kenaga'!D15</f>
        <v>0</v>
      </c>
      <c r="D7" s="425">
        <f>IF(INPUTS!D41=1,178,IF(INPUTS!D41=2,1580,INPUTS!F41))</f>
        <v>178</v>
      </c>
      <c r="E7" s="426">
        <f>((C7)*((20/D7)^(INPUTS!$D$45-1)))</f>
        <v>0</v>
      </c>
      <c r="F7" s="743" t="s">
        <v>570</v>
      </c>
      <c r="G7" s="56"/>
      <c r="H7" s="56"/>
      <c r="I7" s="56"/>
      <c r="J7" s="64"/>
      <c r="K7" s="56"/>
      <c r="L7" s="56"/>
      <c r="M7" s="56"/>
      <c r="N7" s="56"/>
      <c r="O7" s="56"/>
      <c r="P7" s="56"/>
      <c r="Q7" s="55"/>
      <c r="R7" s="124"/>
      <c r="S7" s="125"/>
      <c r="T7" s="125"/>
      <c r="U7" s="48"/>
    </row>
    <row r="8" spans="1:26" ht="15.75">
      <c r="A8" s="429"/>
      <c r="B8" s="438" t="s">
        <v>121</v>
      </c>
      <c r="C8" s="427">
        <f>'upper bound Kenaga'!D18</f>
        <v>0</v>
      </c>
      <c r="D8" s="123"/>
      <c r="E8" s="428">
        <f>((C7)*((100/D7)^(INPUTS!$D$45-1)))</f>
        <v>0</v>
      </c>
      <c r="F8" s="744" t="s">
        <v>571</v>
      </c>
      <c r="G8" s="56"/>
      <c r="H8" s="56"/>
      <c r="I8" s="56"/>
      <c r="J8" s="64"/>
      <c r="K8" s="56"/>
      <c r="L8" s="56"/>
      <c r="M8" s="56"/>
      <c r="N8" s="56"/>
      <c r="O8" s="56"/>
      <c r="P8" s="56"/>
      <c r="Q8" s="55"/>
      <c r="R8" s="124"/>
      <c r="S8" s="125"/>
      <c r="T8" s="125"/>
      <c r="U8" s="48"/>
    </row>
    <row r="9" spans="1:26" s="697" customFormat="1" ht="16.5" thickBot="1">
      <c r="A9" s="429"/>
      <c r="B9" s="438"/>
      <c r="C9" s="718"/>
      <c r="D9" s="719"/>
      <c r="E9" s="742">
        <f>((C7)*((1000/D7)^(INPUTS!$D$45-1)))</f>
        <v>0</v>
      </c>
      <c r="F9" s="745" t="s">
        <v>572</v>
      </c>
      <c r="G9" s="56"/>
      <c r="H9" s="56"/>
      <c r="I9" s="56"/>
      <c r="J9" s="64"/>
      <c r="K9" s="56"/>
      <c r="L9" s="56"/>
      <c r="M9" s="56"/>
      <c r="N9" s="56"/>
      <c r="O9" s="56"/>
      <c r="P9" s="56"/>
      <c r="Q9" s="55"/>
      <c r="R9" s="124"/>
      <c r="S9" s="125"/>
      <c r="T9" s="125"/>
      <c r="U9" s="48"/>
    </row>
    <row r="10" spans="1:26" ht="15.75">
      <c r="A10" s="429"/>
      <c r="B10" s="436" t="s">
        <v>89</v>
      </c>
      <c r="C10" s="424">
        <f>'upper bound Kenaga'!D20</f>
        <v>0</v>
      </c>
      <c r="D10" s="723">
        <v>350</v>
      </c>
      <c r="E10" s="717">
        <f>(C10*((D10/15)^0.25))</f>
        <v>0</v>
      </c>
      <c r="F10" s="746" t="s">
        <v>573</v>
      </c>
      <c r="G10" s="37"/>
      <c r="H10" s="37"/>
      <c r="I10" s="37"/>
      <c r="J10" s="63"/>
      <c r="K10" s="37"/>
      <c r="L10" s="37"/>
      <c r="M10" s="37"/>
      <c r="N10" s="37"/>
      <c r="O10" s="37"/>
      <c r="P10" s="37"/>
      <c r="R10" s="124"/>
      <c r="S10" s="125"/>
      <c r="T10" s="125"/>
      <c r="U10" s="48"/>
    </row>
    <row r="11" spans="1:26" ht="15.75">
      <c r="A11" s="430"/>
      <c r="B11" s="764" t="s">
        <v>590</v>
      </c>
      <c r="C11" s="714">
        <f>'upper bound Kenaga'!D23</f>
        <v>0</v>
      </c>
      <c r="D11" s="402"/>
      <c r="E11" s="715">
        <f>(C10*((D10/35)^0.25))</f>
        <v>0</v>
      </c>
      <c r="F11" s="744" t="s">
        <v>574</v>
      </c>
      <c r="G11" s="37"/>
      <c r="H11" s="37"/>
      <c r="I11" s="37"/>
      <c r="J11" s="63"/>
      <c r="K11" s="37"/>
      <c r="L11" s="37"/>
      <c r="M11" s="37"/>
      <c r="N11" s="37"/>
      <c r="O11" s="37"/>
      <c r="P11" s="37"/>
      <c r="R11" s="124"/>
      <c r="S11" s="125"/>
      <c r="T11" s="125"/>
      <c r="U11" s="48"/>
    </row>
    <row r="12" spans="1:26" s="697" customFormat="1" ht="15.75">
      <c r="A12" s="429"/>
      <c r="B12" s="436"/>
      <c r="C12" s="713"/>
      <c r="D12" s="402"/>
      <c r="E12" s="715">
        <f>(C10*((D10/1000)^0.25))</f>
        <v>0</v>
      </c>
      <c r="F12" s="744" t="s">
        <v>572</v>
      </c>
      <c r="G12" s="37"/>
      <c r="H12" s="37"/>
      <c r="I12" s="37"/>
      <c r="J12" s="63"/>
      <c r="K12" s="37"/>
      <c r="L12" s="37"/>
      <c r="M12" s="37"/>
      <c r="N12" s="37"/>
      <c r="O12" s="37"/>
      <c r="P12" s="37"/>
      <c r="R12" s="124"/>
      <c r="S12" s="125"/>
      <c r="T12" s="125"/>
      <c r="U12" s="48"/>
    </row>
    <row r="13" spans="1:26" s="705" customFormat="1" ht="16.5" thickBot="1">
      <c r="A13" s="429"/>
      <c r="B13" s="436"/>
      <c r="C13" s="713"/>
      <c r="D13" s="1035" t="s">
        <v>591</v>
      </c>
      <c r="E13" s="1036"/>
      <c r="F13" s="48"/>
      <c r="G13" s="37"/>
      <c r="H13" s="37"/>
      <c r="I13" s="37"/>
      <c r="J13" s="63"/>
      <c r="K13" s="37"/>
      <c r="L13" s="37"/>
      <c r="M13" s="37"/>
      <c r="N13" s="37"/>
      <c r="O13" s="37"/>
      <c r="P13" s="37"/>
      <c r="R13" s="124"/>
      <c r="S13" s="125"/>
      <c r="T13" s="125"/>
      <c r="U13" s="48"/>
    </row>
    <row r="14" spans="1:26" s="697" customFormat="1" ht="15.75">
      <c r="A14" s="429"/>
      <c r="B14" s="436"/>
      <c r="C14" s="713"/>
      <c r="D14" s="746" t="s">
        <v>573</v>
      </c>
      <c r="E14" s="716">
        <f>'upper bound Kenaga'!E108</f>
        <v>0</v>
      </c>
      <c r="F14" s="48"/>
      <c r="G14" s="37"/>
      <c r="H14" s="37"/>
      <c r="I14" s="37"/>
      <c r="J14" s="63"/>
      <c r="K14" s="37"/>
      <c r="L14" s="37"/>
      <c r="M14" s="37"/>
      <c r="N14" s="37"/>
      <c r="O14" s="37"/>
      <c r="P14" s="37"/>
      <c r="R14" s="124"/>
      <c r="S14" s="125"/>
      <c r="T14" s="125"/>
      <c r="U14" s="48"/>
    </row>
    <row r="15" spans="1:26" s="697" customFormat="1" ht="15.75">
      <c r="A15" s="429"/>
      <c r="B15" s="436"/>
      <c r="C15" s="713"/>
      <c r="D15" s="744" t="s">
        <v>574</v>
      </c>
      <c r="E15" s="428">
        <f>'upper bound Kenaga'!E109</f>
        <v>0</v>
      </c>
      <c r="F15" s="48"/>
      <c r="G15" s="37"/>
      <c r="H15" s="37"/>
      <c r="I15" s="37"/>
      <c r="J15" s="63"/>
      <c r="K15" s="37"/>
      <c r="L15" s="37"/>
      <c r="M15" s="37"/>
      <c r="N15" s="37"/>
      <c r="O15" s="37"/>
      <c r="P15" s="37"/>
      <c r="R15" s="124"/>
      <c r="S15" s="125"/>
      <c r="T15" s="125"/>
      <c r="U15" s="48"/>
    </row>
    <row r="16" spans="1:26" s="697" customFormat="1" ht="15.75">
      <c r="A16" s="429"/>
      <c r="B16" s="436"/>
      <c r="C16" s="713"/>
      <c r="D16" s="744" t="s">
        <v>572</v>
      </c>
      <c r="E16" s="428">
        <f>'upper bound Kenaga'!E110</f>
        <v>0</v>
      </c>
      <c r="F16" s="48"/>
      <c r="G16" s="37"/>
      <c r="H16" s="37"/>
      <c r="I16" s="37"/>
      <c r="J16" s="63"/>
      <c r="K16" s="37"/>
      <c r="L16" s="37"/>
      <c r="M16" s="37"/>
      <c r="N16" s="37"/>
      <c r="O16" s="37"/>
      <c r="P16" s="37"/>
      <c r="R16" s="124"/>
      <c r="S16" s="125"/>
      <c r="T16" s="125"/>
      <c r="U16" s="48"/>
    </row>
    <row r="17" spans="1:22" s="697" customFormat="1" ht="15.75">
      <c r="A17" s="429"/>
      <c r="B17" s="436"/>
      <c r="C17" s="713"/>
      <c r="D17" s="402"/>
      <c r="E17" s="428"/>
      <c r="F17" s="48"/>
      <c r="G17" s="37"/>
      <c r="H17" s="37"/>
      <c r="I17" s="37"/>
      <c r="J17" s="63"/>
      <c r="K17" s="37"/>
      <c r="L17" s="37"/>
      <c r="M17" s="37"/>
      <c r="N17" s="37"/>
      <c r="O17" s="37"/>
      <c r="P17" s="37"/>
      <c r="R17" s="124"/>
      <c r="S17" s="125"/>
      <c r="T17" s="125"/>
      <c r="U17" s="48"/>
    </row>
    <row r="18" spans="1:22" ht="24" thickBot="1">
      <c r="A18" s="431"/>
      <c r="B18" s="67"/>
      <c r="C18" s="696" t="str">
        <f>IF(INPUTS!$D$45="","Warning! You Have Failed to Enter a Toxicity Scaling Factor on the Inputs Page","")</f>
        <v/>
      </c>
      <c r="D18" s="59"/>
      <c r="E18" s="115"/>
      <c r="F18" s="59"/>
      <c r="G18" s="59"/>
      <c r="H18" s="59"/>
      <c r="I18" s="37"/>
      <c r="J18" s="60"/>
      <c r="K18" s="37"/>
      <c r="L18" s="37"/>
      <c r="M18" s="37"/>
      <c r="N18" s="37"/>
      <c r="O18" s="37"/>
      <c r="P18" s="37"/>
      <c r="R18" s="50"/>
      <c r="S18" s="51"/>
      <c r="T18" s="22"/>
      <c r="U18" s="48"/>
    </row>
    <row r="19" spans="1:22" s="692" customFormat="1" ht="24" thickBot="1">
      <c r="A19" s="56"/>
      <c r="B19" s="22"/>
      <c r="C19" s="185"/>
      <c r="D19" s="48"/>
      <c r="E19" s="48"/>
      <c r="F19" s="48"/>
      <c r="G19" s="37"/>
      <c r="H19" s="37"/>
      <c r="I19" s="37"/>
      <c r="J19" s="48"/>
      <c r="K19" s="37"/>
      <c r="L19" s="37"/>
      <c r="M19" s="37"/>
      <c r="N19" s="37"/>
      <c r="O19" s="37"/>
      <c r="P19" s="37"/>
      <c r="R19" s="50"/>
      <c r="S19" s="51"/>
      <c r="T19" s="22"/>
      <c r="U19" s="48"/>
    </row>
    <row r="20" spans="1:22" ht="47.25">
      <c r="A20" s="1037" t="s">
        <v>566</v>
      </c>
      <c r="B20" s="730" t="s">
        <v>104</v>
      </c>
      <c r="C20" s="731" t="s">
        <v>108</v>
      </c>
      <c r="D20" s="732" t="s">
        <v>110</v>
      </c>
      <c r="E20" s="733" t="s">
        <v>124</v>
      </c>
      <c r="F20" s="732" t="s">
        <v>125</v>
      </c>
      <c r="G20" s="734" t="s">
        <v>111</v>
      </c>
      <c r="H20" s="37"/>
      <c r="I20" s="37"/>
      <c r="J20" s="37"/>
      <c r="K20" s="37"/>
      <c r="L20" s="37"/>
      <c r="M20" s="37"/>
      <c r="N20" s="37"/>
      <c r="O20" s="37"/>
      <c r="P20" s="37"/>
      <c r="Q20" s="37"/>
      <c r="R20" s="65"/>
      <c r="S20" s="50"/>
      <c r="T20" s="52"/>
      <c r="U20" s="48"/>
      <c r="V20" s="48"/>
    </row>
    <row r="21" spans="1:22" ht="16.5" thickBot="1">
      <c r="A21" s="1038"/>
      <c r="B21" s="735"/>
      <c r="C21" s="736" t="s">
        <v>109</v>
      </c>
      <c r="D21" s="737" t="s">
        <v>105</v>
      </c>
      <c r="E21" s="737" t="s">
        <v>272</v>
      </c>
      <c r="F21" s="737" t="s">
        <v>272</v>
      </c>
      <c r="G21" s="738" t="s">
        <v>112</v>
      </c>
      <c r="H21" s="61"/>
      <c r="I21" s="35"/>
      <c r="J21" s="48"/>
      <c r="K21" s="48"/>
      <c r="L21" s="48"/>
      <c r="M21" s="37"/>
      <c r="N21" s="37"/>
      <c r="O21" s="37"/>
      <c r="P21" s="37"/>
      <c r="Q21" s="37"/>
      <c r="S21" s="50"/>
      <c r="T21" s="52"/>
      <c r="U21" s="48"/>
      <c r="V21" s="48"/>
    </row>
    <row r="22" spans="1:22" ht="15.75" customHeight="1">
      <c r="A22" s="707" t="s">
        <v>51</v>
      </c>
      <c r="B22" s="1039" t="str">
        <f>INPUTS!T8</f>
        <v/>
      </c>
      <c r="C22" s="1041" t="e">
        <f>(VLOOKUP(B22,B$55:C$195,2,FALSE)*((INPUTS!$B$11*$C$4)/128)*$J$4)/100</f>
        <v>#N/A</v>
      </c>
      <c r="D22" s="1041">
        <f>((INPUTS!$B$11*$C$4)/128)*$J$4*10000</f>
        <v>0</v>
      </c>
      <c r="E22" s="710">
        <f>($B$43*0.001*D22)/0.02</f>
        <v>0</v>
      </c>
      <c r="F22" s="710">
        <f>($B$44*0.001*D22)/0.015</f>
        <v>0</v>
      </c>
      <c r="G22" s="1044" t="e">
        <f t="shared" ref="G22" si="0">((C22*10^6)/(43560*2.2))</f>
        <v>#N/A</v>
      </c>
      <c r="H22" s="48"/>
      <c r="I22" s="48"/>
      <c r="J22" s="675"/>
      <c r="K22" s="675"/>
      <c r="L22" s="675"/>
      <c r="M22" s="675"/>
      <c r="N22" s="37"/>
      <c r="O22" s="37"/>
      <c r="P22" s="37"/>
      <c r="Q22" s="37"/>
      <c r="S22" s="50"/>
      <c r="T22" s="52"/>
      <c r="U22" s="48"/>
      <c r="V22" s="48"/>
    </row>
    <row r="23" spans="1:22" ht="15.75">
      <c r="A23" s="706" t="s">
        <v>359</v>
      </c>
      <c r="B23" s="1040"/>
      <c r="C23" s="1042"/>
      <c r="D23" s="1042"/>
      <c r="E23" s="693">
        <f>($B$45*0.001*D22)/0.1</f>
        <v>0</v>
      </c>
      <c r="F23" s="693">
        <f>($B$46*0.001*D22)/0.035</f>
        <v>0</v>
      </c>
      <c r="G23" s="1045"/>
      <c r="H23" s="57"/>
      <c r="I23" s="57"/>
      <c r="J23" s="675"/>
      <c r="K23" s="675"/>
      <c r="L23" s="675"/>
      <c r="M23" s="675"/>
      <c r="N23" s="37"/>
      <c r="O23" s="37"/>
      <c r="P23" s="37"/>
    </row>
    <row r="24" spans="1:22" ht="16.5" thickBot="1">
      <c r="A24" s="708" t="s">
        <v>53</v>
      </c>
      <c r="B24" s="1040"/>
      <c r="C24" s="1043"/>
      <c r="D24" s="1043"/>
      <c r="E24" s="712">
        <f>($B$47*0.001*D22)/1</f>
        <v>0</v>
      </c>
      <c r="F24" s="712">
        <f>($B$48*0.001*D22)/1</f>
        <v>0</v>
      </c>
      <c r="G24" s="1045"/>
      <c r="H24" s="57"/>
      <c r="I24" s="57"/>
      <c r="J24" s="675"/>
      <c r="K24" s="675"/>
      <c r="L24" s="675"/>
      <c r="M24" s="675"/>
      <c r="N24" s="37"/>
      <c r="O24" s="37"/>
      <c r="P24" s="37"/>
    </row>
    <row r="25" spans="1:22" ht="15">
      <c r="A25" s="258"/>
      <c r="B25" s="709"/>
      <c r="C25" s="54"/>
      <c r="D25" s="37"/>
      <c r="E25" s="37"/>
      <c r="F25" s="57"/>
      <c r="G25" s="711"/>
      <c r="H25" s="57"/>
      <c r="I25" s="57"/>
      <c r="J25" s="675"/>
      <c r="K25" s="675"/>
      <c r="L25" s="675"/>
      <c r="M25" s="675"/>
      <c r="N25" s="37"/>
      <c r="O25" s="37"/>
      <c r="P25" s="37"/>
    </row>
    <row r="26" spans="1:22" ht="15.75" thickBot="1">
      <c r="B26" s="54"/>
      <c r="C26" s="54"/>
      <c r="D26" s="37"/>
      <c r="E26" s="37"/>
      <c r="F26" s="57"/>
      <c r="G26" s="57"/>
      <c r="H26" s="57"/>
      <c r="I26" s="57"/>
      <c r="J26" s="675"/>
      <c r="K26" s="675"/>
      <c r="L26" s="675"/>
      <c r="M26" s="675"/>
      <c r="N26" s="37"/>
      <c r="O26" s="37"/>
      <c r="P26" s="37"/>
    </row>
    <row r="27" spans="1:22" ht="15.75">
      <c r="A27" s="1046" t="s">
        <v>104</v>
      </c>
      <c r="B27" s="1021" t="s">
        <v>122</v>
      </c>
      <c r="C27" s="1022"/>
      <c r="D27" s="1022"/>
      <c r="E27" s="1022"/>
      <c r="F27" s="1022"/>
      <c r="G27" s="1023"/>
      <c r="H27" s="57"/>
      <c r="I27" s="57"/>
      <c r="J27" s="675"/>
      <c r="K27" s="675"/>
      <c r="L27" s="675"/>
      <c r="M27" s="675"/>
      <c r="N27" s="37"/>
      <c r="O27" s="37"/>
      <c r="P27" s="37"/>
    </row>
    <row r="28" spans="1:22" ht="15.75">
      <c r="A28" s="1047"/>
      <c r="B28" s="1017" t="s">
        <v>196</v>
      </c>
      <c r="C28" s="1018"/>
      <c r="D28" s="1019"/>
      <c r="E28" s="1020" t="s">
        <v>195</v>
      </c>
      <c r="F28" s="1015"/>
      <c r="G28" s="1016"/>
      <c r="H28" s="57"/>
      <c r="I28" s="57"/>
      <c r="J28" s="675"/>
      <c r="K28" s="675"/>
      <c r="L28" s="675"/>
      <c r="M28" s="675"/>
      <c r="N28" s="37"/>
      <c r="O28" s="37"/>
      <c r="P28" s="37"/>
    </row>
    <row r="29" spans="1:22" ht="15.75">
      <c r="A29" s="1048"/>
      <c r="B29" s="725" t="s">
        <v>119</v>
      </c>
      <c r="C29" s="726" t="s">
        <v>120</v>
      </c>
      <c r="D29" s="727" t="s">
        <v>32</v>
      </c>
      <c r="E29" s="728" t="s">
        <v>119</v>
      </c>
      <c r="F29" s="725" t="s">
        <v>120</v>
      </c>
      <c r="G29" s="729" t="s">
        <v>32</v>
      </c>
      <c r="H29" s="57"/>
      <c r="I29" s="57"/>
      <c r="J29" s="675"/>
      <c r="K29" s="675"/>
      <c r="L29" s="675"/>
      <c r="M29" s="675"/>
      <c r="N29" s="37"/>
      <c r="O29" s="37"/>
      <c r="P29" s="37"/>
    </row>
    <row r="30" spans="1:22" ht="38.25" customHeight="1">
      <c r="A30" s="700" t="str">
        <f>B22</f>
        <v/>
      </c>
      <c r="B30" s="506" t="e">
        <f>E22/$E$7</f>
        <v>#DIV/0!</v>
      </c>
      <c r="C30" s="506" t="e">
        <f>((G22)/($E$7*0.02))</f>
        <v>#N/A</v>
      </c>
      <c r="D30" s="507" t="e">
        <f>D22/$C$8</f>
        <v>#DIV/0!</v>
      </c>
      <c r="E30" s="508" t="e">
        <f>F22/$E$10</f>
        <v>#DIV/0!</v>
      </c>
      <c r="F30" s="506" t="e">
        <f>((G22)/($E$10*0.015))</f>
        <v>#N/A</v>
      </c>
      <c r="G30" s="509" t="e">
        <f>F22/$E$14</f>
        <v>#DIV/0!</v>
      </c>
      <c r="H30" s="57"/>
      <c r="I30" s="57"/>
      <c r="J30" s="57"/>
      <c r="K30" s="57"/>
      <c r="L30" s="37"/>
      <c r="M30" s="37"/>
      <c r="N30" s="37"/>
      <c r="O30" s="37"/>
      <c r="P30" s="37"/>
    </row>
    <row r="31" spans="1:22" ht="15.75">
      <c r="A31" s="1033"/>
      <c r="B31" s="1011" t="s">
        <v>558</v>
      </c>
      <c r="C31" s="1012"/>
      <c r="D31" s="1013"/>
      <c r="E31" s="1014" t="s">
        <v>560</v>
      </c>
      <c r="F31" s="1015"/>
      <c r="G31" s="1016"/>
      <c r="H31" s="37"/>
      <c r="I31" s="37"/>
      <c r="J31" s="37"/>
      <c r="K31" s="37"/>
      <c r="L31" s="37"/>
      <c r="M31" s="37"/>
      <c r="N31" s="37"/>
      <c r="O31" s="37"/>
      <c r="P31" s="37"/>
    </row>
    <row r="32" spans="1:22" ht="15.75">
      <c r="A32" s="1034"/>
      <c r="B32" s="725" t="s">
        <v>119</v>
      </c>
      <c r="C32" s="726" t="s">
        <v>120</v>
      </c>
      <c r="D32" s="727" t="s">
        <v>32</v>
      </c>
      <c r="E32" s="728" t="s">
        <v>119</v>
      </c>
      <c r="F32" s="725" t="s">
        <v>120</v>
      </c>
      <c r="G32" s="729" t="s">
        <v>32</v>
      </c>
      <c r="H32" s="37"/>
      <c r="I32" s="37"/>
      <c r="J32" s="37"/>
      <c r="K32" s="37"/>
      <c r="L32" s="37"/>
      <c r="M32" s="37"/>
      <c r="N32" s="37"/>
      <c r="O32" s="37"/>
      <c r="P32" s="37"/>
    </row>
    <row r="33" spans="1:21" ht="37.5" customHeight="1">
      <c r="A33" s="701" t="str">
        <f>A30</f>
        <v/>
      </c>
      <c r="B33" s="510" t="e">
        <f>E23/$E$8</f>
        <v>#DIV/0!</v>
      </c>
      <c r="C33" s="510" t="e">
        <f>((G22)/($E$8*0.1))</f>
        <v>#N/A</v>
      </c>
      <c r="D33" s="511" t="e">
        <f>D22/$C$8</f>
        <v>#DIV/0!</v>
      </c>
      <c r="E33" s="512" t="e">
        <f>F23/$E$11</f>
        <v>#DIV/0!</v>
      </c>
      <c r="F33" s="510" t="e">
        <f>((G22)/($E$11*0.035))</f>
        <v>#N/A</v>
      </c>
      <c r="G33" s="509" t="e">
        <f>F23/$E$15</f>
        <v>#DIV/0!</v>
      </c>
      <c r="H33" s="37"/>
      <c r="I33" s="37"/>
      <c r="J33" s="37"/>
      <c r="K33" s="37"/>
      <c r="L33" s="37"/>
      <c r="M33" s="37"/>
      <c r="N33" s="37"/>
      <c r="O33" s="37"/>
      <c r="P33" s="37"/>
    </row>
    <row r="34" spans="1:21" ht="15.75">
      <c r="A34" s="1033"/>
      <c r="B34" s="1011" t="s">
        <v>559</v>
      </c>
      <c r="C34" s="1012"/>
      <c r="D34" s="1013"/>
      <c r="E34" s="1014" t="s">
        <v>561</v>
      </c>
      <c r="F34" s="1015"/>
      <c r="G34" s="1016"/>
      <c r="H34" s="37"/>
      <c r="I34" s="37"/>
      <c r="J34" s="37"/>
      <c r="K34" s="37"/>
      <c r="L34" s="37"/>
      <c r="M34" s="37"/>
      <c r="N34" s="37"/>
      <c r="O34" s="37"/>
      <c r="P34" s="37"/>
    </row>
    <row r="35" spans="1:21" ht="15.75">
      <c r="A35" s="1034"/>
      <c r="B35" s="725" t="s">
        <v>119</v>
      </c>
      <c r="C35" s="726" t="s">
        <v>120</v>
      </c>
      <c r="D35" s="727" t="s">
        <v>32</v>
      </c>
      <c r="E35" s="728" t="s">
        <v>119</v>
      </c>
      <c r="F35" s="725" t="s">
        <v>120</v>
      </c>
      <c r="G35" s="729" t="s">
        <v>32</v>
      </c>
      <c r="H35" s="37"/>
      <c r="I35" s="37"/>
      <c r="J35" s="37"/>
      <c r="K35" s="37"/>
      <c r="L35" s="37"/>
      <c r="M35" s="37"/>
      <c r="N35" s="37"/>
      <c r="O35" s="37"/>
      <c r="P35" s="37"/>
    </row>
    <row r="36" spans="1:21" ht="30.75" customHeight="1" thickBot="1">
      <c r="A36" s="702" t="str">
        <f>A33</f>
        <v/>
      </c>
      <c r="B36" s="513" t="e">
        <f>E24/$E$9</f>
        <v>#DIV/0!</v>
      </c>
      <c r="C36" s="513" t="e">
        <f>((G22)/($E$9*1))</f>
        <v>#N/A</v>
      </c>
      <c r="D36" s="514" t="e">
        <f>D22/$C$8</f>
        <v>#DIV/0!</v>
      </c>
      <c r="E36" s="515" t="e">
        <f>F24/$E$12</f>
        <v>#DIV/0!</v>
      </c>
      <c r="F36" s="513" t="e">
        <f>((G22)/($E$12*1))</f>
        <v>#N/A</v>
      </c>
      <c r="G36" s="516" t="e">
        <f>F24/$E$16</f>
        <v>#DIV/0!</v>
      </c>
      <c r="H36" s="37"/>
      <c r="I36" s="37"/>
      <c r="J36" s="37"/>
      <c r="K36" s="37"/>
      <c r="L36" s="37"/>
      <c r="M36" s="37"/>
      <c r="N36" s="37"/>
      <c r="O36" s="37"/>
      <c r="P36" s="37"/>
    </row>
    <row r="37" spans="1:21" ht="15">
      <c r="A37" s="264" t="s">
        <v>123</v>
      </c>
      <c r="B37" s="58" t="s">
        <v>114</v>
      </c>
      <c r="C37" s="49" t="s">
        <v>273</v>
      </c>
      <c r="D37" s="57"/>
      <c r="E37" s="57"/>
      <c r="F37" s="37"/>
      <c r="G37" s="37"/>
      <c r="H37" s="37"/>
      <c r="I37" s="37"/>
      <c r="J37" s="37"/>
      <c r="K37" s="37"/>
      <c r="L37" s="37"/>
      <c r="M37" s="37"/>
      <c r="N37" s="37"/>
      <c r="O37" s="37"/>
      <c r="P37" s="37"/>
    </row>
    <row r="38" spans="1:21" ht="15">
      <c r="B38" s="58" t="s">
        <v>113</v>
      </c>
      <c r="C38" s="49" t="s">
        <v>115</v>
      </c>
      <c r="D38" s="57"/>
      <c r="E38" s="57"/>
      <c r="F38" s="37"/>
      <c r="G38" s="37"/>
      <c r="H38" s="37"/>
      <c r="I38" s="37"/>
      <c r="J38" s="37"/>
      <c r="K38" s="37"/>
      <c r="L38" s="37"/>
      <c r="M38" s="37"/>
      <c r="N38" s="37"/>
      <c r="O38" s="37"/>
      <c r="P38" s="37"/>
    </row>
    <row r="39" spans="1:21" ht="15">
      <c r="B39" s="763" t="s">
        <v>586</v>
      </c>
      <c r="C39" s="739" t="s">
        <v>587</v>
      </c>
      <c r="D39" s="57"/>
      <c r="E39" s="57"/>
      <c r="F39" s="37"/>
      <c r="G39" s="37"/>
      <c r="H39" s="37"/>
      <c r="I39" s="37"/>
      <c r="J39" s="37"/>
      <c r="K39" s="37"/>
      <c r="L39" s="37"/>
      <c r="M39" s="37"/>
      <c r="N39" s="37"/>
      <c r="O39" s="37"/>
      <c r="P39" s="37"/>
    </row>
    <row r="40" spans="1:21" s="692" customFormat="1" ht="13.5" thickBot="1">
      <c r="A40" s="56"/>
      <c r="B40" s="760" t="s">
        <v>585</v>
      </c>
      <c r="C40" s="761" t="s">
        <v>588</v>
      </c>
      <c r="D40" s="762"/>
      <c r="E40" s="762"/>
      <c r="F40" s="762"/>
      <c r="G40" s="37"/>
      <c r="H40" s="37"/>
      <c r="I40" s="37"/>
      <c r="J40" s="48"/>
      <c r="K40" s="37"/>
      <c r="L40" s="37"/>
      <c r="M40" s="37"/>
      <c r="N40" s="37"/>
      <c r="O40" s="37"/>
      <c r="P40" s="37"/>
      <c r="R40" s="50"/>
      <c r="S40" s="51"/>
      <c r="T40" s="22"/>
      <c r="U40" s="48"/>
    </row>
    <row r="41" spans="1:21" s="692" customFormat="1" ht="23.25">
      <c r="A41" s="691" t="s">
        <v>271</v>
      </c>
      <c r="B41" s="703" t="s">
        <v>269</v>
      </c>
      <c r="C41" s="704"/>
      <c r="D41" s="48"/>
      <c r="E41" s="48"/>
      <c r="F41" s="48"/>
      <c r="G41" s="37"/>
      <c r="H41" s="37"/>
      <c r="I41" s="37"/>
      <c r="J41" s="48"/>
      <c r="K41" s="37"/>
      <c r="L41" s="37"/>
      <c r="M41" s="37"/>
      <c r="N41" s="37"/>
      <c r="O41" s="37"/>
      <c r="P41" s="37"/>
      <c r="R41" s="50"/>
      <c r="S41" s="51"/>
      <c r="T41" s="22"/>
      <c r="U41" s="48"/>
    </row>
    <row r="42" spans="1:21" s="692" customFormat="1" ht="23.25">
      <c r="A42" s="694"/>
      <c r="B42" s="724" t="s">
        <v>270</v>
      </c>
      <c r="C42" s="704"/>
      <c r="D42" s="48"/>
      <c r="E42" s="48"/>
      <c r="F42" s="48"/>
      <c r="G42" s="37"/>
      <c r="H42" s="37"/>
      <c r="I42" s="37"/>
      <c r="J42" s="48"/>
      <c r="K42" s="37"/>
      <c r="L42" s="37"/>
      <c r="M42" s="37"/>
      <c r="N42" s="37"/>
      <c r="O42" s="37"/>
      <c r="P42" s="37"/>
      <c r="R42" s="50"/>
      <c r="S42" s="51"/>
      <c r="T42" s="22"/>
      <c r="U42" s="48"/>
    </row>
    <row r="43" spans="1:21" s="692" customFormat="1" ht="23.25">
      <c r="A43" s="432" t="s">
        <v>197</v>
      </c>
      <c r="B43" s="63">
        <f>(0.648*20^0.651)/0.9</f>
        <v>5.0617771806688765</v>
      </c>
      <c r="C43" s="704"/>
      <c r="D43" s="48"/>
      <c r="E43" s="48"/>
      <c r="F43" s="48"/>
      <c r="G43" s="37"/>
      <c r="H43" s="37"/>
      <c r="I43" s="37"/>
      <c r="J43" s="48"/>
      <c r="K43" s="37"/>
      <c r="L43" s="37"/>
      <c r="M43" s="37"/>
      <c r="N43" s="37"/>
      <c r="O43" s="37"/>
      <c r="P43" s="37"/>
      <c r="R43" s="50"/>
      <c r="S43" s="51"/>
      <c r="T43" s="22"/>
      <c r="U43" s="48"/>
    </row>
    <row r="44" spans="1:21" s="692" customFormat="1" ht="24" thickBot="1">
      <c r="A44" s="433" t="s">
        <v>198</v>
      </c>
      <c r="B44" s="434">
        <f>((0.621*15^0.564)/(1-0.1))</f>
        <v>3.1780780650847582</v>
      </c>
      <c r="C44" s="704"/>
      <c r="D44" s="48"/>
      <c r="E44" s="48"/>
      <c r="F44" s="48"/>
      <c r="G44" s="37"/>
      <c r="H44" s="37"/>
      <c r="I44" s="37"/>
      <c r="J44" s="48"/>
      <c r="K44" s="37"/>
      <c r="L44" s="37"/>
      <c r="M44" s="37"/>
      <c r="N44" s="37"/>
      <c r="O44" s="37"/>
      <c r="P44" s="37"/>
      <c r="R44" s="50"/>
      <c r="S44" s="51"/>
      <c r="T44" s="22"/>
      <c r="U44" s="48"/>
    </row>
    <row r="45" spans="1:21" s="692" customFormat="1" ht="23.25">
      <c r="A45" s="698" t="s">
        <v>563</v>
      </c>
      <c r="B45" s="63">
        <f>(0.648*100^0.651)/0.9</f>
        <v>14.432198597029167</v>
      </c>
      <c r="C45" s="704"/>
      <c r="D45" s="48"/>
      <c r="E45" s="48"/>
      <c r="F45" s="48"/>
      <c r="G45" s="37"/>
      <c r="H45" s="37"/>
      <c r="I45" s="37"/>
      <c r="J45" s="48"/>
      <c r="K45" s="37"/>
      <c r="L45" s="37"/>
      <c r="M45" s="37"/>
      <c r="N45" s="37"/>
      <c r="O45" s="37"/>
      <c r="P45" s="37"/>
      <c r="R45" s="50"/>
      <c r="S45" s="51"/>
      <c r="T45" s="22"/>
      <c r="U45" s="48"/>
    </row>
    <row r="46" spans="1:21" s="692" customFormat="1" ht="24" thickBot="1">
      <c r="A46" s="699" t="s">
        <v>562</v>
      </c>
      <c r="B46" s="434">
        <f>((0.621*35^0.564)/(1-0.1))</f>
        <v>5.1251132651083058</v>
      </c>
      <c r="C46" s="704"/>
      <c r="D46" s="48"/>
      <c r="E46" s="48"/>
      <c r="F46" s="48"/>
      <c r="G46" s="37"/>
      <c r="H46" s="37"/>
      <c r="I46" s="37"/>
      <c r="J46" s="48"/>
      <c r="K46" s="37"/>
      <c r="L46" s="37"/>
      <c r="M46" s="37"/>
      <c r="N46" s="37"/>
      <c r="O46" s="37"/>
      <c r="P46" s="37"/>
      <c r="R46" s="50"/>
      <c r="S46" s="51"/>
      <c r="T46" s="22"/>
      <c r="U46" s="48"/>
    </row>
    <row r="47" spans="1:21" s="692" customFormat="1" ht="23.25">
      <c r="A47" s="698" t="s">
        <v>564</v>
      </c>
      <c r="B47" s="63">
        <f>(0.648*1000^0.651)/0.9</f>
        <v>64.614873204053922</v>
      </c>
      <c r="C47" s="704"/>
      <c r="D47" s="48"/>
      <c r="E47" s="48"/>
      <c r="F47" s="48"/>
      <c r="G47" s="37"/>
      <c r="H47" s="37"/>
      <c r="I47" s="37"/>
      <c r="J47" s="48"/>
      <c r="K47" s="37"/>
      <c r="L47" s="37"/>
      <c r="M47" s="37"/>
      <c r="N47" s="37"/>
      <c r="O47" s="37"/>
      <c r="P47" s="37"/>
      <c r="R47" s="50"/>
      <c r="S47" s="51"/>
      <c r="T47" s="22"/>
      <c r="U47" s="48"/>
    </row>
    <row r="48" spans="1:21" s="692" customFormat="1" ht="24" thickBot="1">
      <c r="A48" s="699" t="s">
        <v>565</v>
      </c>
      <c r="B48" s="434">
        <f>((0.621*1000^0.564)/(1-0.1))</f>
        <v>33.950727962020096</v>
      </c>
      <c r="C48" s="704"/>
      <c r="D48" s="48"/>
      <c r="E48" s="48"/>
      <c r="F48" s="48"/>
      <c r="G48" s="37"/>
      <c r="H48" s="37"/>
      <c r="I48" s="37"/>
      <c r="J48" s="48"/>
      <c r="K48" s="37"/>
      <c r="L48" s="37"/>
      <c r="M48" s="37"/>
      <c r="N48" s="37"/>
      <c r="O48" s="37"/>
      <c r="P48" s="37"/>
      <c r="R48" s="50"/>
      <c r="S48" s="51"/>
      <c r="T48" s="22"/>
      <c r="U48" s="48"/>
    </row>
    <row r="49" spans="1:21" s="692" customFormat="1" ht="23.25">
      <c r="A49" s="56"/>
      <c r="B49" s="22"/>
      <c r="C49" s="704"/>
      <c r="D49" s="48"/>
      <c r="E49" s="48"/>
      <c r="F49" s="48"/>
      <c r="G49" s="37"/>
      <c r="H49" s="37"/>
      <c r="I49" s="37"/>
      <c r="J49" s="48"/>
      <c r="K49" s="37"/>
      <c r="L49" s="37"/>
      <c r="M49" s="37"/>
      <c r="N49" s="37"/>
      <c r="O49" s="37"/>
      <c r="P49" s="37"/>
      <c r="R49" s="50"/>
      <c r="S49" s="51"/>
      <c r="T49" s="22"/>
      <c r="U49" s="48"/>
    </row>
    <row r="50" spans="1:21" s="692" customFormat="1" ht="23.25">
      <c r="A50" s="56"/>
      <c r="B50" s="22"/>
      <c r="C50" s="704"/>
      <c r="D50" s="48"/>
      <c r="E50" s="48"/>
      <c r="F50" s="48"/>
      <c r="G50" s="37"/>
      <c r="H50" s="37"/>
      <c r="I50" s="37"/>
      <c r="J50" s="48"/>
      <c r="K50" s="37"/>
      <c r="L50" s="37"/>
      <c r="M50" s="37"/>
      <c r="N50" s="37"/>
      <c r="O50" s="37"/>
      <c r="P50" s="37"/>
      <c r="R50" s="50"/>
      <c r="S50" s="51"/>
      <c r="T50" s="22"/>
      <c r="U50" s="48"/>
    </row>
    <row r="51" spans="1:21" s="675" customFormat="1" ht="23.25">
      <c r="B51" s="795" t="s">
        <v>608</v>
      </c>
      <c r="C51" s="704"/>
      <c r="D51" s="775"/>
      <c r="L51" s="776"/>
      <c r="M51" s="776"/>
      <c r="N51" s="776"/>
      <c r="O51" s="776"/>
      <c r="P51" s="776"/>
      <c r="R51" s="777"/>
      <c r="S51" s="778"/>
      <c r="T51" s="773"/>
      <c r="U51" s="775"/>
    </row>
    <row r="52" spans="1:21" s="675" customFormat="1" ht="15">
      <c r="B52" s="779"/>
      <c r="C52" s="779" t="s">
        <v>425</v>
      </c>
      <c r="D52" s="779" t="s">
        <v>426</v>
      </c>
      <c r="L52" s="776"/>
      <c r="M52" s="776"/>
      <c r="N52" s="776"/>
      <c r="O52" s="776"/>
      <c r="P52" s="776"/>
      <c r="R52" s="777"/>
      <c r="S52" s="778"/>
      <c r="T52" s="773"/>
      <c r="U52" s="775"/>
    </row>
    <row r="53" spans="1:21" s="675" customFormat="1" ht="15">
      <c r="B53" s="779" t="s">
        <v>104</v>
      </c>
      <c r="C53" s="779" t="s">
        <v>403</v>
      </c>
      <c r="D53" s="779" t="s">
        <v>403</v>
      </c>
      <c r="L53" s="776"/>
      <c r="M53" s="776"/>
      <c r="N53" s="776"/>
      <c r="O53" s="776"/>
      <c r="P53" s="776"/>
      <c r="R53" s="777"/>
      <c r="S53" s="778"/>
      <c r="T53" s="780"/>
      <c r="U53" s="775"/>
    </row>
    <row r="54" spans="1:21" s="675" customFormat="1" ht="15">
      <c r="B54" s="779"/>
      <c r="C54" s="779" t="s">
        <v>427</v>
      </c>
      <c r="D54" s="779" t="s">
        <v>427</v>
      </c>
      <c r="L54" s="776"/>
      <c r="M54" s="776"/>
      <c r="N54" s="776"/>
      <c r="O54" s="776"/>
      <c r="P54" s="776"/>
      <c r="R54" s="777"/>
      <c r="S54" s="778"/>
      <c r="T54" s="773"/>
      <c r="U54" s="775"/>
    </row>
    <row r="55" spans="1:21" s="675" customFormat="1" ht="15">
      <c r="A55" s="675">
        <v>1</v>
      </c>
      <c r="B55" s="781" t="s">
        <v>428</v>
      </c>
      <c r="C55" s="796">
        <v>33.188333333333333</v>
      </c>
      <c r="D55" s="796">
        <v>2.9039999999999999</v>
      </c>
      <c r="L55" s="776"/>
      <c r="M55" s="776"/>
      <c r="N55" s="776"/>
      <c r="O55" s="776"/>
      <c r="P55" s="776"/>
      <c r="R55" s="782"/>
      <c r="S55" s="780"/>
      <c r="T55" s="780"/>
      <c r="U55" s="775"/>
    </row>
    <row r="56" spans="1:21" s="675" customFormat="1">
      <c r="A56" s="675">
        <v>2</v>
      </c>
      <c r="B56" s="675" t="s">
        <v>429</v>
      </c>
      <c r="C56" s="796">
        <v>29.573842762674506</v>
      </c>
      <c r="D56" s="796">
        <v>4.4000000000000004</v>
      </c>
      <c r="L56" s="776"/>
      <c r="M56" s="776"/>
      <c r="N56" s="776"/>
      <c r="O56" s="776"/>
      <c r="P56" s="776"/>
      <c r="R56" s="777"/>
      <c r="S56" s="778"/>
      <c r="T56" s="773"/>
      <c r="U56" s="775"/>
    </row>
    <row r="57" spans="1:21" s="675" customFormat="1">
      <c r="A57" s="675">
        <v>3</v>
      </c>
      <c r="B57" s="675" t="s">
        <v>430</v>
      </c>
      <c r="C57" s="796">
        <v>22.042615723732549</v>
      </c>
      <c r="D57" s="796">
        <v>4.2016806722689077</v>
      </c>
      <c r="L57" s="776"/>
      <c r="M57" s="776"/>
      <c r="N57" s="776"/>
      <c r="O57" s="776"/>
      <c r="P57" s="776"/>
      <c r="R57" s="782"/>
      <c r="S57" s="780"/>
      <c r="T57" s="780"/>
      <c r="U57" s="775"/>
    </row>
    <row r="58" spans="1:21" s="675" customFormat="1">
      <c r="A58" s="675">
        <v>4</v>
      </c>
      <c r="B58" s="675" t="s">
        <v>431</v>
      </c>
      <c r="C58" s="796">
        <v>33.188333333333333</v>
      </c>
      <c r="D58" s="796">
        <v>2.9039999999999999</v>
      </c>
      <c r="L58" s="776"/>
      <c r="M58" s="776"/>
      <c r="N58" s="776"/>
      <c r="O58" s="776"/>
      <c r="P58" s="776"/>
      <c r="R58" s="782"/>
      <c r="S58" s="780"/>
      <c r="T58" s="780"/>
      <c r="U58" s="775"/>
    </row>
    <row r="59" spans="1:21" s="675" customFormat="1" ht="15">
      <c r="A59" s="675">
        <v>5</v>
      </c>
      <c r="B59" s="781" t="s">
        <v>432</v>
      </c>
      <c r="C59" s="797">
        <v>18.888888888888889</v>
      </c>
      <c r="D59" s="797">
        <v>6.4444444444444446</v>
      </c>
      <c r="L59" s="776"/>
      <c r="M59" s="776"/>
      <c r="N59" s="776"/>
      <c r="O59" s="776"/>
      <c r="P59" s="776"/>
      <c r="R59" s="782"/>
      <c r="S59" s="780"/>
      <c r="T59" s="780"/>
      <c r="U59" s="775"/>
    </row>
    <row r="60" spans="1:21" s="675" customFormat="1">
      <c r="A60" s="675">
        <v>6</v>
      </c>
      <c r="B60" s="675" t="s">
        <v>433</v>
      </c>
      <c r="C60" s="796">
        <v>18.888888888888889</v>
      </c>
      <c r="D60" s="796">
        <v>6.666666666666667</v>
      </c>
      <c r="L60" s="776"/>
      <c r="M60" s="776"/>
      <c r="N60" s="776"/>
      <c r="O60" s="776"/>
      <c r="P60" s="776"/>
      <c r="R60" s="782"/>
      <c r="S60" s="780"/>
      <c r="T60" s="780"/>
      <c r="U60" s="775"/>
    </row>
    <row r="61" spans="1:21" s="675" customFormat="1">
      <c r="A61" s="675">
        <v>7</v>
      </c>
      <c r="B61" s="675" t="s">
        <v>434</v>
      </c>
      <c r="C61" s="796">
        <v>129</v>
      </c>
      <c r="D61" s="796">
        <v>77</v>
      </c>
      <c r="L61" s="776"/>
      <c r="M61" s="776"/>
      <c r="N61" s="776"/>
      <c r="O61" s="776"/>
      <c r="P61" s="776"/>
      <c r="R61" s="777"/>
      <c r="S61" s="778"/>
      <c r="T61" s="773"/>
      <c r="U61" s="775"/>
    </row>
    <row r="62" spans="1:21" s="675" customFormat="1">
      <c r="A62" s="675">
        <v>8</v>
      </c>
      <c r="B62" s="675" t="s">
        <v>435</v>
      </c>
      <c r="C62" s="796">
        <v>166.66666666666666</v>
      </c>
      <c r="D62" s="796">
        <v>12.1</v>
      </c>
      <c r="L62" s="776"/>
      <c r="M62" s="776"/>
      <c r="N62" s="776"/>
      <c r="O62" s="776"/>
      <c r="P62" s="776"/>
      <c r="R62" s="777"/>
      <c r="S62" s="778"/>
      <c r="T62" s="773"/>
      <c r="U62" s="775"/>
    </row>
    <row r="63" spans="1:21" s="675" customFormat="1">
      <c r="A63" s="675">
        <v>9</v>
      </c>
      <c r="B63" s="675" t="s">
        <v>436</v>
      </c>
      <c r="C63" s="796">
        <v>60.313846153846157</v>
      </c>
      <c r="D63" s="796">
        <v>12.1</v>
      </c>
      <c r="L63" s="776"/>
      <c r="M63" s="776"/>
      <c r="N63" s="776"/>
      <c r="O63" s="776"/>
      <c r="P63" s="776"/>
      <c r="R63" s="777"/>
      <c r="S63" s="778"/>
      <c r="T63" s="773"/>
      <c r="U63" s="775"/>
    </row>
    <row r="64" spans="1:21" s="675" customFormat="1" ht="15">
      <c r="A64" s="675">
        <v>10</v>
      </c>
      <c r="B64" s="781" t="s">
        <v>437</v>
      </c>
      <c r="C64" s="797">
        <v>156</v>
      </c>
      <c r="D64" s="797">
        <v>30</v>
      </c>
      <c r="L64" s="776"/>
      <c r="M64" s="776"/>
      <c r="N64" s="776"/>
      <c r="O64" s="776"/>
      <c r="P64" s="776"/>
      <c r="R64" s="777"/>
      <c r="S64" s="778"/>
      <c r="T64" s="773"/>
      <c r="U64" s="775"/>
    </row>
    <row r="65" spans="1:21" s="675" customFormat="1">
      <c r="A65" s="675">
        <v>11</v>
      </c>
      <c r="B65" s="675" t="s">
        <v>438</v>
      </c>
      <c r="C65" s="796">
        <v>136.36363636363637</v>
      </c>
      <c r="D65" s="796">
        <v>30</v>
      </c>
      <c r="L65" s="776"/>
      <c r="M65" s="776"/>
      <c r="N65" s="776"/>
      <c r="O65" s="776"/>
      <c r="P65" s="776"/>
      <c r="R65" s="777"/>
      <c r="S65" s="778"/>
      <c r="T65" s="773"/>
      <c r="U65" s="775"/>
    </row>
    <row r="66" spans="1:21" s="675" customFormat="1">
      <c r="A66" s="675">
        <v>12</v>
      </c>
      <c r="B66" s="675" t="s">
        <v>439</v>
      </c>
      <c r="C66" s="796">
        <v>156</v>
      </c>
      <c r="D66" s="796">
        <v>60</v>
      </c>
      <c r="L66" s="776"/>
      <c r="M66" s="776"/>
      <c r="N66" s="776"/>
      <c r="O66" s="776"/>
      <c r="P66" s="776"/>
      <c r="R66" s="777"/>
      <c r="S66" s="778"/>
      <c r="T66" s="780"/>
      <c r="U66" s="775"/>
    </row>
    <row r="67" spans="1:21" s="675" customFormat="1">
      <c r="A67" s="675">
        <v>13</v>
      </c>
      <c r="B67" s="675" t="s">
        <v>440</v>
      </c>
      <c r="C67" s="796">
        <v>102.27272727272727</v>
      </c>
      <c r="D67" s="796">
        <v>30</v>
      </c>
      <c r="L67" s="776"/>
      <c r="M67" s="776"/>
      <c r="N67" s="776"/>
      <c r="O67" s="776"/>
      <c r="P67" s="776"/>
      <c r="R67" s="782"/>
      <c r="S67" s="780"/>
      <c r="T67" s="780"/>
      <c r="U67" s="775"/>
    </row>
    <row r="68" spans="1:21" s="675" customFormat="1">
      <c r="A68" s="675">
        <v>14</v>
      </c>
      <c r="B68" s="675" t="s">
        <v>441</v>
      </c>
      <c r="C68" s="796">
        <v>130</v>
      </c>
      <c r="D68" s="796">
        <v>50</v>
      </c>
      <c r="L68" s="776"/>
      <c r="M68" s="776"/>
      <c r="N68" s="776"/>
      <c r="O68" s="776"/>
      <c r="P68" s="776"/>
      <c r="R68" s="777"/>
      <c r="S68" s="778"/>
      <c r="T68" s="780"/>
      <c r="U68" s="775"/>
    </row>
    <row r="69" spans="1:21" s="675" customFormat="1">
      <c r="A69" s="675">
        <v>15</v>
      </c>
      <c r="B69" s="675" t="s">
        <v>442</v>
      </c>
      <c r="C69" s="796">
        <v>130</v>
      </c>
      <c r="D69" s="796">
        <v>30</v>
      </c>
      <c r="L69" s="776"/>
      <c r="M69" s="776"/>
      <c r="N69" s="776"/>
      <c r="O69" s="776"/>
      <c r="P69" s="776"/>
      <c r="R69" s="777"/>
      <c r="S69" s="783"/>
      <c r="T69" s="773"/>
      <c r="U69" s="775"/>
    </row>
    <row r="70" spans="1:21" s="675" customFormat="1">
      <c r="A70" s="675">
        <v>16</v>
      </c>
      <c r="B70" s="675" t="s">
        <v>443</v>
      </c>
      <c r="C70" s="796">
        <v>136.36363636363637</v>
      </c>
      <c r="D70" s="796">
        <v>30</v>
      </c>
      <c r="L70" s="776"/>
      <c r="M70" s="776"/>
      <c r="N70" s="776"/>
      <c r="O70" s="776"/>
      <c r="P70" s="776"/>
      <c r="R70" s="773"/>
      <c r="S70" s="773"/>
      <c r="T70" s="775"/>
      <c r="U70" s="775"/>
    </row>
    <row r="71" spans="1:21" s="675" customFormat="1">
      <c r="A71" s="675">
        <v>17</v>
      </c>
      <c r="B71" s="675" t="s">
        <v>444</v>
      </c>
      <c r="C71" s="796">
        <v>120</v>
      </c>
      <c r="D71" s="796">
        <v>60</v>
      </c>
      <c r="L71" s="776"/>
      <c r="M71" s="776"/>
      <c r="N71" s="776"/>
      <c r="O71" s="776"/>
      <c r="P71" s="776"/>
      <c r="R71" s="775"/>
      <c r="S71" s="775"/>
      <c r="T71" s="775"/>
      <c r="U71" s="775"/>
    </row>
    <row r="72" spans="1:21" s="675" customFormat="1">
      <c r="A72" s="675">
        <v>18</v>
      </c>
      <c r="B72" s="675" t="s">
        <v>445</v>
      </c>
      <c r="C72" s="796">
        <v>156</v>
      </c>
      <c r="D72" s="796">
        <v>60</v>
      </c>
      <c r="L72" s="776"/>
      <c r="M72" s="776"/>
      <c r="N72" s="776"/>
      <c r="O72" s="776"/>
      <c r="P72" s="776"/>
      <c r="R72" s="775"/>
      <c r="S72" s="775"/>
      <c r="T72" s="775"/>
      <c r="U72" s="775"/>
    </row>
    <row r="73" spans="1:21" s="675" customFormat="1">
      <c r="A73" s="675">
        <v>19</v>
      </c>
      <c r="B73" s="675" t="s">
        <v>446</v>
      </c>
      <c r="C73" s="796">
        <v>156</v>
      </c>
      <c r="D73" s="796">
        <v>60</v>
      </c>
      <c r="L73" s="776"/>
      <c r="M73" s="776"/>
      <c r="N73" s="776"/>
      <c r="O73" s="776"/>
      <c r="P73" s="776"/>
      <c r="R73" s="775"/>
      <c r="S73" s="775"/>
      <c r="T73" s="775"/>
      <c r="U73" s="775"/>
    </row>
    <row r="74" spans="1:21" s="675" customFormat="1">
      <c r="A74" s="675">
        <v>20</v>
      </c>
      <c r="B74" s="675" t="s">
        <v>447</v>
      </c>
      <c r="C74" s="796">
        <v>85</v>
      </c>
      <c r="D74" s="796">
        <v>85</v>
      </c>
      <c r="L74" s="776"/>
      <c r="M74" s="776"/>
      <c r="N74" s="776"/>
      <c r="O74" s="776"/>
      <c r="P74" s="776"/>
      <c r="R74" s="775"/>
      <c r="S74" s="775"/>
      <c r="T74" s="775"/>
      <c r="U74" s="775"/>
    </row>
    <row r="75" spans="1:21" s="675" customFormat="1">
      <c r="A75" s="675">
        <v>21</v>
      </c>
      <c r="B75" s="675" t="s">
        <v>448</v>
      </c>
      <c r="C75" s="796">
        <v>120</v>
      </c>
      <c r="D75" s="796">
        <v>60</v>
      </c>
      <c r="L75" s="776"/>
      <c r="M75" s="776"/>
      <c r="N75" s="776"/>
      <c r="O75" s="776"/>
      <c r="P75" s="776"/>
      <c r="R75" s="775"/>
      <c r="S75" s="784"/>
      <c r="T75" s="775"/>
      <c r="U75" s="775"/>
    </row>
    <row r="76" spans="1:21" s="675" customFormat="1" ht="15">
      <c r="A76" s="675">
        <v>22</v>
      </c>
      <c r="B76" s="781" t="s">
        <v>449</v>
      </c>
      <c r="C76" s="797">
        <v>116</v>
      </c>
      <c r="D76" s="797">
        <v>2</v>
      </c>
      <c r="L76" s="776"/>
      <c r="M76" s="776"/>
      <c r="N76" s="776"/>
      <c r="O76" s="776"/>
      <c r="P76" s="776"/>
      <c r="R76" s="775"/>
      <c r="S76" s="784"/>
      <c r="T76" s="775"/>
      <c r="U76" s="775"/>
    </row>
    <row r="77" spans="1:21" s="675" customFormat="1" ht="15">
      <c r="A77" s="675">
        <v>23</v>
      </c>
      <c r="B77" s="781" t="s">
        <v>450</v>
      </c>
      <c r="C77" s="806">
        <v>35</v>
      </c>
      <c r="D77" s="797">
        <v>5</v>
      </c>
      <c r="L77" s="776"/>
      <c r="M77" s="776"/>
      <c r="N77" s="776"/>
      <c r="O77" s="776"/>
      <c r="P77" s="776"/>
      <c r="R77" s="785"/>
      <c r="S77" s="777"/>
      <c r="T77" s="775"/>
      <c r="U77" s="775"/>
    </row>
    <row r="78" spans="1:21" s="675" customFormat="1">
      <c r="A78" s="675">
        <v>24</v>
      </c>
      <c r="B78" s="747" t="s">
        <v>451</v>
      </c>
      <c r="C78" s="796">
        <v>15</v>
      </c>
      <c r="D78" s="796">
        <v>15</v>
      </c>
      <c r="L78" s="776"/>
      <c r="M78" s="776"/>
      <c r="N78" s="776"/>
      <c r="O78" s="776"/>
      <c r="P78" s="776"/>
      <c r="R78" s="777"/>
      <c r="S78" s="777"/>
      <c r="T78" s="775"/>
      <c r="U78" s="775"/>
    </row>
    <row r="79" spans="1:21" s="675" customFormat="1">
      <c r="A79" s="675">
        <v>25</v>
      </c>
      <c r="B79" s="747" t="s">
        <v>612</v>
      </c>
      <c r="C79" s="796">
        <v>9</v>
      </c>
      <c r="D79" s="796">
        <v>9</v>
      </c>
      <c r="L79" s="776"/>
      <c r="M79" s="776"/>
      <c r="N79" s="776"/>
      <c r="O79" s="776"/>
      <c r="P79" s="776"/>
      <c r="R79" s="777"/>
      <c r="S79" s="777"/>
      <c r="T79" s="775"/>
      <c r="U79" s="775"/>
    </row>
    <row r="80" spans="1:21" s="776" customFormat="1" ht="15">
      <c r="A80" s="675">
        <v>26</v>
      </c>
      <c r="B80" s="675" t="s">
        <v>452</v>
      </c>
      <c r="C80" s="796">
        <v>35</v>
      </c>
      <c r="D80" s="796">
        <v>15</v>
      </c>
      <c r="E80" s="786"/>
      <c r="F80" s="786"/>
      <c r="G80" s="786"/>
      <c r="H80" s="786"/>
      <c r="I80" s="786"/>
      <c r="J80" s="787"/>
      <c r="K80" s="788"/>
      <c r="R80" s="777"/>
      <c r="S80" s="777"/>
      <c r="T80" s="775"/>
      <c r="U80" s="775"/>
    </row>
    <row r="81" spans="1:21" s="776" customFormat="1" ht="15.75">
      <c r="A81" s="675">
        <v>27</v>
      </c>
      <c r="B81" s="789" t="s">
        <v>453</v>
      </c>
      <c r="C81" s="798">
        <v>30</v>
      </c>
      <c r="D81" s="798">
        <v>5</v>
      </c>
      <c r="E81" s="786"/>
      <c r="F81" s="786"/>
      <c r="G81" s="786"/>
      <c r="H81" s="786"/>
      <c r="I81" s="786"/>
      <c r="J81" s="787"/>
      <c r="K81" s="788"/>
      <c r="R81" s="777"/>
      <c r="S81" s="777"/>
      <c r="T81" s="775"/>
      <c r="U81" s="775"/>
    </row>
    <row r="82" spans="1:21" s="776" customFormat="1" ht="15">
      <c r="A82" s="675">
        <v>28</v>
      </c>
      <c r="B82" s="675" t="s">
        <v>454</v>
      </c>
      <c r="C82" s="796">
        <v>9</v>
      </c>
      <c r="D82" s="796">
        <v>9</v>
      </c>
      <c r="E82" s="786"/>
      <c r="F82" s="786"/>
      <c r="G82" s="786"/>
      <c r="H82" s="786"/>
      <c r="I82" s="786"/>
      <c r="J82" s="787"/>
      <c r="K82" s="788"/>
      <c r="R82" s="777"/>
      <c r="S82" s="777"/>
      <c r="T82" s="775"/>
      <c r="U82" s="775"/>
    </row>
    <row r="83" spans="1:21" s="776" customFormat="1" ht="15">
      <c r="A83" s="675">
        <v>29</v>
      </c>
      <c r="B83" s="675" t="s">
        <v>455</v>
      </c>
      <c r="C83" s="796">
        <v>8</v>
      </c>
      <c r="D83" s="796">
        <v>5</v>
      </c>
      <c r="E83" s="786"/>
      <c r="F83" s="786"/>
      <c r="G83" s="786"/>
      <c r="H83" s="786"/>
      <c r="I83" s="786"/>
      <c r="J83" s="787"/>
      <c r="K83" s="788"/>
      <c r="R83" s="777"/>
      <c r="S83" s="777"/>
      <c r="T83" s="775"/>
      <c r="U83" s="775"/>
    </row>
    <row r="84" spans="1:21" s="776" customFormat="1" ht="15">
      <c r="A84" s="675">
        <v>30</v>
      </c>
      <c r="B84" s="675" t="s">
        <v>456</v>
      </c>
      <c r="C84" s="796">
        <v>20</v>
      </c>
      <c r="D84" s="796">
        <v>15</v>
      </c>
      <c r="E84" s="786"/>
      <c r="F84" s="786"/>
      <c r="G84" s="786"/>
      <c r="H84" s="786"/>
      <c r="I84" s="786"/>
      <c r="J84" s="787"/>
      <c r="K84" s="788"/>
      <c r="R84" s="777"/>
      <c r="S84" s="777"/>
      <c r="T84" s="775"/>
      <c r="U84" s="775"/>
    </row>
    <row r="85" spans="1:21" s="776" customFormat="1" ht="15">
      <c r="A85" s="675">
        <v>31</v>
      </c>
      <c r="B85" s="675" t="s">
        <v>613</v>
      </c>
      <c r="C85" s="796">
        <v>30</v>
      </c>
      <c r="D85" s="796">
        <v>20</v>
      </c>
      <c r="E85" s="786"/>
      <c r="F85" s="786"/>
      <c r="G85" s="786"/>
      <c r="H85" s="786"/>
      <c r="I85" s="786"/>
      <c r="J85" s="787"/>
      <c r="K85" s="788"/>
      <c r="R85" s="777"/>
      <c r="S85" s="777"/>
      <c r="T85" s="775"/>
      <c r="U85" s="775"/>
    </row>
    <row r="86" spans="1:21" s="776" customFormat="1" ht="15">
      <c r="A86" s="675">
        <v>32</v>
      </c>
      <c r="B86" s="675" t="s">
        <v>614</v>
      </c>
      <c r="C86" s="796">
        <v>6</v>
      </c>
      <c r="D86" s="796">
        <v>6</v>
      </c>
      <c r="E86" s="786"/>
      <c r="F86" s="786"/>
      <c r="G86" s="786"/>
      <c r="H86" s="786"/>
      <c r="I86" s="786"/>
      <c r="J86" s="787"/>
      <c r="K86" s="788"/>
      <c r="R86" s="777"/>
      <c r="S86" s="777"/>
      <c r="T86" s="775"/>
      <c r="U86" s="775"/>
    </row>
    <row r="87" spans="1:21" s="776" customFormat="1" ht="15">
      <c r="A87" s="675">
        <v>33</v>
      </c>
      <c r="B87" s="675" t="s">
        <v>615</v>
      </c>
      <c r="C87" s="796">
        <v>11</v>
      </c>
      <c r="D87" s="796">
        <v>11</v>
      </c>
      <c r="E87" s="786"/>
      <c r="F87" s="786"/>
      <c r="G87" s="786"/>
      <c r="H87" s="786"/>
      <c r="I87" s="786"/>
      <c r="J87" s="787"/>
      <c r="K87" s="788"/>
      <c r="R87" s="777"/>
      <c r="S87" s="777"/>
      <c r="T87" s="775"/>
      <c r="U87" s="775"/>
    </row>
    <row r="88" spans="1:21" s="776" customFormat="1" ht="15">
      <c r="A88" s="675">
        <v>34</v>
      </c>
      <c r="B88" s="675" t="s">
        <v>616</v>
      </c>
      <c r="C88" s="796">
        <v>20</v>
      </c>
      <c r="D88" s="796">
        <v>15</v>
      </c>
      <c r="E88" s="786"/>
      <c r="F88" s="786"/>
      <c r="G88" s="786"/>
      <c r="H88" s="786"/>
      <c r="I88" s="786"/>
      <c r="J88" s="787"/>
      <c r="K88" s="788"/>
      <c r="R88" s="777"/>
      <c r="S88" s="777"/>
      <c r="T88" s="775"/>
      <c r="U88" s="775"/>
    </row>
    <row r="89" spans="1:21" s="776" customFormat="1" ht="15">
      <c r="A89" s="675">
        <v>35</v>
      </c>
      <c r="B89" s="675" t="s">
        <v>617</v>
      </c>
      <c r="C89" s="796">
        <v>5</v>
      </c>
      <c r="D89" s="796">
        <v>5</v>
      </c>
      <c r="E89" s="786"/>
      <c r="F89" s="786"/>
      <c r="G89" s="786"/>
      <c r="H89" s="786"/>
      <c r="I89" s="786"/>
      <c r="J89" s="787"/>
      <c r="K89" s="788"/>
      <c r="R89" s="777"/>
      <c r="S89" s="777"/>
      <c r="T89" s="775"/>
      <c r="U89" s="775"/>
    </row>
    <row r="90" spans="1:21" s="776" customFormat="1" ht="15.75">
      <c r="A90" s="675">
        <v>36</v>
      </c>
      <c r="B90" s="781" t="s">
        <v>457</v>
      </c>
      <c r="C90" s="797">
        <v>160</v>
      </c>
      <c r="D90" s="797">
        <v>40</v>
      </c>
      <c r="E90" s="786"/>
      <c r="F90" s="786"/>
      <c r="G90" s="786"/>
      <c r="H90" s="786"/>
      <c r="I90" s="786"/>
      <c r="J90" s="787"/>
      <c r="K90" s="788"/>
      <c r="R90" s="777"/>
      <c r="S90" s="777"/>
      <c r="T90" s="775"/>
      <c r="U90" s="775"/>
    </row>
    <row r="91" spans="1:21" s="776" customFormat="1" ht="15">
      <c r="A91" s="675">
        <v>37</v>
      </c>
      <c r="B91" s="675" t="s">
        <v>458</v>
      </c>
      <c r="C91" s="796">
        <v>80</v>
      </c>
      <c r="D91" s="796">
        <v>58</v>
      </c>
      <c r="E91" s="786"/>
      <c r="F91" s="786"/>
      <c r="G91" s="786"/>
      <c r="H91" s="786"/>
      <c r="I91" s="786"/>
      <c r="J91" s="787"/>
      <c r="K91" s="788"/>
      <c r="R91" s="777"/>
      <c r="S91" s="777"/>
      <c r="T91" s="775"/>
      <c r="U91" s="775"/>
    </row>
    <row r="92" spans="1:21" s="776" customFormat="1" ht="15">
      <c r="A92" s="675">
        <v>38</v>
      </c>
      <c r="B92" s="675" t="s">
        <v>459</v>
      </c>
      <c r="C92" s="796">
        <v>150</v>
      </c>
      <c r="D92" s="796">
        <v>80</v>
      </c>
      <c r="E92" s="786"/>
      <c r="F92" s="786"/>
      <c r="G92" s="786"/>
      <c r="H92" s="786"/>
      <c r="I92" s="786"/>
      <c r="J92" s="787"/>
      <c r="K92" s="788"/>
      <c r="R92" s="777"/>
      <c r="S92" s="777"/>
      <c r="T92" s="775"/>
      <c r="U92" s="775"/>
    </row>
    <row r="93" spans="1:21" s="776" customFormat="1" ht="15">
      <c r="A93" s="675">
        <v>39</v>
      </c>
      <c r="B93" s="675" t="s">
        <v>460</v>
      </c>
      <c r="C93" s="796">
        <v>160</v>
      </c>
      <c r="D93" s="796">
        <v>50</v>
      </c>
      <c r="E93" s="786"/>
      <c r="F93" s="786"/>
      <c r="G93" s="786"/>
      <c r="H93" s="786"/>
      <c r="I93" s="786"/>
      <c r="J93" s="787"/>
      <c r="K93" s="788"/>
      <c r="R93" s="777"/>
      <c r="S93" s="777"/>
      <c r="T93" s="775"/>
      <c r="U93" s="775"/>
    </row>
    <row r="94" spans="1:21" s="776" customFormat="1" ht="15">
      <c r="A94" s="675">
        <v>40</v>
      </c>
      <c r="B94" s="675" t="s">
        <v>461</v>
      </c>
      <c r="C94" s="796">
        <v>71</v>
      </c>
      <c r="D94" s="796">
        <v>40</v>
      </c>
      <c r="E94" s="786"/>
      <c r="F94" s="786"/>
      <c r="G94" s="786"/>
      <c r="H94" s="786"/>
      <c r="I94" s="786"/>
      <c r="J94" s="787"/>
      <c r="K94" s="788"/>
      <c r="R94" s="777"/>
      <c r="S94" s="777"/>
      <c r="T94" s="775"/>
      <c r="U94" s="775"/>
    </row>
    <row r="95" spans="1:21" s="776" customFormat="1" ht="15">
      <c r="A95" s="675">
        <v>41</v>
      </c>
      <c r="B95" s="747" t="s">
        <v>589</v>
      </c>
      <c r="C95" s="796">
        <v>9</v>
      </c>
      <c r="D95" s="796">
        <v>9</v>
      </c>
      <c r="E95" s="786"/>
      <c r="F95" s="786"/>
      <c r="G95" s="786"/>
      <c r="H95" s="786"/>
      <c r="I95" s="786"/>
      <c r="J95" s="787"/>
      <c r="K95" s="788"/>
      <c r="R95" s="777"/>
      <c r="S95" s="777"/>
      <c r="T95" s="775"/>
      <c r="U95" s="775"/>
    </row>
    <row r="96" spans="1:21" s="776" customFormat="1" ht="15.75">
      <c r="A96" s="675">
        <v>42</v>
      </c>
      <c r="B96" s="781" t="s">
        <v>462</v>
      </c>
      <c r="C96" s="797">
        <v>25</v>
      </c>
      <c r="D96" s="797">
        <v>2</v>
      </c>
      <c r="E96" s="786"/>
      <c r="F96" s="786"/>
      <c r="G96" s="786"/>
      <c r="H96" s="786"/>
      <c r="I96" s="786"/>
      <c r="J96" s="787"/>
      <c r="K96" s="788"/>
      <c r="R96" s="777"/>
      <c r="S96" s="777"/>
      <c r="T96" s="775"/>
      <c r="U96" s="775"/>
    </row>
    <row r="97" spans="1:21" s="776" customFormat="1" ht="15">
      <c r="A97" s="675">
        <v>43</v>
      </c>
      <c r="B97" s="675" t="s">
        <v>463</v>
      </c>
      <c r="C97" s="796">
        <v>25</v>
      </c>
      <c r="D97" s="796">
        <v>25</v>
      </c>
      <c r="E97" s="786"/>
      <c r="F97" s="786"/>
      <c r="G97" s="786"/>
      <c r="H97" s="786"/>
      <c r="I97" s="786"/>
      <c r="J97" s="787"/>
      <c r="K97" s="788"/>
      <c r="R97" s="777"/>
      <c r="S97" s="777"/>
      <c r="T97" s="775"/>
      <c r="U97" s="775"/>
    </row>
    <row r="98" spans="1:21" s="776" customFormat="1" ht="15">
      <c r="A98" s="675">
        <v>44</v>
      </c>
      <c r="B98" s="675" t="s">
        <v>464</v>
      </c>
      <c r="C98" s="796">
        <v>10</v>
      </c>
      <c r="D98" s="796">
        <v>10</v>
      </c>
      <c r="E98" s="786"/>
      <c r="F98" s="786"/>
      <c r="G98" s="786"/>
      <c r="H98" s="786"/>
      <c r="I98" s="786"/>
      <c r="J98" s="787"/>
      <c r="K98" s="788"/>
      <c r="R98" s="777"/>
      <c r="S98" s="777"/>
      <c r="T98" s="775"/>
      <c r="U98" s="775"/>
    </row>
    <row r="99" spans="1:21" s="776" customFormat="1" ht="15">
      <c r="A99" s="675">
        <v>45</v>
      </c>
      <c r="B99" s="675" t="s">
        <v>465</v>
      </c>
      <c r="C99" s="796">
        <v>10</v>
      </c>
      <c r="D99" s="796">
        <v>10</v>
      </c>
      <c r="E99" s="786"/>
      <c r="F99" s="786"/>
      <c r="G99" s="786"/>
      <c r="H99" s="786"/>
      <c r="I99" s="786"/>
      <c r="J99" s="787"/>
      <c r="K99" s="788"/>
      <c r="R99" s="777"/>
      <c r="S99" s="777"/>
      <c r="T99" s="775"/>
      <c r="U99" s="775"/>
    </row>
    <row r="100" spans="1:21" s="776" customFormat="1" ht="15">
      <c r="A100" s="675">
        <v>46</v>
      </c>
      <c r="B100" s="675" t="s">
        <v>466</v>
      </c>
      <c r="C100" s="796">
        <v>24</v>
      </c>
      <c r="D100" s="796">
        <v>24</v>
      </c>
      <c r="E100" s="786"/>
      <c r="F100" s="786"/>
      <c r="G100" s="786"/>
      <c r="H100" s="786"/>
      <c r="I100" s="786"/>
      <c r="J100" s="787"/>
      <c r="K100" s="788"/>
      <c r="R100" s="777"/>
      <c r="S100" s="777"/>
      <c r="T100" s="775"/>
      <c r="U100" s="775"/>
    </row>
    <row r="101" spans="1:21" s="776" customFormat="1" ht="15">
      <c r="A101" s="675">
        <v>47</v>
      </c>
      <c r="B101" s="675" t="s">
        <v>467</v>
      </c>
      <c r="C101" s="796">
        <v>10</v>
      </c>
      <c r="D101" s="796">
        <v>10</v>
      </c>
      <c r="E101" s="786"/>
      <c r="F101" s="786"/>
      <c r="G101" s="786"/>
      <c r="H101" s="786"/>
      <c r="I101" s="786"/>
      <c r="J101" s="787"/>
      <c r="K101" s="788"/>
      <c r="R101" s="777"/>
      <c r="S101" s="777"/>
      <c r="T101" s="775"/>
      <c r="U101" s="775"/>
    </row>
    <row r="102" spans="1:21" s="776" customFormat="1" ht="15">
      <c r="A102" s="675">
        <v>48</v>
      </c>
      <c r="B102" s="675" t="s">
        <v>468</v>
      </c>
      <c r="C102" s="796">
        <v>16</v>
      </c>
      <c r="D102" s="796">
        <v>16</v>
      </c>
      <c r="E102" s="786"/>
      <c r="F102" s="786"/>
      <c r="G102" s="786"/>
      <c r="H102" s="786"/>
      <c r="I102" s="786"/>
      <c r="J102" s="787"/>
      <c r="K102" s="788"/>
      <c r="R102" s="777"/>
      <c r="S102" s="777"/>
      <c r="T102" s="775"/>
      <c r="U102" s="775"/>
    </row>
    <row r="103" spans="1:21" s="776" customFormat="1" ht="15">
      <c r="A103" s="675">
        <v>49</v>
      </c>
      <c r="B103" s="675" t="s">
        <v>469</v>
      </c>
      <c r="C103" s="796">
        <v>8</v>
      </c>
      <c r="D103" s="796">
        <v>2</v>
      </c>
      <c r="E103" s="786"/>
      <c r="F103" s="786"/>
      <c r="G103" s="786"/>
      <c r="H103" s="786"/>
      <c r="I103" s="786"/>
      <c r="J103" s="787"/>
      <c r="K103" s="788"/>
      <c r="R103" s="777"/>
      <c r="S103" s="777"/>
      <c r="T103" s="775"/>
      <c r="U103" s="775"/>
    </row>
    <row r="104" spans="1:21" s="776" customFormat="1" ht="15">
      <c r="A104" s="675">
        <v>50</v>
      </c>
      <c r="B104" s="675" t="s">
        <v>470</v>
      </c>
      <c r="C104" s="796">
        <v>5</v>
      </c>
      <c r="D104" s="796">
        <v>5</v>
      </c>
      <c r="E104" s="786"/>
      <c r="F104" s="786"/>
      <c r="G104" s="786"/>
      <c r="H104" s="786"/>
      <c r="I104" s="786"/>
      <c r="J104" s="787"/>
      <c r="K104" s="788"/>
      <c r="R104" s="777"/>
      <c r="S104" s="777"/>
      <c r="T104" s="775"/>
      <c r="U104" s="775"/>
    </row>
    <row r="105" spans="1:21" s="776" customFormat="1" ht="15">
      <c r="A105" s="675">
        <v>51</v>
      </c>
      <c r="B105" s="675" t="s">
        <v>471</v>
      </c>
      <c r="C105" s="796">
        <v>15</v>
      </c>
      <c r="D105" s="796">
        <v>15</v>
      </c>
      <c r="E105" s="786"/>
      <c r="F105" s="786"/>
      <c r="G105" s="786"/>
      <c r="H105" s="786"/>
      <c r="I105" s="786"/>
      <c r="J105" s="787"/>
      <c r="K105" s="788"/>
      <c r="R105" s="777"/>
      <c r="S105" s="777"/>
      <c r="T105" s="775"/>
      <c r="U105" s="775"/>
    </row>
    <row r="106" spans="1:21" s="776" customFormat="1" ht="15">
      <c r="A106" s="675">
        <v>52</v>
      </c>
      <c r="B106" s="675" t="s">
        <v>472</v>
      </c>
      <c r="C106" s="796">
        <v>8</v>
      </c>
      <c r="D106" s="796">
        <v>8</v>
      </c>
      <c r="E106" s="786"/>
      <c r="F106" s="786"/>
      <c r="G106" s="786"/>
      <c r="H106" s="786"/>
      <c r="I106" s="786"/>
      <c r="J106" s="787"/>
      <c r="K106" s="788"/>
      <c r="R106" s="777"/>
      <c r="S106" s="777"/>
      <c r="T106" s="775"/>
      <c r="U106" s="775"/>
    </row>
    <row r="107" spans="1:21" s="776" customFormat="1" ht="15">
      <c r="A107" s="675">
        <v>53</v>
      </c>
      <c r="B107" s="675" t="s">
        <v>473</v>
      </c>
      <c r="C107" s="796">
        <v>12</v>
      </c>
      <c r="D107" s="796">
        <v>12</v>
      </c>
      <c r="E107" s="786"/>
      <c r="F107" s="786"/>
      <c r="G107" s="786"/>
      <c r="H107" s="786"/>
      <c r="I107" s="786"/>
      <c r="J107" s="787"/>
      <c r="K107" s="788"/>
      <c r="R107" s="777"/>
      <c r="S107" s="777"/>
      <c r="T107" s="775"/>
      <c r="U107" s="775"/>
    </row>
    <row r="108" spans="1:21" s="776" customFormat="1" ht="15">
      <c r="A108" s="675">
        <v>54</v>
      </c>
      <c r="B108" s="675" t="s">
        <v>474</v>
      </c>
      <c r="C108" s="796">
        <v>9</v>
      </c>
      <c r="D108" s="796">
        <v>9</v>
      </c>
      <c r="E108" s="786"/>
      <c r="F108" s="786"/>
      <c r="G108" s="786"/>
      <c r="H108" s="786"/>
      <c r="I108" s="786"/>
      <c r="J108" s="787"/>
      <c r="K108" s="788"/>
      <c r="R108" s="777"/>
      <c r="S108" s="777"/>
      <c r="T108" s="775"/>
      <c r="U108" s="775"/>
    </row>
    <row r="109" spans="1:21" s="776" customFormat="1" ht="15">
      <c r="A109" s="675">
        <v>55</v>
      </c>
      <c r="B109" s="675" t="s">
        <v>475</v>
      </c>
      <c r="C109" s="796">
        <v>12</v>
      </c>
      <c r="D109" s="796">
        <v>12</v>
      </c>
      <c r="E109" s="786"/>
      <c r="F109" s="786"/>
      <c r="G109" s="786"/>
      <c r="H109" s="786"/>
      <c r="I109" s="786"/>
      <c r="J109" s="787"/>
      <c r="K109" s="788"/>
      <c r="R109" s="777"/>
      <c r="S109" s="777"/>
      <c r="T109" s="775"/>
      <c r="U109" s="775"/>
    </row>
    <row r="110" spans="1:21" s="776" customFormat="1" ht="15">
      <c r="A110" s="675">
        <v>56</v>
      </c>
      <c r="B110" s="675" t="s">
        <v>476</v>
      </c>
      <c r="C110" s="796">
        <v>9</v>
      </c>
      <c r="D110" s="796">
        <v>9</v>
      </c>
      <c r="E110" s="786"/>
      <c r="F110" s="786"/>
      <c r="G110" s="786"/>
      <c r="H110" s="786"/>
      <c r="I110" s="786"/>
      <c r="J110" s="787"/>
      <c r="K110" s="788"/>
      <c r="R110" s="777"/>
      <c r="S110" s="777"/>
      <c r="T110" s="775"/>
      <c r="U110" s="775"/>
    </row>
    <row r="111" spans="1:21" s="776" customFormat="1" ht="15.75">
      <c r="A111" s="675">
        <v>57</v>
      </c>
      <c r="B111" s="781" t="s">
        <v>477</v>
      </c>
      <c r="C111" s="797">
        <v>116</v>
      </c>
      <c r="D111" s="797">
        <v>8</v>
      </c>
      <c r="E111" s="786"/>
      <c r="F111" s="786"/>
      <c r="G111" s="786"/>
      <c r="H111" s="786"/>
      <c r="I111" s="786"/>
      <c r="J111" s="787"/>
      <c r="K111" s="788"/>
      <c r="R111" s="777"/>
      <c r="S111" s="777"/>
      <c r="T111" s="775"/>
      <c r="U111" s="775"/>
    </row>
    <row r="112" spans="1:21" s="776" customFormat="1" ht="15">
      <c r="A112" s="675">
        <v>58</v>
      </c>
      <c r="B112" s="675" t="s">
        <v>478</v>
      </c>
      <c r="C112" s="796">
        <v>24</v>
      </c>
      <c r="D112" s="796">
        <v>24</v>
      </c>
      <c r="E112" s="786"/>
      <c r="F112" s="786"/>
      <c r="G112" s="786"/>
      <c r="H112" s="786"/>
      <c r="I112" s="786"/>
      <c r="J112" s="787"/>
      <c r="K112" s="788"/>
      <c r="R112" s="777"/>
      <c r="S112" s="777"/>
      <c r="T112" s="775"/>
      <c r="U112" s="775"/>
    </row>
    <row r="113" spans="1:21" s="776" customFormat="1" ht="15">
      <c r="A113" s="675">
        <v>59</v>
      </c>
      <c r="B113" s="675" t="s">
        <v>479</v>
      </c>
      <c r="C113" s="796">
        <v>20</v>
      </c>
      <c r="D113" s="796">
        <v>20</v>
      </c>
      <c r="E113" s="786"/>
      <c r="F113" s="786"/>
      <c r="G113" s="786"/>
      <c r="H113" s="786"/>
      <c r="I113" s="786"/>
      <c r="J113" s="787"/>
      <c r="K113" s="788"/>
      <c r="R113" s="777"/>
      <c r="S113" s="777"/>
      <c r="T113" s="775"/>
      <c r="U113" s="775"/>
    </row>
    <row r="114" spans="1:21" s="776" customFormat="1" ht="15">
      <c r="A114" s="675">
        <v>60</v>
      </c>
      <c r="B114" s="675" t="s">
        <v>480</v>
      </c>
      <c r="C114" s="796">
        <v>87</v>
      </c>
      <c r="D114" s="796">
        <v>87</v>
      </c>
      <c r="E114" s="786"/>
      <c r="F114" s="786"/>
      <c r="G114" s="786"/>
      <c r="H114" s="786"/>
      <c r="I114" s="786"/>
      <c r="J114" s="787"/>
      <c r="K114" s="788"/>
      <c r="R114" s="777"/>
      <c r="S114" s="777"/>
      <c r="T114" s="775"/>
      <c r="U114" s="775"/>
    </row>
    <row r="115" spans="1:21" s="776" customFormat="1" ht="15">
      <c r="A115" s="675">
        <v>61</v>
      </c>
      <c r="B115" s="675" t="s">
        <v>481</v>
      </c>
      <c r="C115" s="796">
        <v>109</v>
      </c>
      <c r="D115" s="796">
        <v>109</v>
      </c>
      <c r="E115" s="786"/>
      <c r="F115" s="786"/>
      <c r="G115" s="786"/>
      <c r="H115" s="786"/>
      <c r="I115" s="786"/>
      <c r="J115" s="787"/>
      <c r="K115" s="788"/>
      <c r="R115" s="777"/>
      <c r="S115" s="777"/>
      <c r="T115" s="775"/>
      <c r="U115" s="775"/>
    </row>
    <row r="116" spans="1:21" s="776" customFormat="1" ht="15">
      <c r="A116" s="675">
        <v>62</v>
      </c>
      <c r="B116" s="675" t="s">
        <v>482</v>
      </c>
      <c r="C116" s="796">
        <v>12</v>
      </c>
      <c r="D116" s="796">
        <v>12</v>
      </c>
      <c r="E116" s="786"/>
      <c r="F116" s="786"/>
      <c r="G116" s="786"/>
      <c r="H116" s="786"/>
      <c r="I116" s="786"/>
      <c r="J116" s="787"/>
      <c r="K116" s="788"/>
      <c r="R116" s="777"/>
      <c r="S116" s="777"/>
      <c r="T116" s="775"/>
      <c r="U116" s="775"/>
    </row>
    <row r="117" spans="1:21" s="776" customFormat="1" ht="15">
      <c r="A117" s="675">
        <v>63</v>
      </c>
      <c r="B117" s="675" t="s">
        <v>483</v>
      </c>
      <c r="C117" s="796">
        <v>23</v>
      </c>
      <c r="D117" s="796">
        <v>23</v>
      </c>
      <c r="E117" s="786"/>
      <c r="F117" s="786"/>
      <c r="G117" s="786"/>
      <c r="H117" s="786"/>
      <c r="I117" s="786"/>
      <c r="J117" s="787"/>
      <c r="K117" s="788"/>
      <c r="R117" s="777"/>
      <c r="S117" s="777"/>
      <c r="T117" s="775"/>
      <c r="U117" s="775"/>
    </row>
    <row r="118" spans="1:21" s="776" customFormat="1" ht="15">
      <c r="A118" s="675">
        <v>64</v>
      </c>
      <c r="B118" s="675" t="s">
        <v>484</v>
      </c>
      <c r="C118" s="796">
        <v>109</v>
      </c>
      <c r="D118" s="796">
        <v>109</v>
      </c>
      <c r="E118" s="786"/>
      <c r="F118" s="786"/>
      <c r="G118" s="786"/>
      <c r="H118" s="786"/>
      <c r="I118" s="786"/>
      <c r="J118" s="787"/>
      <c r="K118" s="788"/>
      <c r="R118" s="777"/>
      <c r="S118" s="777"/>
      <c r="T118" s="775"/>
      <c r="U118" s="775"/>
    </row>
    <row r="119" spans="1:21" s="776" customFormat="1" ht="15">
      <c r="A119" s="675">
        <v>65</v>
      </c>
      <c r="B119" s="675" t="s">
        <v>485</v>
      </c>
      <c r="C119" s="796">
        <v>116</v>
      </c>
      <c r="D119" s="796">
        <v>116</v>
      </c>
      <c r="E119" s="786"/>
      <c r="F119" s="786"/>
      <c r="G119" s="786"/>
      <c r="H119" s="786"/>
      <c r="I119" s="786"/>
      <c r="J119" s="787"/>
      <c r="K119" s="788"/>
      <c r="R119" s="777"/>
      <c r="S119" s="777"/>
      <c r="T119" s="775"/>
      <c r="U119" s="775"/>
    </row>
    <row r="120" spans="1:21" s="776" customFormat="1" ht="15">
      <c r="A120" s="675">
        <v>66</v>
      </c>
      <c r="B120" s="675" t="s">
        <v>486</v>
      </c>
      <c r="C120" s="796">
        <v>10</v>
      </c>
      <c r="D120" s="796">
        <v>8</v>
      </c>
      <c r="E120" s="786"/>
      <c r="F120" s="786"/>
      <c r="G120" s="786"/>
      <c r="H120" s="786"/>
      <c r="I120" s="786"/>
      <c r="J120" s="787"/>
      <c r="K120" s="788"/>
      <c r="R120" s="777"/>
      <c r="S120" s="777"/>
      <c r="T120" s="775"/>
      <c r="U120" s="775"/>
    </row>
    <row r="121" spans="1:21" s="776" customFormat="1" ht="15">
      <c r="A121" s="675">
        <v>67</v>
      </c>
      <c r="B121" s="675" t="s">
        <v>487</v>
      </c>
      <c r="C121" s="796">
        <v>10</v>
      </c>
      <c r="D121" s="796">
        <v>8</v>
      </c>
      <c r="E121" s="786"/>
      <c r="F121" s="786"/>
      <c r="G121" s="786"/>
      <c r="H121" s="786"/>
      <c r="I121" s="786"/>
      <c r="J121" s="787"/>
      <c r="K121" s="788"/>
      <c r="R121" s="777"/>
      <c r="S121" s="777"/>
      <c r="T121" s="775"/>
      <c r="U121" s="775"/>
    </row>
    <row r="122" spans="1:21" s="776" customFormat="1" ht="15">
      <c r="A122" s="675">
        <v>68</v>
      </c>
      <c r="B122" s="675" t="s">
        <v>488</v>
      </c>
      <c r="C122" s="796">
        <v>138.29787234042553</v>
      </c>
      <c r="D122" s="796">
        <v>30</v>
      </c>
      <c r="E122" s="786"/>
      <c r="F122" s="786"/>
      <c r="G122" s="786"/>
      <c r="H122" s="786"/>
      <c r="I122" s="786"/>
      <c r="J122" s="787"/>
      <c r="K122" s="788"/>
      <c r="R122" s="777"/>
      <c r="S122" s="777"/>
      <c r="T122" s="775"/>
      <c r="U122" s="775"/>
    </row>
    <row r="123" spans="1:21" s="776" customFormat="1" ht="15">
      <c r="A123" s="675">
        <v>69</v>
      </c>
      <c r="B123" s="675" t="s">
        <v>489</v>
      </c>
      <c r="C123" s="796">
        <v>163.35</v>
      </c>
      <c r="D123" s="796">
        <v>32.01764057331863</v>
      </c>
      <c r="E123" s="786"/>
      <c r="F123" s="786"/>
      <c r="G123" s="786"/>
      <c r="H123" s="786"/>
      <c r="I123" s="786"/>
      <c r="J123" s="787"/>
      <c r="K123" s="788"/>
      <c r="R123" s="777"/>
      <c r="S123" s="777"/>
      <c r="T123" s="775"/>
      <c r="U123" s="775"/>
    </row>
    <row r="124" spans="1:21" s="776" customFormat="1" ht="15">
      <c r="A124" s="675">
        <v>70</v>
      </c>
      <c r="B124" s="675" t="s">
        <v>490</v>
      </c>
      <c r="C124" s="796">
        <v>104.78500551267916</v>
      </c>
      <c r="D124" s="796">
        <v>32.01764057331863</v>
      </c>
      <c r="E124" s="786"/>
      <c r="F124" s="786"/>
      <c r="G124" s="786"/>
      <c r="H124" s="786"/>
      <c r="I124" s="786"/>
      <c r="J124" s="787"/>
      <c r="K124" s="788"/>
      <c r="R124" s="777"/>
      <c r="S124" s="777"/>
      <c r="T124" s="775"/>
      <c r="U124" s="775"/>
    </row>
    <row r="125" spans="1:21" s="776" customFormat="1" ht="15">
      <c r="A125" s="675">
        <v>71</v>
      </c>
      <c r="B125" s="675" t="s">
        <v>491</v>
      </c>
      <c r="C125" s="796">
        <v>435.6</v>
      </c>
      <c r="D125" s="796">
        <v>20</v>
      </c>
      <c r="E125" s="786"/>
      <c r="F125" s="786"/>
      <c r="G125" s="786"/>
      <c r="H125" s="786"/>
      <c r="I125" s="786"/>
      <c r="J125" s="787"/>
      <c r="K125" s="788"/>
      <c r="R125" s="777"/>
      <c r="S125" s="777"/>
      <c r="T125" s="775"/>
      <c r="U125" s="775"/>
    </row>
    <row r="126" spans="1:21" s="776" customFormat="1" ht="15">
      <c r="A126" s="675">
        <v>72</v>
      </c>
      <c r="B126" s="675" t="s">
        <v>492</v>
      </c>
      <c r="C126" s="796">
        <v>25</v>
      </c>
      <c r="D126" s="796">
        <v>8</v>
      </c>
      <c r="E126" s="786"/>
      <c r="F126" s="786"/>
      <c r="G126" s="786"/>
      <c r="H126" s="786"/>
      <c r="I126" s="786"/>
      <c r="J126" s="787"/>
      <c r="K126" s="788"/>
      <c r="R126" s="777"/>
      <c r="S126" s="777"/>
      <c r="T126" s="775"/>
      <c r="U126" s="775"/>
    </row>
    <row r="127" spans="1:21" s="776" customFormat="1" ht="15">
      <c r="A127" s="675">
        <v>73</v>
      </c>
      <c r="B127" s="675" t="s">
        <v>493</v>
      </c>
      <c r="C127" s="796">
        <v>2.6355624999999998</v>
      </c>
      <c r="D127" s="796">
        <v>5.5313333333333332E-2</v>
      </c>
      <c r="E127" s="786"/>
      <c r="F127" s="786"/>
      <c r="G127" s="786"/>
      <c r="H127" s="786"/>
      <c r="I127" s="786"/>
      <c r="J127" s="787"/>
      <c r="K127" s="788"/>
      <c r="R127" s="777"/>
      <c r="S127" s="777"/>
      <c r="T127" s="775"/>
      <c r="U127" s="775"/>
    </row>
    <row r="128" spans="1:21" s="776" customFormat="1" ht="15">
      <c r="A128" s="675">
        <v>74</v>
      </c>
      <c r="B128" s="675" t="s">
        <v>494</v>
      </c>
      <c r="C128" s="796">
        <v>0.43559375</v>
      </c>
      <c r="D128" s="796">
        <v>3.4031249999999999E-2</v>
      </c>
      <c r="E128" s="786"/>
      <c r="F128" s="786"/>
      <c r="G128" s="786"/>
      <c r="H128" s="786"/>
      <c r="I128" s="786"/>
      <c r="J128" s="787"/>
      <c r="K128" s="788"/>
      <c r="R128" s="777"/>
      <c r="S128" s="777"/>
      <c r="T128" s="775"/>
      <c r="U128" s="775"/>
    </row>
    <row r="129" spans="1:21" s="776" customFormat="1" ht="15">
      <c r="A129" s="675">
        <v>75</v>
      </c>
      <c r="B129" s="675" t="s">
        <v>495</v>
      </c>
      <c r="C129" s="796">
        <v>72</v>
      </c>
      <c r="D129" s="796">
        <v>36</v>
      </c>
      <c r="E129" s="786"/>
      <c r="F129" s="786"/>
      <c r="G129" s="786"/>
      <c r="H129" s="786"/>
      <c r="I129" s="786"/>
      <c r="J129" s="787"/>
      <c r="K129" s="788"/>
      <c r="R129" s="777"/>
      <c r="S129" s="777"/>
      <c r="T129" s="775"/>
      <c r="U129" s="775"/>
    </row>
    <row r="130" spans="1:21" s="776" customFormat="1" ht="15">
      <c r="A130" s="675">
        <v>76</v>
      </c>
      <c r="B130" s="675" t="s">
        <v>496</v>
      </c>
      <c r="C130" s="796">
        <v>2.1779999999999999</v>
      </c>
      <c r="D130" s="796">
        <v>4.3999999999999997E-2</v>
      </c>
      <c r="E130" s="786"/>
      <c r="F130" s="786"/>
      <c r="G130" s="786"/>
      <c r="H130" s="786"/>
      <c r="I130" s="786"/>
      <c r="J130" s="787"/>
      <c r="K130" s="788"/>
      <c r="R130" s="777"/>
      <c r="S130" s="777"/>
      <c r="T130" s="775"/>
      <c r="U130" s="775"/>
    </row>
    <row r="131" spans="1:21" s="776" customFormat="1" ht="15">
      <c r="A131" s="675">
        <v>77</v>
      </c>
      <c r="B131" s="675" t="s">
        <v>497</v>
      </c>
      <c r="C131" s="796">
        <v>11.947885714285714</v>
      </c>
      <c r="D131" s="796">
        <v>0.26135999999999998</v>
      </c>
      <c r="E131" s="786"/>
      <c r="F131" s="786"/>
      <c r="G131" s="786"/>
      <c r="H131" s="786"/>
      <c r="I131" s="786"/>
      <c r="J131" s="787"/>
      <c r="K131" s="788"/>
      <c r="R131" s="777"/>
      <c r="S131" s="777"/>
      <c r="T131" s="775"/>
      <c r="U131" s="775"/>
    </row>
    <row r="132" spans="1:21" s="776" customFormat="1" ht="15">
      <c r="A132" s="675">
        <v>78</v>
      </c>
      <c r="B132" s="675" t="s">
        <v>498</v>
      </c>
      <c r="C132" s="796">
        <v>0.29039999999999999</v>
      </c>
      <c r="D132" s="796">
        <v>3.6299999999999999E-2</v>
      </c>
      <c r="E132" s="786"/>
      <c r="F132" s="786"/>
      <c r="G132" s="786"/>
      <c r="H132" s="786"/>
      <c r="I132" s="786"/>
      <c r="J132" s="787"/>
      <c r="K132" s="788"/>
      <c r="R132" s="777"/>
      <c r="S132" s="777"/>
      <c r="T132" s="775"/>
      <c r="U132" s="775"/>
    </row>
    <row r="133" spans="1:21" s="776" customFormat="1" ht="15">
      <c r="A133" s="675">
        <v>79</v>
      </c>
      <c r="B133" s="675" t="s">
        <v>499</v>
      </c>
      <c r="C133" s="796">
        <v>50</v>
      </c>
      <c r="D133" s="796">
        <v>25</v>
      </c>
      <c r="E133" s="786"/>
      <c r="F133" s="786"/>
      <c r="G133" s="786"/>
      <c r="H133" s="786"/>
      <c r="I133" s="786"/>
      <c r="J133" s="787"/>
      <c r="K133" s="788"/>
      <c r="R133" s="777"/>
      <c r="S133" s="777"/>
      <c r="T133" s="775"/>
      <c r="U133" s="775"/>
    </row>
    <row r="134" spans="1:21" s="776" customFormat="1" ht="15">
      <c r="A134" s="675">
        <v>80</v>
      </c>
      <c r="B134" s="675" t="s">
        <v>500</v>
      </c>
      <c r="C134" s="796">
        <v>4</v>
      </c>
      <c r="D134" s="796">
        <v>2</v>
      </c>
      <c r="E134" s="786"/>
      <c r="F134" s="786"/>
      <c r="G134" s="786"/>
      <c r="H134" s="786"/>
      <c r="I134" s="786"/>
      <c r="J134" s="787"/>
      <c r="K134" s="788"/>
      <c r="R134" s="777"/>
      <c r="S134" s="777"/>
      <c r="T134" s="775"/>
      <c r="U134" s="775"/>
    </row>
    <row r="135" spans="1:21" s="776" customFormat="1" ht="15">
      <c r="A135" s="675">
        <v>81</v>
      </c>
      <c r="B135" s="675" t="s">
        <v>501</v>
      </c>
      <c r="C135" s="796">
        <v>11.616</v>
      </c>
      <c r="D135" s="796">
        <v>0.16005291005291006</v>
      </c>
      <c r="E135" s="786"/>
      <c r="F135" s="786"/>
      <c r="G135" s="786"/>
      <c r="H135" s="786"/>
      <c r="I135" s="786"/>
      <c r="J135" s="787"/>
      <c r="K135" s="788"/>
      <c r="R135" s="777"/>
      <c r="S135" s="777"/>
      <c r="T135" s="775"/>
      <c r="U135" s="775"/>
    </row>
    <row r="136" spans="1:21" s="776" customFormat="1" ht="15">
      <c r="A136" s="675">
        <v>82</v>
      </c>
      <c r="B136" s="675" t="s">
        <v>502</v>
      </c>
      <c r="C136" s="796">
        <v>8</v>
      </c>
      <c r="D136" s="796">
        <v>1</v>
      </c>
      <c r="E136" s="786"/>
      <c r="F136" s="786"/>
      <c r="G136" s="786"/>
      <c r="H136" s="786"/>
      <c r="I136" s="786"/>
      <c r="J136" s="787"/>
      <c r="K136" s="788"/>
      <c r="R136" s="777"/>
      <c r="S136" s="777"/>
      <c r="T136" s="775"/>
      <c r="U136" s="775"/>
    </row>
    <row r="137" spans="1:21" s="776" customFormat="1" ht="15">
      <c r="A137" s="675">
        <v>83</v>
      </c>
      <c r="B137" s="675" t="s">
        <v>503</v>
      </c>
      <c r="C137" s="796">
        <v>100</v>
      </c>
      <c r="D137" s="796">
        <v>90</v>
      </c>
      <c r="E137" s="786"/>
      <c r="F137" s="786"/>
      <c r="G137" s="786"/>
      <c r="H137" s="786"/>
      <c r="I137" s="786"/>
      <c r="J137" s="787"/>
      <c r="K137" s="788"/>
      <c r="R137" s="777"/>
      <c r="S137" s="777"/>
      <c r="T137" s="775"/>
      <c r="U137" s="775"/>
    </row>
    <row r="138" spans="1:21" s="776" customFormat="1" ht="15">
      <c r="A138" s="675">
        <v>84</v>
      </c>
      <c r="B138" s="675" t="s">
        <v>504</v>
      </c>
      <c r="C138" s="796">
        <v>5.76</v>
      </c>
      <c r="D138" s="796">
        <v>7.5624999999999998E-2</v>
      </c>
      <c r="E138" s="786"/>
      <c r="F138" s="786"/>
      <c r="G138" s="786"/>
      <c r="H138" s="786"/>
      <c r="I138" s="786"/>
      <c r="J138" s="787"/>
      <c r="K138" s="788"/>
      <c r="R138" s="777"/>
      <c r="S138" s="777"/>
      <c r="T138" s="775"/>
      <c r="U138" s="775"/>
    </row>
    <row r="139" spans="1:21" s="776" customFormat="1" ht="15.75">
      <c r="A139" s="675">
        <v>85</v>
      </c>
      <c r="B139" s="781" t="s">
        <v>505</v>
      </c>
      <c r="C139" s="797">
        <v>0.78408</v>
      </c>
      <c r="D139" s="797">
        <v>3.4847999999999997E-2</v>
      </c>
      <c r="E139" s="786"/>
      <c r="F139" s="786"/>
      <c r="G139" s="786"/>
      <c r="H139" s="786"/>
      <c r="I139" s="786"/>
      <c r="J139" s="787"/>
      <c r="K139" s="788"/>
      <c r="R139" s="777"/>
      <c r="S139" s="777"/>
      <c r="T139" s="775"/>
      <c r="U139" s="775"/>
    </row>
    <row r="140" spans="1:21" s="776" customFormat="1" ht="15">
      <c r="A140" s="675">
        <v>86</v>
      </c>
      <c r="B140" s="675" t="s">
        <v>506</v>
      </c>
      <c r="C140" s="796">
        <v>0.78408</v>
      </c>
      <c r="D140" s="796">
        <v>3.4847999999999997E-2</v>
      </c>
      <c r="E140" s="786"/>
      <c r="F140" s="786"/>
      <c r="G140" s="786"/>
      <c r="H140" s="786"/>
      <c r="I140" s="786"/>
      <c r="J140" s="787"/>
      <c r="K140" s="788"/>
      <c r="R140" s="777"/>
      <c r="S140" s="777"/>
      <c r="T140" s="775"/>
      <c r="U140" s="775"/>
    </row>
    <row r="141" spans="1:21" s="776" customFormat="1" ht="15">
      <c r="A141" s="675">
        <v>87</v>
      </c>
      <c r="B141" s="675" t="s">
        <v>507</v>
      </c>
      <c r="C141" s="796">
        <v>0.39250000000000002</v>
      </c>
      <c r="D141" s="796">
        <v>3.4847999999999997E-2</v>
      </c>
      <c r="E141" s="786"/>
      <c r="F141" s="786"/>
      <c r="G141" s="786"/>
      <c r="H141" s="786"/>
      <c r="I141" s="786"/>
      <c r="J141" s="787"/>
      <c r="K141" s="788"/>
      <c r="R141" s="777"/>
      <c r="S141" s="777"/>
      <c r="T141" s="775"/>
      <c r="U141" s="775"/>
    </row>
    <row r="142" spans="1:21" s="776" customFormat="1" ht="15.75">
      <c r="A142" s="675">
        <v>88</v>
      </c>
      <c r="B142" s="781" t="s">
        <v>508</v>
      </c>
      <c r="C142" s="797">
        <v>30</v>
      </c>
      <c r="D142" s="797">
        <v>5</v>
      </c>
      <c r="E142" s="786"/>
      <c r="F142" s="786"/>
      <c r="G142" s="786"/>
      <c r="H142" s="786"/>
      <c r="I142" s="786"/>
      <c r="J142" s="787"/>
      <c r="K142" s="788"/>
      <c r="R142" s="777"/>
      <c r="S142" s="777"/>
      <c r="T142" s="775"/>
      <c r="U142" s="775"/>
    </row>
    <row r="143" spans="1:21" s="776" customFormat="1" ht="15">
      <c r="A143" s="675">
        <v>89</v>
      </c>
      <c r="B143" s="675" t="s">
        <v>509</v>
      </c>
      <c r="C143" s="796">
        <v>20</v>
      </c>
      <c r="D143" s="796">
        <v>10</v>
      </c>
      <c r="E143" s="786"/>
      <c r="F143" s="786"/>
      <c r="G143" s="786"/>
      <c r="H143" s="786"/>
      <c r="I143" s="786"/>
      <c r="J143" s="787"/>
      <c r="K143" s="788"/>
      <c r="R143" s="777"/>
      <c r="S143" s="777"/>
      <c r="T143" s="775"/>
      <c r="U143" s="775"/>
    </row>
    <row r="144" spans="1:21" s="776" customFormat="1" ht="15">
      <c r="A144" s="675">
        <v>90</v>
      </c>
      <c r="B144" s="675" t="s">
        <v>510</v>
      </c>
      <c r="C144" s="796">
        <v>10</v>
      </c>
      <c r="D144" s="796">
        <v>8</v>
      </c>
      <c r="E144" s="786"/>
      <c r="F144" s="786"/>
      <c r="G144" s="786"/>
      <c r="H144" s="786"/>
      <c r="I144" s="786"/>
      <c r="J144" s="787"/>
      <c r="K144" s="788"/>
      <c r="R144" s="777"/>
      <c r="S144" s="777"/>
      <c r="T144" s="775"/>
      <c r="U144" s="775"/>
    </row>
    <row r="145" spans="1:21" s="776" customFormat="1" ht="15">
      <c r="A145" s="675">
        <v>91</v>
      </c>
      <c r="B145" s="675" t="s">
        <v>511</v>
      </c>
      <c r="C145" s="796">
        <v>20</v>
      </c>
      <c r="D145" s="796">
        <v>10</v>
      </c>
      <c r="E145" s="786"/>
      <c r="F145" s="786"/>
      <c r="G145" s="786"/>
      <c r="H145" s="786"/>
      <c r="I145" s="786"/>
      <c r="J145" s="787"/>
      <c r="K145" s="788"/>
      <c r="R145" s="777"/>
      <c r="S145" s="777"/>
      <c r="T145" s="775"/>
      <c r="U145" s="775"/>
    </row>
    <row r="146" spans="1:21" s="776" customFormat="1" ht="15">
      <c r="A146" s="675">
        <v>92</v>
      </c>
      <c r="B146" s="675" t="s">
        <v>512</v>
      </c>
      <c r="C146" s="796">
        <v>25</v>
      </c>
      <c r="D146" s="796">
        <v>20</v>
      </c>
      <c r="E146" s="786"/>
      <c r="F146" s="786"/>
      <c r="G146" s="786"/>
      <c r="H146" s="786"/>
      <c r="I146" s="786"/>
      <c r="J146" s="787"/>
      <c r="K146" s="788"/>
      <c r="R146" s="777"/>
      <c r="S146" s="777"/>
      <c r="T146" s="775"/>
      <c r="U146" s="775"/>
    </row>
    <row r="147" spans="1:21" s="776" customFormat="1" ht="15">
      <c r="A147" s="675">
        <v>93</v>
      </c>
      <c r="B147" s="675" t="s">
        <v>513</v>
      </c>
      <c r="C147" s="796">
        <v>15</v>
      </c>
      <c r="D147" s="796">
        <v>5</v>
      </c>
      <c r="E147" s="786"/>
      <c r="F147" s="786"/>
      <c r="G147" s="786"/>
      <c r="H147" s="786"/>
      <c r="I147" s="786"/>
      <c r="J147" s="787"/>
      <c r="K147" s="788"/>
      <c r="R147" s="777"/>
      <c r="S147" s="777"/>
      <c r="T147" s="775"/>
      <c r="U147" s="775"/>
    </row>
    <row r="148" spans="1:21" s="776" customFormat="1" ht="15">
      <c r="A148" s="675">
        <v>94</v>
      </c>
      <c r="B148" s="675" t="s">
        <v>514</v>
      </c>
      <c r="C148" s="796">
        <v>30</v>
      </c>
      <c r="D148" s="796">
        <v>20</v>
      </c>
      <c r="E148" s="786"/>
      <c r="F148" s="786"/>
      <c r="G148" s="786"/>
      <c r="H148" s="786"/>
      <c r="I148" s="786"/>
      <c r="J148" s="787"/>
      <c r="K148" s="788"/>
      <c r="R148" s="777"/>
      <c r="S148" s="777"/>
      <c r="T148" s="775"/>
      <c r="U148" s="775"/>
    </row>
    <row r="149" spans="1:21" s="776" customFormat="1" ht="15.75">
      <c r="A149" s="675">
        <v>95</v>
      </c>
      <c r="B149" s="781" t="s">
        <v>515</v>
      </c>
      <c r="C149" s="797">
        <v>2.1779999999999999</v>
      </c>
      <c r="D149" s="797">
        <v>0.11634615384615385</v>
      </c>
      <c r="E149" s="786"/>
      <c r="F149" s="786"/>
      <c r="G149" s="786"/>
      <c r="H149" s="786"/>
      <c r="I149" s="786"/>
      <c r="J149" s="787"/>
      <c r="K149" s="788"/>
      <c r="R149" s="777"/>
      <c r="S149" s="777"/>
      <c r="T149" s="775"/>
      <c r="U149" s="775"/>
    </row>
    <row r="150" spans="1:21" s="776" customFormat="1" ht="15">
      <c r="A150" s="675">
        <v>96</v>
      </c>
      <c r="B150" s="675" t="s">
        <v>516</v>
      </c>
      <c r="C150" s="796">
        <v>2.1779999999999999</v>
      </c>
      <c r="D150" s="796">
        <v>0.11634615384615385</v>
      </c>
      <c r="E150" s="786"/>
      <c r="F150" s="786"/>
      <c r="G150" s="786"/>
      <c r="H150" s="786"/>
      <c r="I150" s="786"/>
      <c r="J150" s="787"/>
      <c r="K150" s="788"/>
      <c r="R150" s="777"/>
      <c r="S150" s="777"/>
      <c r="T150" s="775"/>
      <c r="U150" s="775"/>
    </row>
    <row r="151" spans="1:21" s="776" customFormat="1" ht="15">
      <c r="A151" s="675">
        <v>97</v>
      </c>
      <c r="B151" s="675" t="s">
        <v>517</v>
      </c>
      <c r="C151" s="796">
        <v>2.1779999999999999</v>
      </c>
      <c r="D151" s="796">
        <v>0.11634615384615385</v>
      </c>
      <c r="E151" s="786"/>
      <c r="F151" s="786"/>
      <c r="G151" s="786"/>
      <c r="H151" s="786"/>
      <c r="I151" s="786"/>
      <c r="J151" s="787"/>
      <c r="K151" s="788"/>
      <c r="R151" s="777"/>
      <c r="S151" s="777"/>
      <c r="T151" s="775"/>
      <c r="U151" s="775"/>
    </row>
    <row r="152" spans="1:21" s="776" customFormat="1" ht="15">
      <c r="A152" s="675">
        <v>98</v>
      </c>
      <c r="B152" s="675" t="s">
        <v>618</v>
      </c>
      <c r="C152" s="796">
        <v>2.1779999999999999</v>
      </c>
      <c r="D152" s="796">
        <v>0.11634615384615385</v>
      </c>
      <c r="E152" s="786"/>
      <c r="F152" s="786"/>
      <c r="G152" s="786"/>
      <c r="H152" s="786"/>
      <c r="I152" s="786"/>
      <c r="J152" s="787"/>
      <c r="K152" s="788"/>
      <c r="R152" s="777"/>
      <c r="S152" s="777"/>
      <c r="T152" s="775"/>
      <c r="U152" s="775"/>
    </row>
    <row r="153" spans="1:21" s="776" customFormat="1" ht="15">
      <c r="A153" s="675">
        <v>99</v>
      </c>
      <c r="B153" s="675" t="s">
        <v>619</v>
      </c>
      <c r="C153" s="796">
        <v>2.1779999999999999</v>
      </c>
      <c r="D153" s="796">
        <v>0.11634615384615385</v>
      </c>
      <c r="E153" s="786"/>
      <c r="F153" s="786"/>
      <c r="G153" s="786"/>
      <c r="H153" s="786"/>
      <c r="I153" s="786"/>
      <c r="J153" s="787"/>
      <c r="K153" s="788"/>
      <c r="R153" s="777"/>
      <c r="S153" s="777"/>
      <c r="T153" s="775"/>
      <c r="U153" s="775"/>
    </row>
    <row r="154" spans="1:21" s="776" customFormat="1" ht="15">
      <c r="A154" s="675">
        <v>100</v>
      </c>
      <c r="B154" s="675" t="s">
        <v>620</v>
      </c>
      <c r="C154" s="796">
        <v>2.1779999999999999</v>
      </c>
      <c r="D154" s="796">
        <v>0.11634615384615385</v>
      </c>
      <c r="E154" s="786"/>
      <c r="F154" s="786"/>
      <c r="G154" s="786"/>
      <c r="H154" s="786"/>
      <c r="I154" s="786"/>
      <c r="J154" s="787"/>
      <c r="K154" s="788"/>
      <c r="R154" s="777"/>
      <c r="S154" s="777"/>
      <c r="T154" s="775"/>
      <c r="U154" s="775"/>
    </row>
    <row r="155" spans="1:21" s="776" customFormat="1" ht="15">
      <c r="A155" s="675">
        <v>101</v>
      </c>
      <c r="B155" s="675" t="s">
        <v>621</v>
      </c>
      <c r="C155" s="796">
        <v>2.1779999999999999</v>
      </c>
      <c r="D155" s="796">
        <v>0.11634615384615385</v>
      </c>
      <c r="E155" s="786"/>
      <c r="F155" s="786"/>
      <c r="G155" s="786"/>
      <c r="H155" s="786"/>
      <c r="I155" s="786"/>
      <c r="J155" s="787"/>
      <c r="K155" s="788"/>
      <c r="R155" s="777"/>
      <c r="S155" s="777"/>
      <c r="T155" s="775"/>
      <c r="U155" s="775"/>
    </row>
    <row r="156" spans="1:21" s="776" customFormat="1" ht="15">
      <c r="A156" s="675">
        <v>102</v>
      </c>
      <c r="B156" s="675" t="s">
        <v>518</v>
      </c>
      <c r="C156" s="796">
        <v>6</v>
      </c>
      <c r="D156" s="796">
        <v>3</v>
      </c>
      <c r="E156" s="786"/>
      <c r="F156" s="786"/>
      <c r="G156" s="786"/>
      <c r="H156" s="786"/>
      <c r="I156" s="786"/>
      <c r="J156" s="787"/>
      <c r="K156" s="788"/>
      <c r="R156" s="777"/>
      <c r="S156" s="777"/>
      <c r="T156" s="775"/>
      <c r="U156" s="775"/>
    </row>
    <row r="157" spans="1:21" s="776" customFormat="1" ht="15">
      <c r="A157" s="675">
        <v>103</v>
      </c>
      <c r="B157" s="675" t="s">
        <v>519</v>
      </c>
      <c r="C157" s="796">
        <v>7</v>
      </c>
      <c r="D157" s="796">
        <v>5</v>
      </c>
      <c r="E157" s="786"/>
      <c r="F157" s="786"/>
      <c r="G157" s="786"/>
      <c r="H157" s="786"/>
      <c r="I157" s="786"/>
      <c r="J157" s="787"/>
      <c r="K157" s="788"/>
      <c r="R157" s="777"/>
      <c r="S157" s="777"/>
      <c r="T157" s="775"/>
      <c r="U157" s="775"/>
    </row>
    <row r="158" spans="1:21" s="776" customFormat="1" ht="15">
      <c r="A158" s="675">
        <v>104</v>
      </c>
      <c r="B158" s="675" t="s">
        <v>520</v>
      </c>
      <c r="C158" s="796">
        <v>90</v>
      </c>
      <c r="D158" s="796">
        <v>60</v>
      </c>
      <c r="E158" s="786"/>
      <c r="F158" s="786"/>
      <c r="G158" s="786"/>
      <c r="H158" s="786"/>
      <c r="I158" s="786"/>
      <c r="J158" s="787"/>
      <c r="K158" s="788"/>
      <c r="R158" s="777"/>
      <c r="S158" s="777"/>
      <c r="T158" s="775"/>
      <c r="U158" s="775"/>
    </row>
    <row r="159" spans="1:21" s="776" customFormat="1" ht="15.75">
      <c r="A159" s="675">
        <v>105</v>
      </c>
      <c r="B159" s="781" t="s">
        <v>521</v>
      </c>
      <c r="C159" s="797">
        <v>110</v>
      </c>
      <c r="D159" s="797">
        <v>0.37515789473684208</v>
      </c>
      <c r="E159" s="786"/>
      <c r="F159" s="786"/>
      <c r="G159" s="786"/>
      <c r="H159" s="786"/>
      <c r="I159" s="786"/>
      <c r="J159" s="787"/>
      <c r="K159" s="788"/>
      <c r="R159" s="777"/>
      <c r="S159" s="777"/>
      <c r="T159" s="775"/>
      <c r="U159" s="775"/>
    </row>
    <row r="160" spans="1:21" s="776" customFormat="1" ht="15">
      <c r="A160" s="675">
        <v>106</v>
      </c>
      <c r="B160" s="675" t="s">
        <v>522</v>
      </c>
      <c r="C160" s="796">
        <v>75</v>
      </c>
      <c r="D160" s="796">
        <v>0.37515789473684208</v>
      </c>
      <c r="E160" s="786"/>
      <c r="F160" s="786"/>
      <c r="G160" s="786"/>
      <c r="H160" s="786"/>
      <c r="I160" s="786"/>
      <c r="J160" s="787"/>
      <c r="K160" s="788"/>
      <c r="R160" s="777"/>
      <c r="S160" s="777"/>
      <c r="T160" s="775"/>
      <c r="U160" s="775"/>
    </row>
    <row r="161" spans="1:21" s="776" customFormat="1" ht="15">
      <c r="A161" s="675">
        <v>107</v>
      </c>
      <c r="B161" s="675" t="s">
        <v>523</v>
      </c>
      <c r="C161" s="796">
        <v>110</v>
      </c>
      <c r="D161" s="796">
        <v>80</v>
      </c>
      <c r="E161" s="786"/>
      <c r="F161" s="786"/>
      <c r="G161" s="786"/>
      <c r="H161" s="786"/>
      <c r="I161" s="786"/>
      <c r="J161" s="787"/>
      <c r="K161" s="788"/>
      <c r="R161" s="777"/>
      <c r="S161" s="777"/>
      <c r="T161" s="775"/>
      <c r="U161" s="775"/>
    </row>
    <row r="162" spans="1:21" s="776" customFormat="1" ht="15">
      <c r="A162" s="675">
        <v>108</v>
      </c>
      <c r="B162" s="675" t="s">
        <v>524</v>
      </c>
      <c r="C162" s="796">
        <v>4.5852631578947367</v>
      </c>
      <c r="D162" s="796">
        <v>2.6201526315789474</v>
      </c>
      <c r="E162" s="786"/>
      <c r="F162" s="786"/>
      <c r="G162" s="786"/>
      <c r="H162" s="786"/>
      <c r="I162" s="786"/>
      <c r="J162" s="787"/>
      <c r="K162" s="788"/>
      <c r="R162" s="777"/>
      <c r="S162" s="777"/>
      <c r="T162" s="775"/>
      <c r="U162" s="775"/>
    </row>
    <row r="163" spans="1:21" s="776" customFormat="1" ht="15">
      <c r="A163" s="675">
        <v>109</v>
      </c>
      <c r="B163" s="675" t="s">
        <v>525</v>
      </c>
      <c r="C163" s="796">
        <v>75</v>
      </c>
      <c r="D163" s="796">
        <v>0.37515789473684208</v>
      </c>
      <c r="E163" s="786"/>
      <c r="F163" s="786"/>
      <c r="G163" s="786"/>
      <c r="H163" s="786"/>
      <c r="I163" s="786"/>
      <c r="J163" s="787"/>
      <c r="K163" s="788"/>
      <c r="R163" s="777"/>
      <c r="S163" s="777"/>
      <c r="T163" s="775"/>
      <c r="U163" s="775"/>
    </row>
    <row r="164" spans="1:21" s="776" customFormat="1" ht="15">
      <c r="A164" s="675">
        <v>110</v>
      </c>
      <c r="B164" s="675" t="s">
        <v>526</v>
      </c>
      <c r="C164" s="796">
        <v>40</v>
      </c>
      <c r="D164" s="796">
        <v>1.4691399662731872</v>
      </c>
      <c r="E164" s="786"/>
      <c r="F164" s="786"/>
      <c r="G164" s="786"/>
      <c r="H164" s="786"/>
      <c r="I164" s="786"/>
      <c r="J164" s="787"/>
      <c r="K164" s="788"/>
      <c r="R164" s="777"/>
      <c r="S164" s="777"/>
      <c r="T164" s="775"/>
      <c r="U164" s="775"/>
    </row>
    <row r="165" spans="1:21" s="776" customFormat="1" ht="15">
      <c r="A165" s="675">
        <v>111</v>
      </c>
      <c r="B165" s="675" t="s">
        <v>527</v>
      </c>
      <c r="C165" s="796">
        <v>217.8</v>
      </c>
      <c r="D165" s="796">
        <v>60.984000000000002</v>
      </c>
      <c r="E165" s="786"/>
      <c r="F165" s="786"/>
      <c r="G165" s="786"/>
      <c r="H165" s="786"/>
      <c r="I165" s="786"/>
      <c r="J165" s="787"/>
      <c r="K165" s="788"/>
      <c r="R165" s="777"/>
      <c r="S165" s="777"/>
      <c r="T165" s="775"/>
      <c r="U165" s="775"/>
    </row>
    <row r="166" spans="1:21" s="776" customFormat="1" ht="15">
      <c r="A166" s="675">
        <v>112</v>
      </c>
      <c r="B166" s="675" t="s">
        <v>528</v>
      </c>
      <c r="C166" s="796">
        <v>411</v>
      </c>
      <c r="D166" s="796">
        <v>31.114285714285714</v>
      </c>
      <c r="E166" s="786"/>
      <c r="F166" s="786"/>
      <c r="G166" s="786"/>
      <c r="H166" s="786"/>
      <c r="I166" s="786"/>
      <c r="J166" s="787"/>
      <c r="K166" s="788"/>
      <c r="R166" s="777"/>
      <c r="S166" s="777"/>
      <c r="T166" s="775"/>
      <c r="U166" s="775"/>
    </row>
    <row r="167" spans="1:21" s="776" customFormat="1" ht="15">
      <c r="A167" s="675">
        <v>113</v>
      </c>
      <c r="B167" s="675" t="s">
        <v>529</v>
      </c>
      <c r="C167" s="796">
        <v>43.56</v>
      </c>
      <c r="D167" s="796">
        <v>6.2227499999999996</v>
      </c>
      <c r="E167" s="786"/>
      <c r="F167" s="786"/>
      <c r="G167" s="786"/>
      <c r="H167" s="786"/>
      <c r="I167" s="786"/>
      <c r="J167" s="787"/>
      <c r="K167" s="788"/>
      <c r="R167" s="777"/>
      <c r="S167" s="777"/>
      <c r="T167" s="775"/>
      <c r="U167" s="775"/>
    </row>
    <row r="168" spans="1:21" s="776" customFormat="1" ht="15">
      <c r="A168" s="675">
        <v>114</v>
      </c>
      <c r="B168" s="675" t="s">
        <v>530</v>
      </c>
      <c r="C168" s="796">
        <v>228.2608695652174</v>
      </c>
      <c r="D168" s="796">
        <v>32.01764057331863</v>
      </c>
      <c r="E168" s="786"/>
      <c r="F168" s="786"/>
      <c r="G168" s="786"/>
      <c r="H168" s="786"/>
      <c r="I168" s="786"/>
      <c r="J168" s="787"/>
      <c r="K168" s="788"/>
      <c r="R168" s="777"/>
      <c r="S168" s="777"/>
      <c r="T168" s="775"/>
      <c r="U168" s="775"/>
    </row>
    <row r="169" spans="1:21" s="776" customFormat="1" ht="15.75">
      <c r="A169" s="675">
        <v>115</v>
      </c>
      <c r="B169" s="781" t="s">
        <v>531</v>
      </c>
      <c r="C169" s="797">
        <v>4.1817599999999997</v>
      </c>
      <c r="D169" s="797">
        <v>7.5415512465373966E-2</v>
      </c>
      <c r="E169" s="786"/>
      <c r="F169" s="786"/>
      <c r="G169" s="786"/>
      <c r="H169" s="786"/>
      <c r="I169" s="786"/>
      <c r="J169" s="787"/>
      <c r="K169" s="788"/>
      <c r="R169" s="777"/>
      <c r="S169" s="777"/>
      <c r="T169" s="775"/>
      <c r="U169" s="775"/>
    </row>
    <row r="170" spans="1:21" s="776" customFormat="1" ht="15">
      <c r="A170" s="675">
        <v>116</v>
      </c>
      <c r="B170" s="675" t="s">
        <v>532</v>
      </c>
      <c r="C170" s="796">
        <v>1.39392</v>
      </c>
      <c r="D170" s="796">
        <v>7.5415512465373966E-2</v>
      </c>
      <c r="E170" s="786"/>
      <c r="F170" s="786"/>
      <c r="G170" s="786"/>
      <c r="H170" s="786"/>
      <c r="I170" s="786"/>
      <c r="J170" s="787"/>
      <c r="K170" s="788"/>
      <c r="R170" s="777"/>
      <c r="S170" s="777"/>
      <c r="T170" s="775"/>
      <c r="U170" s="775"/>
    </row>
    <row r="171" spans="1:21" s="776" customFormat="1" ht="15">
      <c r="A171" s="675">
        <v>117</v>
      </c>
      <c r="B171" s="675" t="s">
        <v>533</v>
      </c>
      <c r="C171" s="796">
        <v>4.1817599999999997</v>
      </c>
      <c r="D171" s="796">
        <v>7.5415512465373966E-2</v>
      </c>
      <c r="E171" s="786"/>
      <c r="F171" s="786"/>
      <c r="G171" s="786"/>
      <c r="H171" s="786"/>
      <c r="I171" s="786"/>
      <c r="J171" s="787"/>
      <c r="K171" s="788"/>
      <c r="R171" s="777"/>
      <c r="S171" s="777"/>
      <c r="T171" s="775"/>
      <c r="U171" s="775"/>
    </row>
    <row r="172" spans="1:21" s="776" customFormat="1" ht="15">
      <c r="A172" s="675">
        <v>118</v>
      </c>
      <c r="B172" s="675" t="s">
        <v>534</v>
      </c>
      <c r="C172" s="796">
        <v>6969.6</v>
      </c>
      <c r="D172" s="796">
        <v>1320</v>
      </c>
      <c r="E172" s="786"/>
      <c r="F172" s="786"/>
      <c r="G172" s="786"/>
      <c r="H172" s="786"/>
      <c r="I172" s="786"/>
      <c r="J172" s="787"/>
      <c r="K172" s="788"/>
      <c r="R172" s="777"/>
      <c r="S172" s="777"/>
      <c r="T172" s="775"/>
      <c r="U172" s="775"/>
    </row>
    <row r="173" spans="1:21" s="776" customFormat="1" ht="15.75">
      <c r="A173" s="675">
        <v>119</v>
      </c>
      <c r="B173" s="781" t="s">
        <v>535</v>
      </c>
      <c r="C173" s="797">
        <v>4.5374999999999996</v>
      </c>
      <c r="D173" s="797">
        <v>9.2031249999999995E-2</v>
      </c>
      <c r="E173" s="786"/>
      <c r="F173" s="786"/>
      <c r="G173" s="786"/>
      <c r="H173" s="786"/>
      <c r="I173" s="786"/>
      <c r="J173" s="787"/>
      <c r="K173" s="788"/>
      <c r="R173" s="777"/>
      <c r="S173" s="777"/>
      <c r="T173" s="775"/>
      <c r="U173" s="775"/>
    </row>
    <row r="174" spans="1:21" s="776" customFormat="1" ht="15">
      <c r="A174" s="675">
        <v>120</v>
      </c>
      <c r="B174" s="675" t="s">
        <v>536</v>
      </c>
      <c r="C174" s="796">
        <v>4.5374999999999996</v>
      </c>
      <c r="D174" s="796">
        <v>9.2031249999999995E-2</v>
      </c>
      <c r="E174" s="786"/>
      <c r="F174" s="786"/>
      <c r="G174" s="786"/>
      <c r="H174" s="786"/>
      <c r="I174" s="786"/>
      <c r="J174" s="787"/>
      <c r="K174" s="788"/>
      <c r="R174" s="777"/>
      <c r="S174" s="777"/>
      <c r="T174" s="775"/>
      <c r="U174" s="775"/>
    </row>
    <row r="175" spans="1:21" s="776" customFormat="1" ht="15">
      <c r="A175" s="675">
        <v>121</v>
      </c>
      <c r="B175" s="675" t="s">
        <v>537</v>
      </c>
      <c r="C175" s="796">
        <v>4.5374999999999996</v>
      </c>
      <c r="D175" s="796">
        <v>0.15125</v>
      </c>
      <c r="E175" s="786"/>
      <c r="F175" s="786"/>
      <c r="G175" s="786"/>
      <c r="H175" s="786"/>
      <c r="I175" s="786"/>
      <c r="J175" s="787"/>
      <c r="K175" s="788"/>
      <c r="R175" s="777"/>
      <c r="S175" s="777"/>
      <c r="T175" s="775"/>
      <c r="U175" s="775"/>
    </row>
    <row r="176" spans="1:21" s="776" customFormat="1" ht="15">
      <c r="A176" s="675">
        <v>122</v>
      </c>
      <c r="B176" s="675" t="s">
        <v>542</v>
      </c>
      <c r="C176" s="796">
        <v>32.67</v>
      </c>
      <c r="D176" s="796">
        <v>8.3635199999999994</v>
      </c>
      <c r="E176" s="786"/>
      <c r="F176" s="786"/>
      <c r="G176" s="786"/>
      <c r="H176" s="786"/>
      <c r="I176" s="786"/>
      <c r="J176" s="787"/>
      <c r="K176" s="788"/>
      <c r="R176" s="777"/>
      <c r="S176" s="777"/>
      <c r="T176" s="775"/>
      <c r="U176" s="775"/>
    </row>
    <row r="177" spans="1:21" s="776" customFormat="1" ht="15">
      <c r="A177" s="675">
        <v>123</v>
      </c>
      <c r="B177" s="675" t="s">
        <v>543</v>
      </c>
      <c r="C177" s="796">
        <v>8.2279999999999998</v>
      </c>
      <c r="D177" s="796">
        <v>3.7878260869565219</v>
      </c>
      <c r="E177" s="786"/>
      <c r="F177" s="786"/>
      <c r="G177" s="786"/>
      <c r="H177" s="786"/>
      <c r="I177" s="786"/>
      <c r="J177" s="787"/>
      <c r="K177" s="788"/>
      <c r="R177" s="777"/>
      <c r="S177" s="777"/>
      <c r="T177" s="775"/>
      <c r="U177" s="775"/>
    </row>
    <row r="178" spans="1:21" s="776" customFormat="1" ht="15">
      <c r="A178" s="675">
        <v>124</v>
      </c>
      <c r="B178" s="675" t="s">
        <v>544</v>
      </c>
      <c r="C178" s="796">
        <v>8.2279999999999998</v>
      </c>
      <c r="D178" s="796">
        <v>3.7878260869565219</v>
      </c>
      <c r="E178" s="786"/>
      <c r="F178" s="786"/>
      <c r="G178" s="786"/>
      <c r="H178" s="786"/>
      <c r="I178" s="786"/>
      <c r="J178" s="787"/>
      <c r="K178" s="788"/>
      <c r="R178" s="777"/>
      <c r="S178" s="777"/>
      <c r="T178" s="775"/>
      <c r="U178" s="775"/>
    </row>
    <row r="179" spans="1:21" s="776" customFormat="1" ht="15">
      <c r="A179" s="675">
        <v>125</v>
      </c>
      <c r="B179" s="675" t="s">
        <v>545</v>
      </c>
      <c r="C179" s="796">
        <v>2</v>
      </c>
      <c r="D179" s="796">
        <v>1.5</v>
      </c>
      <c r="E179" s="786"/>
      <c r="F179" s="786"/>
      <c r="G179" s="786"/>
      <c r="H179" s="786"/>
      <c r="I179" s="786"/>
      <c r="J179" s="787"/>
      <c r="K179" s="788"/>
      <c r="R179" s="777"/>
      <c r="S179" s="777"/>
      <c r="T179" s="775"/>
      <c r="U179" s="775"/>
    </row>
    <row r="180" spans="1:21" s="776" customFormat="1" ht="15">
      <c r="A180" s="675">
        <v>126</v>
      </c>
      <c r="B180" s="675" t="s">
        <v>546</v>
      </c>
      <c r="C180" s="796">
        <v>90</v>
      </c>
      <c r="D180" s="796">
        <v>60</v>
      </c>
      <c r="E180" s="786"/>
      <c r="F180" s="786"/>
      <c r="G180" s="786"/>
      <c r="H180" s="786"/>
      <c r="I180" s="786"/>
      <c r="J180" s="787"/>
      <c r="K180" s="788"/>
      <c r="R180" s="777"/>
      <c r="S180" s="777"/>
      <c r="T180" s="775"/>
      <c r="U180" s="775"/>
    </row>
    <row r="181" spans="1:21" s="776" customFormat="1" ht="15">
      <c r="A181" s="675">
        <v>127</v>
      </c>
      <c r="B181" s="675" t="s">
        <v>547</v>
      </c>
      <c r="C181" s="796">
        <v>35</v>
      </c>
      <c r="D181" s="796">
        <v>15</v>
      </c>
      <c r="E181" s="786"/>
      <c r="F181" s="786"/>
      <c r="G181" s="786"/>
      <c r="H181" s="786"/>
      <c r="I181" s="786"/>
      <c r="J181" s="787"/>
      <c r="K181" s="788"/>
      <c r="R181" s="777"/>
      <c r="S181" s="777"/>
      <c r="T181" s="775"/>
      <c r="U181" s="775"/>
    </row>
    <row r="182" spans="1:21" s="776" customFormat="1" ht="15">
      <c r="A182" s="675">
        <v>128</v>
      </c>
      <c r="B182" s="675" t="s">
        <v>548</v>
      </c>
      <c r="C182" s="796">
        <v>12</v>
      </c>
      <c r="D182" s="796">
        <v>5</v>
      </c>
      <c r="E182" s="786"/>
      <c r="F182" s="786"/>
      <c r="G182" s="786"/>
      <c r="H182" s="786"/>
      <c r="I182" s="786"/>
      <c r="J182" s="787"/>
      <c r="K182" s="788"/>
      <c r="R182" s="777"/>
      <c r="S182" s="777"/>
      <c r="T182" s="775"/>
      <c r="U182" s="775"/>
    </row>
    <row r="183" spans="1:21" s="776" customFormat="1" ht="15">
      <c r="A183" s="675">
        <v>129</v>
      </c>
      <c r="B183" s="675" t="s">
        <v>549</v>
      </c>
      <c r="C183" s="796">
        <v>9.0909090909090917</v>
      </c>
      <c r="D183" s="796">
        <v>1.8</v>
      </c>
      <c r="E183" s="786"/>
      <c r="F183" s="786"/>
      <c r="G183" s="786"/>
      <c r="H183" s="786"/>
      <c r="I183" s="786"/>
      <c r="J183" s="787"/>
      <c r="K183" s="788"/>
      <c r="R183" s="777"/>
      <c r="S183" s="777"/>
      <c r="T183" s="775"/>
      <c r="U183" s="775"/>
    </row>
    <row r="184" spans="1:21" s="776" customFormat="1" ht="15">
      <c r="A184" s="675">
        <v>130</v>
      </c>
      <c r="B184" s="675" t="s">
        <v>550</v>
      </c>
      <c r="C184" s="796">
        <v>25</v>
      </c>
      <c r="D184" s="796">
        <v>0.64021164021164023</v>
      </c>
      <c r="E184" s="786"/>
      <c r="F184" s="786"/>
      <c r="G184" s="786"/>
      <c r="H184" s="786"/>
      <c r="I184" s="786"/>
      <c r="J184" s="787"/>
      <c r="K184" s="788"/>
      <c r="R184" s="777"/>
      <c r="S184" s="777"/>
      <c r="T184" s="775"/>
      <c r="U184" s="775"/>
    </row>
    <row r="185" spans="1:21" s="776" customFormat="1" ht="15.75">
      <c r="A185" s="675">
        <v>131</v>
      </c>
      <c r="B185" s="781" t="s">
        <v>538</v>
      </c>
      <c r="C185" s="797">
        <v>8.0072916666666671</v>
      </c>
      <c r="D185" s="797">
        <v>9.2031249999999995E-2</v>
      </c>
      <c r="E185" s="786"/>
      <c r="F185" s="786"/>
      <c r="G185" s="786"/>
      <c r="H185" s="786"/>
      <c r="I185" s="786"/>
      <c r="J185" s="787"/>
      <c r="K185" s="788"/>
      <c r="R185" s="777"/>
      <c r="S185" s="777"/>
      <c r="T185" s="775"/>
      <c r="U185" s="775"/>
    </row>
    <row r="186" spans="1:21" s="776" customFormat="1" ht="15">
      <c r="A186" s="776">
        <v>132</v>
      </c>
      <c r="B186" s="675" t="s">
        <v>539</v>
      </c>
      <c r="C186" s="796">
        <v>8.0072916666666671</v>
      </c>
      <c r="D186" s="796">
        <v>0.15125</v>
      </c>
      <c r="E186" s="786"/>
      <c r="F186" s="786"/>
      <c r="G186" s="786"/>
      <c r="H186" s="786"/>
      <c r="I186" s="786"/>
      <c r="J186" s="787"/>
      <c r="K186" s="788"/>
      <c r="R186" s="777"/>
      <c r="S186" s="777"/>
      <c r="T186" s="775"/>
      <c r="U186" s="775"/>
    </row>
    <row r="187" spans="1:21" s="776" customFormat="1" ht="15">
      <c r="A187" s="776">
        <v>133</v>
      </c>
      <c r="B187" s="675" t="s">
        <v>540</v>
      </c>
      <c r="C187" s="796">
        <v>8.0072916666666671</v>
      </c>
      <c r="D187" s="796">
        <v>9.2031249999999995E-2</v>
      </c>
      <c r="E187" s="786"/>
      <c r="F187" s="786"/>
      <c r="G187" s="786"/>
      <c r="H187" s="786"/>
      <c r="I187" s="786"/>
      <c r="J187" s="787"/>
      <c r="K187" s="788"/>
      <c r="R187" s="777"/>
      <c r="S187" s="777"/>
      <c r="T187" s="775"/>
      <c r="U187" s="775"/>
    </row>
    <row r="188" spans="1:21" s="776" customFormat="1" ht="15">
      <c r="A188" s="776">
        <v>134</v>
      </c>
      <c r="B188" s="675" t="s">
        <v>541</v>
      </c>
      <c r="C188" s="796">
        <v>1.4182291666666667</v>
      </c>
      <c r="D188" s="796">
        <v>0.42546875000000001</v>
      </c>
      <c r="E188" s="786"/>
      <c r="F188" s="786"/>
      <c r="G188" s="786"/>
      <c r="H188" s="786"/>
      <c r="I188" s="786"/>
      <c r="J188" s="787"/>
      <c r="K188" s="788"/>
      <c r="R188" s="777"/>
      <c r="S188" s="777"/>
      <c r="T188" s="775"/>
      <c r="U188" s="775"/>
    </row>
    <row r="189" spans="1:21" s="776" customFormat="1" ht="15">
      <c r="A189" s="776">
        <v>135</v>
      </c>
      <c r="B189" s="675" t="s">
        <v>551</v>
      </c>
      <c r="C189" s="796">
        <v>19.8</v>
      </c>
      <c r="D189" s="796">
        <v>0.7142857142857143</v>
      </c>
      <c r="E189" s="786"/>
      <c r="F189" s="786"/>
      <c r="G189" s="786"/>
      <c r="H189" s="786"/>
      <c r="I189" s="786"/>
      <c r="J189" s="787"/>
      <c r="K189" s="788"/>
      <c r="R189" s="777"/>
      <c r="S189" s="777"/>
      <c r="T189" s="775"/>
      <c r="U189" s="775"/>
    </row>
    <row r="190" spans="1:21" s="776" customFormat="1" ht="15">
      <c r="A190" s="776">
        <v>136</v>
      </c>
      <c r="B190" s="675" t="s">
        <v>552</v>
      </c>
      <c r="C190" s="796">
        <v>4.7519999999999998</v>
      </c>
      <c r="D190" s="796">
        <v>0.7142857142857143</v>
      </c>
      <c r="E190" s="786"/>
      <c r="F190" s="786"/>
      <c r="G190" s="786"/>
      <c r="H190" s="786"/>
      <c r="I190" s="786"/>
      <c r="J190" s="787"/>
      <c r="K190" s="788"/>
      <c r="R190" s="777"/>
      <c r="S190" s="777"/>
      <c r="T190" s="775"/>
      <c r="U190" s="775"/>
    </row>
    <row r="191" spans="1:21" s="776" customFormat="1" ht="15">
      <c r="A191" s="776">
        <v>137</v>
      </c>
      <c r="B191" s="675" t="s">
        <v>553</v>
      </c>
      <c r="C191" s="796">
        <v>4</v>
      </c>
      <c r="D191" s="796">
        <v>3</v>
      </c>
      <c r="E191" s="786"/>
      <c r="F191" s="786"/>
      <c r="G191" s="786"/>
      <c r="H191" s="786"/>
      <c r="I191" s="786"/>
      <c r="J191" s="787"/>
      <c r="K191" s="788"/>
      <c r="R191" s="777"/>
      <c r="S191" s="777"/>
      <c r="T191" s="775"/>
      <c r="U191" s="775"/>
    </row>
    <row r="192" spans="1:21" s="776" customFormat="1" ht="15">
      <c r="A192" s="776">
        <v>138</v>
      </c>
      <c r="B192" s="675" t="s">
        <v>555</v>
      </c>
      <c r="C192" s="796">
        <v>1.089</v>
      </c>
      <c r="D192" s="796">
        <v>1.2736842105263158E-2</v>
      </c>
      <c r="F192" s="786"/>
      <c r="G192" s="786"/>
      <c r="H192" s="786"/>
      <c r="I192" s="786"/>
      <c r="J192" s="787"/>
      <c r="K192" s="788"/>
      <c r="R192" s="777"/>
      <c r="S192" s="777"/>
      <c r="T192" s="775"/>
      <c r="U192" s="775"/>
    </row>
    <row r="193" spans="1:21" s="776" customFormat="1" ht="15">
      <c r="A193" s="776">
        <v>139</v>
      </c>
      <c r="B193" s="675" t="s">
        <v>554</v>
      </c>
      <c r="C193" s="796">
        <v>6</v>
      </c>
      <c r="D193" s="796">
        <v>3</v>
      </c>
      <c r="E193" s="786"/>
      <c r="F193" s="786"/>
      <c r="G193" s="786"/>
      <c r="H193" s="786"/>
      <c r="I193" s="786"/>
      <c r="J193" s="787"/>
      <c r="K193" s="788"/>
      <c r="R193" s="777"/>
      <c r="S193" s="777"/>
      <c r="T193" s="775"/>
      <c r="U193" s="775"/>
    </row>
    <row r="194" spans="1:21" s="776" customFormat="1" ht="15">
      <c r="A194" s="776">
        <v>140</v>
      </c>
      <c r="B194" s="675" t="s">
        <v>556</v>
      </c>
      <c r="C194" s="796">
        <v>1.5650299401197605</v>
      </c>
      <c r="D194" s="796">
        <v>0.17389221556886228</v>
      </c>
      <c r="E194" s="786"/>
      <c r="F194" s="786"/>
      <c r="G194" s="786"/>
      <c r="H194" s="786"/>
      <c r="I194" s="786"/>
      <c r="J194" s="787"/>
      <c r="K194" s="788"/>
      <c r="R194" s="777"/>
      <c r="S194" s="777"/>
      <c r="T194" s="775"/>
      <c r="U194" s="775"/>
    </row>
    <row r="195" spans="1:21" s="776" customFormat="1" ht="15">
      <c r="A195" s="776">
        <v>141</v>
      </c>
      <c r="B195" s="675" t="s">
        <v>557</v>
      </c>
      <c r="C195" s="796">
        <v>9.0749999999999993</v>
      </c>
      <c r="D195" s="796">
        <v>6.3020833333333331E-2</v>
      </c>
      <c r="E195" s="786"/>
      <c r="F195" s="786"/>
      <c r="G195" s="786"/>
      <c r="H195" s="786"/>
      <c r="I195" s="786"/>
      <c r="J195" s="787"/>
      <c r="K195" s="788"/>
      <c r="R195" s="777"/>
      <c r="S195" s="777"/>
      <c r="T195" s="775"/>
      <c r="U195" s="775"/>
    </row>
    <row r="196" spans="1:21" s="776" customFormat="1" ht="15">
      <c r="A196" s="675"/>
      <c r="E196" s="786"/>
      <c r="F196" s="786"/>
      <c r="G196" s="786"/>
      <c r="H196" s="786"/>
      <c r="I196" s="786"/>
      <c r="J196" s="787"/>
      <c r="K196" s="788"/>
      <c r="R196" s="777"/>
      <c r="S196" s="777"/>
      <c r="T196" s="775"/>
      <c r="U196" s="775"/>
    </row>
    <row r="197" spans="1:21" s="776" customFormat="1" ht="15">
      <c r="A197" s="675"/>
      <c r="E197" s="786"/>
      <c r="F197" s="786"/>
      <c r="G197" s="786"/>
      <c r="H197" s="786"/>
      <c r="I197" s="786"/>
      <c r="J197" s="787"/>
      <c r="K197" s="788"/>
      <c r="R197" s="777"/>
      <c r="S197" s="777"/>
      <c r="T197" s="775"/>
      <c r="U197" s="775"/>
    </row>
    <row r="198" spans="1:21" s="776" customFormat="1" ht="15">
      <c r="A198" s="675"/>
      <c r="E198" s="786"/>
      <c r="F198" s="786"/>
      <c r="G198" s="786"/>
      <c r="H198" s="786"/>
      <c r="I198" s="786"/>
      <c r="J198" s="787"/>
      <c r="K198" s="788"/>
      <c r="R198" s="777"/>
      <c r="S198" s="777"/>
      <c r="T198" s="775"/>
      <c r="U198" s="775"/>
    </row>
    <row r="199" spans="1:21" s="776" customFormat="1" ht="15">
      <c r="A199" s="675"/>
      <c r="E199" s="786"/>
      <c r="F199" s="786"/>
      <c r="G199" s="786"/>
      <c r="H199" s="786"/>
      <c r="I199" s="786"/>
      <c r="J199" s="787"/>
      <c r="K199" s="788"/>
      <c r="R199" s="777"/>
      <c r="S199" s="777"/>
      <c r="T199" s="775"/>
      <c r="U199" s="775"/>
    </row>
    <row r="200" spans="1:21" s="776" customFormat="1" ht="15.75">
      <c r="A200" s="790"/>
      <c r="B200" s="791"/>
      <c r="C200" s="792"/>
      <c r="D200" s="786"/>
      <c r="E200" s="786"/>
      <c r="F200" s="786"/>
      <c r="G200" s="786"/>
      <c r="H200" s="786"/>
      <c r="I200" s="786"/>
      <c r="J200" s="787"/>
      <c r="K200" s="788"/>
      <c r="R200" s="777"/>
      <c r="S200" s="777"/>
      <c r="T200" s="775"/>
      <c r="U200" s="775"/>
    </row>
    <row r="201" spans="1:21" s="776" customFormat="1" ht="15.75">
      <c r="A201" s="790"/>
      <c r="B201" s="791"/>
      <c r="C201" s="792"/>
      <c r="D201" s="786"/>
      <c r="E201" s="786"/>
      <c r="F201" s="786"/>
      <c r="G201" s="786"/>
      <c r="H201" s="786"/>
      <c r="I201" s="786"/>
      <c r="J201" s="787"/>
      <c r="K201" s="788"/>
      <c r="R201" s="777"/>
      <c r="S201" s="777"/>
      <c r="T201" s="775"/>
      <c r="U201" s="775"/>
    </row>
    <row r="202" spans="1:21" s="776" customFormat="1" ht="15.75">
      <c r="A202" s="790"/>
      <c r="B202" s="791"/>
      <c r="C202" s="792"/>
      <c r="D202" s="786"/>
      <c r="E202" s="786"/>
      <c r="F202" s="786"/>
      <c r="G202" s="786"/>
      <c r="H202" s="786"/>
      <c r="I202" s="786"/>
      <c r="J202" s="787"/>
      <c r="K202" s="788"/>
      <c r="R202" s="777"/>
      <c r="S202" s="777"/>
      <c r="T202" s="775"/>
      <c r="U202" s="775"/>
    </row>
    <row r="203" spans="1:21" s="776" customFormat="1" ht="15.75">
      <c r="A203" s="790"/>
      <c r="B203" s="791"/>
      <c r="C203" s="792"/>
      <c r="D203" s="786"/>
      <c r="E203" s="786"/>
      <c r="F203" s="786"/>
      <c r="G203" s="786"/>
      <c r="H203" s="786"/>
      <c r="I203" s="786"/>
      <c r="J203" s="787"/>
      <c r="K203" s="788"/>
      <c r="R203" s="777"/>
      <c r="S203" s="777"/>
      <c r="T203" s="775"/>
      <c r="U203" s="775"/>
    </row>
    <row r="204" spans="1:21" s="776" customFormat="1" ht="15.75">
      <c r="A204" s="790"/>
      <c r="B204" s="791"/>
      <c r="C204" s="792"/>
      <c r="D204" s="786"/>
      <c r="E204" s="786"/>
      <c r="F204" s="786"/>
      <c r="G204" s="786"/>
      <c r="H204" s="786"/>
      <c r="I204" s="786"/>
      <c r="J204" s="787"/>
      <c r="K204" s="788"/>
      <c r="R204" s="777"/>
      <c r="S204" s="777"/>
      <c r="T204" s="775"/>
      <c r="U204" s="775"/>
    </row>
    <row r="205" spans="1:21" s="776" customFormat="1" ht="15.75">
      <c r="A205" s="790"/>
      <c r="B205" s="791"/>
      <c r="C205" s="792"/>
      <c r="D205" s="786"/>
      <c r="E205" s="786"/>
      <c r="F205" s="786"/>
      <c r="G205" s="786"/>
      <c r="H205" s="786"/>
      <c r="I205" s="786"/>
      <c r="J205" s="787"/>
      <c r="K205" s="788"/>
      <c r="R205" s="777"/>
      <c r="S205" s="777"/>
      <c r="T205" s="775"/>
      <c r="U205" s="775"/>
    </row>
    <row r="206" spans="1:21" s="776" customFormat="1" ht="15.75">
      <c r="A206" s="790"/>
      <c r="B206" s="791"/>
      <c r="C206" s="792"/>
      <c r="D206" s="786"/>
      <c r="E206" s="786"/>
      <c r="F206" s="786"/>
      <c r="G206" s="786"/>
      <c r="H206" s="786"/>
      <c r="I206" s="786"/>
      <c r="J206" s="787"/>
      <c r="K206" s="788"/>
      <c r="R206" s="777"/>
      <c r="S206" s="777"/>
      <c r="T206" s="775"/>
      <c r="U206" s="775"/>
    </row>
    <row r="207" spans="1:21" s="776" customFormat="1" ht="15.75">
      <c r="A207" s="790"/>
      <c r="B207" s="791"/>
      <c r="C207" s="792"/>
      <c r="D207" s="786"/>
      <c r="E207" s="786"/>
      <c r="F207" s="786"/>
      <c r="G207" s="786"/>
      <c r="H207" s="786"/>
      <c r="I207" s="786"/>
      <c r="J207" s="787"/>
      <c r="K207" s="788"/>
      <c r="R207" s="777"/>
      <c r="S207" s="777"/>
      <c r="T207" s="775"/>
      <c r="U207" s="775"/>
    </row>
    <row r="208" spans="1:21" s="776" customFormat="1" ht="15.75">
      <c r="A208" s="790"/>
      <c r="B208" s="791"/>
      <c r="C208" s="792"/>
      <c r="D208" s="786"/>
      <c r="E208" s="786"/>
      <c r="F208" s="786"/>
      <c r="G208" s="786"/>
      <c r="H208" s="786"/>
      <c r="I208" s="786"/>
      <c r="J208" s="787"/>
      <c r="K208" s="788"/>
      <c r="R208" s="777"/>
      <c r="S208" s="777"/>
      <c r="T208" s="775"/>
      <c r="U208" s="775"/>
    </row>
    <row r="209" spans="1:21" s="776" customFormat="1" ht="15.75">
      <c r="A209" s="790"/>
      <c r="B209" s="791"/>
      <c r="C209" s="792"/>
      <c r="D209" s="786"/>
      <c r="E209" s="786"/>
      <c r="F209" s="786"/>
      <c r="G209" s="786"/>
      <c r="H209" s="786"/>
      <c r="I209" s="786"/>
      <c r="J209" s="787"/>
      <c r="K209" s="788"/>
      <c r="R209" s="777"/>
      <c r="S209" s="777"/>
      <c r="T209" s="775"/>
      <c r="U209" s="775"/>
    </row>
    <row r="210" spans="1:21" s="776" customFormat="1" ht="15.75">
      <c r="A210" s="790"/>
      <c r="B210" s="791"/>
      <c r="C210" s="792"/>
      <c r="D210" s="786"/>
      <c r="E210" s="786"/>
      <c r="F210" s="786"/>
      <c r="G210" s="786"/>
      <c r="H210" s="786"/>
      <c r="I210" s="786"/>
      <c r="J210" s="787"/>
      <c r="K210" s="788"/>
      <c r="R210" s="777"/>
      <c r="S210" s="777"/>
      <c r="T210" s="775"/>
      <c r="U210" s="775"/>
    </row>
    <row r="211" spans="1:21" s="776" customFormat="1" ht="15.75">
      <c r="A211" s="790"/>
      <c r="B211" s="791"/>
      <c r="C211" s="792"/>
      <c r="D211" s="786"/>
      <c r="E211" s="786"/>
      <c r="F211" s="786"/>
      <c r="G211" s="786"/>
      <c r="H211" s="786"/>
      <c r="I211" s="786"/>
      <c r="J211" s="787"/>
      <c r="K211" s="788"/>
      <c r="R211" s="777"/>
      <c r="S211" s="777"/>
      <c r="T211" s="775"/>
      <c r="U211" s="775"/>
    </row>
    <row r="212" spans="1:21" s="776" customFormat="1" ht="15.75">
      <c r="A212" s="790"/>
      <c r="B212" s="791"/>
      <c r="C212" s="792"/>
      <c r="D212" s="786"/>
      <c r="E212" s="786"/>
      <c r="F212" s="786"/>
      <c r="G212" s="786"/>
      <c r="H212" s="786"/>
      <c r="I212" s="786"/>
      <c r="J212" s="787"/>
      <c r="K212" s="788"/>
      <c r="R212" s="777"/>
      <c r="S212" s="777"/>
      <c r="T212" s="775"/>
      <c r="U212" s="775"/>
    </row>
    <row r="213" spans="1:21" s="776" customFormat="1" ht="15.75">
      <c r="A213" s="790"/>
      <c r="B213" s="791"/>
      <c r="C213" s="792"/>
      <c r="D213" s="786"/>
      <c r="E213" s="786"/>
      <c r="F213" s="786"/>
      <c r="G213" s="786"/>
      <c r="H213" s="786"/>
      <c r="I213" s="786"/>
      <c r="J213" s="787"/>
      <c r="K213" s="788"/>
      <c r="R213" s="777"/>
      <c r="S213" s="777"/>
      <c r="T213" s="775"/>
      <c r="U213" s="775"/>
    </row>
    <row r="214" spans="1:21" s="776" customFormat="1" ht="15.75">
      <c r="A214" s="790"/>
      <c r="B214" s="791"/>
      <c r="C214" s="792"/>
      <c r="D214" s="786"/>
      <c r="E214" s="786"/>
      <c r="F214" s="786"/>
      <c r="G214" s="786"/>
      <c r="H214" s="786"/>
      <c r="I214" s="786"/>
      <c r="J214" s="787"/>
      <c r="K214" s="788"/>
      <c r="R214" s="777"/>
      <c r="S214" s="777"/>
      <c r="T214" s="775"/>
      <c r="U214" s="775"/>
    </row>
    <row r="215" spans="1:21" s="675" customFormat="1" ht="15">
      <c r="B215" s="793"/>
      <c r="C215" s="793"/>
      <c r="D215" s="776"/>
      <c r="E215" s="786"/>
      <c r="F215" s="786"/>
      <c r="G215" s="786"/>
      <c r="H215" s="786"/>
      <c r="I215" s="786"/>
      <c r="J215" s="787"/>
      <c r="K215" s="788"/>
      <c r="L215" s="776"/>
      <c r="M215" s="776"/>
      <c r="N215" s="776"/>
      <c r="O215" s="776"/>
      <c r="P215" s="776"/>
      <c r="R215" s="777"/>
      <c r="S215" s="777"/>
      <c r="T215" s="775"/>
      <c r="U215" s="775"/>
    </row>
    <row r="216" spans="1:21" s="675" customFormat="1">
      <c r="B216" s="794"/>
      <c r="C216" s="794"/>
      <c r="E216" s="775"/>
      <c r="F216" s="776"/>
      <c r="G216" s="776"/>
      <c r="H216" s="776"/>
      <c r="I216" s="776"/>
      <c r="J216" s="776"/>
      <c r="K216" s="776"/>
    </row>
    <row r="217" spans="1:21" s="675" customFormat="1">
      <c r="B217" s="794"/>
      <c r="C217" s="794"/>
      <c r="E217" s="570"/>
    </row>
    <row r="218" spans="1:21" s="675" customFormat="1">
      <c r="B218" s="794"/>
      <c r="C218" s="794"/>
    </row>
    <row r="219" spans="1:21" s="675" customFormat="1">
      <c r="B219" s="794"/>
      <c r="C219" s="794"/>
    </row>
    <row r="220" spans="1:21" s="675" customFormat="1">
      <c r="B220" s="794"/>
      <c r="C220" s="794"/>
    </row>
    <row r="221" spans="1:21" s="675" customFormat="1">
      <c r="B221" s="794"/>
      <c r="C221" s="794"/>
    </row>
    <row r="222" spans="1:21" s="675" customFormat="1">
      <c r="B222" s="794"/>
      <c r="C222" s="794"/>
    </row>
    <row r="223" spans="1:21" s="675" customFormat="1">
      <c r="B223" s="794"/>
      <c r="C223" s="794"/>
    </row>
    <row r="224" spans="1:21" s="675" customFormat="1">
      <c r="B224" s="794"/>
      <c r="C224" s="794"/>
    </row>
    <row r="225" spans="1:16" s="675" customFormat="1">
      <c r="B225" s="794"/>
      <c r="C225" s="794"/>
    </row>
    <row r="226" spans="1:16" s="675" customFormat="1">
      <c r="B226" s="794"/>
      <c r="C226" s="794"/>
    </row>
    <row r="227" spans="1:16" s="675" customFormat="1">
      <c r="B227" s="794"/>
      <c r="C227" s="794"/>
    </row>
    <row r="228" spans="1:16" s="675" customFormat="1">
      <c r="B228" s="794"/>
      <c r="C228" s="794"/>
    </row>
    <row r="229" spans="1:16" s="675" customFormat="1">
      <c r="B229" s="794"/>
      <c r="C229" s="794"/>
    </row>
    <row r="230" spans="1:16" s="675" customFormat="1">
      <c r="B230" s="794"/>
      <c r="C230" s="794"/>
    </row>
    <row r="231" spans="1:16" s="675" customFormat="1">
      <c r="B231" s="794"/>
      <c r="C231" s="794"/>
    </row>
    <row r="232" spans="1:16" s="675" customFormat="1">
      <c r="B232" s="794"/>
      <c r="C232" s="794"/>
    </row>
    <row r="233" spans="1:16" s="675" customFormat="1">
      <c r="B233" s="794"/>
      <c r="C233" s="794"/>
    </row>
    <row r="234" spans="1:16" s="675" customFormat="1">
      <c r="B234" s="794"/>
      <c r="C234" s="794"/>
    </row>
    <row r="235" spans="1:16" s="675" customFormat="1">
      <c r="B235" s="794"/>
      <c r="C235" s="794"/>
    </row>
    <row r="236" spans="1:16" s="675" customFormat="1">
      <c r="B236" s="793"/>
      <c r="C236" s="793"/>
      <c r="D236" s="776"/>
      <c r="L236" s="776"/>
      <c r="M236" s="776"/>
      <c r="N236" s="776"/>
      <c r="O236" s="776"/>
      <c r="P236" s="776"/>
    </row>
    <row r="237" spans="1:16" s="776" customFormat="1">
      <c r="A237" s="675"/>
      <c r="B237" s="793"/>
      <c r="C237" s="793"/>
    </row>
    <row r="238" spans="1:16" s="776" customFormat="1">
      <c r="A238" s="675"/>
      <c r="B238" s="793"/>
      <c r="C238" s="793"/>
    </row>
    <row r="239" spans="1:16" s="776" customFormat="1">
      <c r="A239" s="675"/>
      <c r="B239" s="793"/>
      <c r="C239" s="793"/>
    </row>
    <row r="240" spans="1:16" s="776" customFormat="1">
      <c r="A240" s="675"/>
      <c r="B240" s="793"/>
      <c r="C240" s="793"/>
    </row>
    <row r="241" spans="1:3" s="776" customFormat="1">
      <c r="A241" s="675"/>
      <c r="B241" s="793"/>
      <c r="C241" s="793"/>
    </row>
    <row r="242" spans="1:3" s="776" customFormat="1">
      <c r="A242" s="675"/>
      <c r="B242" s="793"/>
      <c r="C242" s="793"/>
    </row>
    <row r="243" spans="1:3" s="776" customFormat="1">
      <c r="A243" s="675"/>
      <c r="B243" s="793"/>
      <c r="C243" s="793"/>
    </row>
    <row r="244" spans="1:3" s="776" customFormat="1">
      <c r="A244" s="675"/>
      <c r="B244" s="793"/>
      <c r="C244" s="793"/>
    </row>
    <row r="245" spans="1:3" s="776" customFormat="1">
      <c r="A245" s="675"/>
      <c r="B245" s="793"/>
      <c r="C245" s="793"/>
    </row>
    <row r="246" spans="1:3" s="776" customFormat="1">
      <c r="A246" s="675"/>
      <c r="B246" s="793"/>
      <c r="C246" s="793"/>
    </row>
    <row r="247" spans="1:3" s="776" customFormat="1">
      <c r="A247" s="675"/>
      <c r="B247" s="793"/>
      <c r="C247" s="793"/>
    </row>
    <row r="248" spans="1:3" s="776" customFormat="1">
      <c r="A248" s="675"/>
      <c r="B248" s="793"/>
      <c r="C248" s="793"/>
    </row>
    <row r="249" spans="1:3" s="776" customFormat="1">
      <c r="A249" s="675"/>
      <c r="B249" s="793"/>
      <c r="C249" s="793"/>
    </row>
    <row r="250" spans="1:3" s="776" customFormat="1">
      <c r="A250" s="675"/>
      <c r="B250" s="793"/>
      <c r="C250" s="793"/>
    </row>
    <row r="251" spans="1:3" s="776" customFormat="1">
      <c r="A251" s="675"/>
      <c r="B251" s="793"/>
      <c r="C251" s="793"/>
    </row>
    <row r="252" spans="1:3" s="776" customFormat="1">
      <c r="A252" s="675"/>
      <c r="B252" s="793"/>
      <c r="C252" s="793"/>
    </row>
    <row r="253" spans="1:3" s="776" customFormat="1">
      <c r="A253" s="675"/>
      <c r="B253" s="793"/>
      <c r="C253" s="793"/>
    </row>
    <row r="254" spans="1:3" s="776" customFormat="1">
      <c r="A254" s="675"/>
      <c r="B254" s="793"/>
      <c r="C254" s="793"/>
    </row>
    <row r="255" spans="1:3" s="776" customFormat="1">
      <c r="A255" s="675"/>
      <c r="B255" s="793"/>
      <c r="C255" s="793"/>
    </row>
    <row r="256" spans="1:3" s="776" customFormat="1">
      <c r="A256" s="675"/>
      <c r="B256" s="793"/>
      <c r="C256" s="793"/>
    </row>
    <row r="257" spans="1:11" s="776" customFormat="1">
      <c r="A257" s="675"/>
      <c r="B257" s="793"/>
      <c r="C257" s="793"/>
    </row>
    <row r="258" spans="1:11" s="776" customFormat="1">
      <c r="A258" s="675"/>
      <c r="B258" s="793"/>
      <c r="C258" s="793"/>
    </row>
    <row r="259" spans="1:11" s="776" customFormat="1">
      <c r="A259" s="675"/>
      <c r="B259" s="793"/>
      <c r="C259" s="793"/>
    </row>
    <row r="260" spans="1:11" s="776" customFormat="1">
      <c r="A260" s="675"/>
      <c r="B260" s="793"/>
      <c r="C260" s="793"/>
    </row>
    <row r="261" spans="1:11" s="776" customFormat="1">
      <c r="A261" s="675"/>
      <c r="B261" s="793"/>
      <c r="C261" s="793"/>
    </row>
    <row r="262" spans="1:11" s="776" customFormat="1">
      <c r="A262" s="675"/>
      <c r="B262" s="793"/>
      <c r="C262" s="793"/>
    </row>
    <row r="263" spans="1:11" s="675" customFormat="1">
      <c r="B263" s="794"/>
      <c r="C263" s="794"/>
      <c r="E263" s="776"/>
      <c r="F263" s="776"/>
      <c r="G263" s="776"/>
      <c r="H263" s="776"/>
      <c r="I263" s="776"/>
      <c r="J263" s="776"/>
      <c r="K263" s="776"/>
    </row>
    <row r="264" spans="1:11" s="675" customFormat="1">
      <c r="B264" s="794"/>
      <c r="C264" s="794"/>
    </row>
    <row r="265" spans="1:11" s="675" customFormat="1">
      <c r="B265" s="794"/>
      <c r="C265" s="794"/>
    </row>
    <row r="266" spans="1:11" s="675" customFormat="1">
      <c r="B266" s="794"/>
      <c r="C266" s="794"/>
    </row>
    <row r="267" spans="1:11" s="675" customFormat="1">
      <c r="B267" s="794"/>
      <c r="C267" s="794"/>
    </row>
    <row r="268" spans="1:11" s="675" customFormat="1">
      <c r="B268" s="794"/>
      <c r="C268" s="794"/>
    </row>
    <row r="269" spans="1:11" s="675" customFormat="1">
      <c r="B269" s="794"/>
      <c r="C269" s="794"/>
    </row>
    <row r="270" spans="1:11" s="675" customFormat="1">
      <c r="B270" s="794"/>
      <c r="C270" s="794"/>
    </row>
    <row r="271" spans="1:11" s="675" customFormat="1">
      <c r="B271" s="794"/>
      <c r="C271" s="794"/>
    </row>
    <row r="272" spans="1:11" s="675" customFormat="1">
      <c r="B272" s="794"/>
      <c r="C272" s="794"/>
    </row>
    <row r="273" spans="2:3" s="675" customFormat="1">
      <c r="B273" s="794"/>
      <c r="C273" s="794"/>
    </row>
    <row r="274" spans="2:3" s="675" customFormat="1">
      <c r="B274" s="794"/>
      <c r="C274" s="794"/>
    </row>
    <row r="275" spans="2:3" s="675" customFormat="1">
      <c r="B275" s="794"/>
      <c r="C275" s="794"/>
    </row>
    <row r="276" spans="2:3" s="675" customFormat="1">
      <c r="B276" s="794"/>
      <c r="C276" s="794"/>
    </row>
    <row r="277" spans="2:3" s="675" customFormat="1">
      <c r="B277" s="794"/>
      <c r="C277" s="794"/>
    </row>
    <row r="278" spans="2:3" s="675" customFormat="1">
      <c r="B278" s="794"/>
      <c r="C278" s="794"/>
    </row>
    <row r="279" spans="2:3" s="675" customFormat="1">
      <c r="B279" s="794"/>
      <c r="C279" s="794"/>
    </row>
    <row r="280" spans="2:3" s="675" customFormat="1">
      <c r="B280" s="794"/>
      <c r="C280" s="794"/>
    </row>
    <row r="281" spans="2:3" s="675" customFormat="1">
      <c r="B281" s="794"/>
      <c r="C281" s="794"/>
    </row>
    <row r="282" spans="2:3" s="675" customFormat="1">
      <c r="B282" s="794"/>
      <c r="C282" s="794"/>
    </row>
    <row r="283" spans="2:3" s="675" customFormat="1">
      <c r="B283" s="794"/>
      <c r="C283" s="794"/>
    </row>
    <row r="284" spans="2:3" s="675" customFormat="1">
      <c r="B284" s="794"/>
      <c r="C284" s="794"/>
    </row>
    <row r="285" spans="2:3" s="675" customFormat="1">
      <c r="B285" s="794"/>
      <c r="C285" s="794"/>
    </row>
    <row r="286" spans="2:3" s="675" customFormat="1">
      <c r="B286" s="794"/>
      <c r="C286" s="794"/>
    </row>
    <row r="287" spans="2:3" s="675" customFormat="1">
      <c r="B287" s="794"/>
      <c r="C287" s="794"/>
    </row>
    <row r="288" spans="2:3" s="675" customFormat="1">
      <c r="B288" s="794"/>
      <c r="C288" s="794"/>
    </row>
    <row r="289" spans="2:3" s="675" customFormat="1">
      <c r="B289" s="794"/>
      <c r="C289" s="794"/>
    </row>
    <row r="290" spans="2:3" s="675" customFormat="1">
      <c r="B290" s="794"/>
      <c r="C290" s="794"/>
    </row>
    <row r="291" spans="2:3" s="675" customFormat="1">
      <c r="B291" s="794"/>
      <c r="C291" s="794"/>
    </row>
    <row r="292" spans="2:3" s="675" customFormat="1">
      <c r="B292" s="794"/>
      <c r="C292" s="794"/>
    </row>
    <row r="293" spans="2:3" s="675" customFormat="1">
      <c r="B293" s="794"/>
      <c r="C293" s="794"/>
    </row>
    <row r="294" spans="2:3" s="675" customFormat="1">
      <c r="B294" s="794"/>
      <c r="C294" s="794"/>
    </row>
    <row r="295" spans="2:3" s="675" customFormat="1">
      <c r="B295" s="794"/>
      <c r="C295" s="794"/>
    </row>
    <row r="296" spans="2:3" s="675" customFormat="1">
      <c r="B296" s="794"/>
      <c r="C296" s="794"/>
    </row>
    <row r="297" spans="2:3" s="675" customFormat="1">
      <c r="B297" s="794"/>
      <c r="C297" s="794"/>
    </row>
    <row r="298" spans="2:3" s="675" customFormat="1">
      <c r="B298" s="794"/>
      <c r="C298" s="794"/>
    </row>
    <row r="299" spans="2:3" s="675" customFormat="1">
      <c r="B299" s="794"/>
      <c r="C299" s="794"/>
    </row>
    <row r="300" spans="2:3" s="675" customFormat="1">
      <c r="B300" s="794"/>
      <c r="C300" s="794"/>
    </row>
    <row r="301" spans="2:3" s="675" customFormat="1">
      <c r="B301" s="794"/>
      <c r="C301" s="794"/>
    </row>
    <row r="302" spans="2:3" s="675" customFormat="1">
      <c r="B302" s="794"/>
      <c r="C302" s="794"/>
    </row>
    <row r="303" spans="2:3" s="675" customFormat="1">
      <c r="B303" s="794"/>
      <c r="C303" s="794"/>
    </row>
    <row r="304" spans="2:3" s="675" customFormat="1">
      <c r="B304" s="794"/>
      <c r="C304" s="794"/>
    </row>
    <row r="305" spans="2:3" s="675" customFormat="1">
      <c r="B305" s="794"/>
      <c r="C305" s="794"/>
    </row>
    <row r="306" spans="2:3" s="675" customFormat="1">
      <c r="B306" s="794"/>
      <c r="C306" s="794"/>
    </row>
    <row r="307" spans="2:3" s="675" customFormat="1">
      <c r="B307" s="794"/>
      <c r="C307" s="794"/>
    </row>
    <row r="308" spans="2:3" s="675" customFormat="1">
      <c r="B308" s="794"/>
      <c r="C308" s="794"/>
    </row>
    <row r="309" spans="2:3" s="675" customFormat="1">
      <c r="B309" s="794"/>
      <c r="C309" s="794"/>
    </row>
    <row r="310" spans="2:3" s="675" customFormat="1">
      <c r="B310" s="794"/>
      <c r="C310" s="794"/>
    </row>
    <row r="311" spans="2:3" s="675" customFormat="1">
      <c r="B311" s="794"/>
      <c r="C311" s="794"/>
    </row>
    <row r="312" spans="2:3" s="675" customFormat="1">
      <c r="B312" s="794"/>
      <c r="C312" s="794"/>
    </row>
    <row r="313" spans="2:3" s="675" customFormat="1">
      <c r="B313" s="794"/>
      <c r="C313" s="794"/>
    </row>
    <row r="314" spans="2:3" s="675" customFormat="1">
      <c r="B314" s="794"/>
      <c r="C314" s="794"/>
    </row>
    <row r="315" spans="2:3" s="675" customFormat="1">
      <c r="B315" s="794"/>
      <c r="C315" s="794"/>
    </row>
    <row r="316" spans="2:3" s="675" customFormat="1">
      <c r="B316" s="794"/>
      <c r="C316" s="794"/>
    </row>
    <row r="317" spans="2:3" s="675" customFormat="1">
      <c r="B317" s="794"/>
      <c r="C317" s="794"/>
    </row>
    <row r="318" spans="2:3" s="675" customFormat="1">
      <c r="B318" s="794"/>
      <c r="C318" s="794"/>
    </row>
    <row r="319" spans="2:3" s="675" customFormat="1">
      <c r="B319" s="794"/>
      <c r="C319" s="794"/>
    </row>
    <row r="320" spans="2:3" s="675" customFormat="1">
      <c r="B320" s="794"/>
      <c r="C320" s="794"/>
    </row>
    <row r="321" spans="2:3" s="675" customFormat="1">
      <c r="B321" s="794"/>
      <c r="C321" s="794"/>
    </row>
    <row r="322" spans="2:3" s="675" customFormat="1">
      <c r="B322" s="794"/>
      <c r="C322" s="794"/>
    </row>
    <row r="323" spans="2:3" s="675" customFormat="1">
      <c r="B323" s="794"/>
      <c r="C323" s="794"/>
    </row>
    <row r="324" spans="2:3" s="675" customFormat="1">
      <c r="B324" s="794"/>
      <c r="C324" s="794"/>
    </row>
    <row r="325" spans="2:3" s="675" customFormat="1">
      <c r="B325" s="794"/>
      <c r="C325" s="794"/>
    </row>
    <row r="326" spans="2:3" s="675" customFormat="1">
      <c r="B326" s="794"/>
      <c r="C326" s="794"/>
    </row>
    <row r="327" spans="2:3" s="675" customFormat="1">
      <c r="B327" s="794"/>
      <c r="C327" s="794"/>
    </row>
    <row r="328" spans="2:3" s="675" customFormat="1">
      <c r="B328" s="794"/>
      <c r="C328" s="794"/>
    </row>
    <row r="329" spans="2:3" s="675" customFormat="1">
      <c r="B329" s="794"/>
      <c r="C329" s="794"/>
    </row>
    <row r="330" spans="2:3" s="675" customFormat="1">
      <c r="B330" s="794"/>
      <c r="C330" s="794"/>
    </row>
    <row r="331" spans="2:3" s="675" customFormat="1">
      <c r="B331" s="794"/>
      <c r="C331" s="794"/>
    </row>
    <row r="332" spans="2:3" s="675" customFormat="1">
      <c r="B332" s="794"/>
      <c r="C332" s="794"/>
    </row>
    <row r="333" spans="2:3" s="675" customFormat="1">
      <c r="B333" s="794"/>
      <c r="C333" s="794"/>
    </row>
    <row r="334" spans="2:3" s="675" customFormat="1">
      <c r="B334" s="794"/>
      <c r="C334" s="794"/>
    </row>
    <row r="335" spans="2:3" s="675" customFormat="1">
      <c r="B335" s="794"/>
      <c r="C335" s="794"/>
    </row>
    <row r="336" spans="2:3" s="675" customFormat="1">
      <c r="B336" s="794"/>
      <c r="C336" s="794"/>
    </row>
    <row r="337" spans="2:3" s="675" customFormat="1">
      <c r="B337" s="794"/>
      <c r="C337" s="794"/>
    </row>
    <row r="338" spans="2:3" s="675" customFormat="1">
      <c r="B338" s="794"/>
      <c r="C338" s="794"/>
    </row>
    <row r="339" spans="2:3" s="675" customFormat="1">
      <c r="B339" s="794"/>
      <c r="C339" s="794"/>
    </row>
    <row r="340" spans="2:3" s="675" customFormat="1">
      <c r="B340" s="794"/>
      <c r="C340" s="794"/>
    </row>
    <row r="341" spans="2:3" s="675" customFormat="1">
      <c r="B341" s="794"/>
      <c r="C341" s="794"/>
    </row>
    <row r="342" spans="2:3" s="675" customFormat="1">
      <c r="B342" s="794"/>
      <c r="C342" s="794"/>
    </row>
    <row r="343" spans="2:3" s="675" customFormat="1">
      <c r="B343" s="794"/>
      <c r="C343" s="794"/>
    </row>
    <row r="344" spans="2:3" s="675" customFormat="1">
      <c r="B344" s="794"/>
      <c r="C344" s="794"/>
    </row>
    <row r="345" spans="2:3" s="675" customFormat="1">
      <c r="B345" s="794"/>
      <c r="C345" s="794"/>
    </row>
    <row r="346" spans="2:3" s="675" customFormat="1">
      <c r="B346" s="794"/>
      <c r="C346" s="794"/>
    </row>
    <row r="347" spans="2:3" s="675" customFormat="1">
      <c r="B347" s="794"/>
      <c r="C347" s="794"/>
    </row>
    <row r="348" spans="2:3" s="675" customFormat="1">
      <c r="B348" s="794"/>
      <c r="C348" s="794"/>
    </row>
    <row r="349" spans="2:3" s="675" customFormat="1">
      <c r="B349" s="794"/>
      <c r="C349" s="794"/>
    </row>
    <row r="350" spans="2:3" s="675" customFormat="1">
      <c r="B350" s="794"/>
      <c r="C350" s="794"/>
    </row>
    <row r="351" spans="2:3" s="675" customFormat="1">
      <c r="B351" s="794"/>
      <c r="C351" s="794"/>
    </row>
    <row r="352" spans="2:3" s="675" customFormat="1">
      <c r="B352" s="794"/>
      <c r="C352" s="794"/>
    </row>
    <row r="353" spans="2:3" s="675" customFormat="1">
      <c r="B353" s="794"/>
      <c r="C353" s="794"/>
    </row>
    <row r="354" spans="2:3" s="675" customFormat="1">
      <c r="B354" s="794"/>
      <c r="C354" s="794"/>
    </row>
    <row r="355" spans="2:3" s="675" customFormat="1">
      <c r="B355" s="794"/>
      <c r="C355" s="794"/>
    </row>
    <row r="356" spans="2:3" s="675" customFormat="1">
      <c r="B356" s="794"/>
      <c r="C356" s="794"/>
    </row>
    <row r="357" spans="2:3" s="675" customFormat="1">
      <c r="B357" s="794"/>
      <c r="C357" s="794"/>
    </row>
    <row r="358" spans="2:3" s="675" customFormat="1">
      <c r="B358" s="794"/>
      <c r="C358" s="794"/>
    </row>
    <row r="359" spans="2:3" s="675" customFormat="1">
      <c r="B359" s="794"/>
      <c r="C359" s="794"/>
    </row>
    <row r="360" spans="2:3" s="675" customFormat="1">
      <c r="B360" s="794"/>
      <c r="C360" s="794"/>
    </row>
    <row r="361" spans="2:3" s="675" customFormat="1">
      <c r="B361" s="794"/>
      <c r="C361" s="794"/>
    </row>
    <row r="362" spans="2:3" s="675" customFormat="1">
      <c r="B362" s="794"/>
      <c r="C362" s="794"/>
    </row>
    <row r="363" spans="2:3" s="675" customFormat="1">
      <c r="B363" s="794"/>
      <c r="C363" s="794"/>
    </row>
    <row r="364" spans="2:3" s="675" customFormat="1">
      <c r="B364" s="794"/>
      <c r="C364" s="794"/>
    </row>
    <row r="365" spans="2:3" s="675" customFormat="1">
      <c r="B365" s="794"/>
      <c r="C365" s="794"/>
    </row>
    <row r="366" spans="2:3" s="675" customFormat="1">
      <c r="B366" s="794"/>
      <c r="C366" s="794"/>
    </row>
    <row r="367" spans="2:3" s="675" customFormat="1">
      <c r="B367" s="794"/>
      <c r="C367" s="794"/>
    </row>
    <row r="368" spans="2:3" s="675" customFormat="1">
      <c r="B368" s="794"/>
      <c r="C368" s="794"/>
    </row>
    <row r="369" spans="2:3" s="675" customFormat="1">
      <c r="B369" s="794"/>
      <c r="C369" s="794"/>
    </row>
    <row r="370" spans="2:3" s="675" customFormat="1">
      <c r="B370" s="794"/>
      <c r="C370" s="794"/>
    </row>
    <row r="371" spans="2:3" s="675" customFormat="1">
      <c r="B371" s="794"/>
      <c r="C371" s="794"/>
    </row>
    <row r="372" spans="2:3" s="675" customFormat="1">
      <c r="B372" s="794"/>
      <c r="C372" s="794"/>
    </row>
    <row r="373" spans="2:3" s="675" customFormat="1">
      <c r="B373" s="794"/>
      <c r="C373" s="794"/>
    </row>
    <row r="374" spans="2:3" s="675" customFormat="1">
      <c r="B374" s="794"/>
      <c r="C374" s="794"/>
    </row>
    <row r="375" spans="2:3" s="675" customFormat="1">
      <c r="B375" s="794"/>
      <c r="C375" s="794"/>
    </row>
    <row r="376" spans="2:3" s="675" customFormat="1">
      <c r="B376" s="794"/>
      <c r="C376" s="794"/>
    </row>
    <row r="377" spans="2:3" s="675" customFormat="1">
      <c r="B377" s="794"/>
      <c r="C377" s="794"/>
    </row>
    <row r="378" spans="2:3" s="675" customFormat="1">
      <c r="B378" s="794"/>
      <c r="C378" s="794"/>
    </row>
    <row r="379" spans="2:3" s="675" customFormat="1">
      <c r="B379" s="794"/>
      <c r="C379" s="794"/>
    </row>
    <row r="380" spans="2:3" s="675" customFormat="1">
      <c r="B380" s="794"/>
      <c r="C380" s="794"/>
    </row>
    <row r="381" spans="2:3" s="675" customFormat="1">
      <c r="B381" s="794"/>
      <c r="C381" s="794"/>
    </row>
    <row r="382" spans="2:3" s="675" customFormat="1">
      <c r="B382" s="794"/>
      <c r="C382" s="794"/>
    </row>
    <row r="383" spans="2:3" s="675" customFormat="1">
      <c r="B383" s="794"/>
      <c r="C383" s="794"/>
    </row>
    <row r="384" spans="2:3" s="675" customFormat="1">
      <c r="B384" s="794"/>
      <c r="C384" s="794"/>
    </row>
    <row r="385" spans="2:3" s="675" customFormat="1">
      <c r="B385" s="794"/>
      <c r="C385" s="794"/>
    </row>
    <row r="386" spans="2:3" s="675" customFormat="1">
      <c r="B386" s="794"/>
      <c r="C386" s="794"/>
    </row>
    <row r="387" spans="2:3" s="675" customFormat="1">
      <c r="B387" s="794"/>
      <c r="C387" s="794"/>
    </row>
    <row r="388" spans="2:3" s="675" customFormat="1">
      <c r="B388" s="794"/>
      <c r="C388" s="794"/>
    </row>
    <row r="389" spans="2:3" s="675" customFormat="1">
      <c r="B389" s="794"/>
      <c r="C389" s="794"/>
    </row>
    <row r="390" spans="2:3" s="675" customFormat="1">
      <c r="B390" s="794"/>
      <c r="C390" s="794"/>
    </row>
    <row r="391" spans="2:3" s="675" customFormat="1">
      <c r="B391" s="794"/>
      <c r="C391" s="794"/>
    </row>
    <row r="392" spans="2:3" s="675" customFormat="1">
      <c r="B392" s="794"/>
      <c r="C392" s="794"/>
    </row>
    <row r="393" spans="2:3" s="675" customFormat="1">
      <c r="B393" s="794"/>
      <c r="C393" s="794"/>
    </row>
    <row r="394" spans="2:3" s="675" customFormat="1">
      <c r="B394" s="794"/>
      <c r="C394" s="794"/>
    </row>
    <row r="395" spans="2:3" s="675" customFormat="1">
      <c r="B395" s="794"/>
      <c r="C395" s="794"/>
    </row>
    <row r="396" spans="2:3" s="675" customFormat="1">
      <c r="B396" s="794"/>
      <c r="C396" s="794"/>
    </row>
    <row r="397" spans="2:3" s="675" customFormat="1">
      <c r="B397" s="794"/>
      <c r="C397" s="794"/>
    </row>
    <row r="398" spans="2:3" s="675" customFormat="1">
      <c r="B398" s="794"/>
      <c r="C398" s="794"/>
    </row>
    <row r="399" spans="2:3" s="675" customFormat="1">
      <c r="B399" s="794"/>
      <c r="C399" s="794"/>
    </row>
    <row r="400" spans="2:3" s="675" customFormat="1">
      <c r="B400" s="794"/>
      <c r="C400" s="794"/>
    </row>
    <row r="401" spans="2:3" s="675" customFormat="1">
      <c r="B401" s="794"/>
      <c r="C401" s="794"/>
    </row>
    <row r="402" spans="2:3" s="675" customFormat="1">
      <c r="B402" s="794"/>
      <c r="C402" s="794"/>
    </row>
    <row r="403" spans="2:3" s="675" customFormat="1">
      <c r="B403" s="794"/>
      <c r="C403" s="794"/>
    </row>
    <row r="404" spans="2:3" s="675" customFormat="1">
      <c r="B404" s="794"/>
      <c r="C404" s="794"/>
    </row>
    <row r="405" spans="2:3" s="675" customFormat="1">
      <c r="B405" s="794"/>
      <c r="C405" s="794"/>
    </row>
    <row r="406" spans="2:3" s="675" customFormat="1">
      <c r="B406" s="794"/>
      <c r="C406" s="794"/>
    </row>
    <row r="407" spans="2:3" s="675" customFormat="1">
      <c r="B407" s="794"/>
      <c r="C407" s="794"/>
    </row>
    <row r="408" spans="2:3" s="675" customFormat="1">
      <c r="B408" s="794"/>
      <c r="C408" s="794"/>
    </row>
    <row r="409" spans="2:3" s="675" customFormat="1">
      <c r="B409" s="794"/>
      <c r="C409" s="794"/>
    </row>
    <row r="410" spans="2:3" s="675" customFormat="1">
      <c r="B410" s="794"/>
      <c r="C410" s="794"/>
    </row>
    <row r="411" spans="2:3" s="675" customFormat="1">
      <c r="B411" s="794"/>
      <c r="C411" s="794"/>
    </row>
    <row r="412" spans="2:3" s="675" customFormat="1">
      <c r="B412" s="794"/>
      <c r="C412" s="794"/>
    </row>
    <row r="413" spans="2:3" s="675" customFormat="1">
      <c r="B413" s="794"/>
      <c r="C413" s="794"/>
    </row>
    <row r="414" spans="2:3" s="675" customFormat="1">
      <c r="B414" s="794"/>
      <c r="C414" s="794"/>
    </row>
    <row r="415" spans="2:3" s="675" customFormat="1">
      <c r="B415" s="794"/>
      <c r="C415" s="794"/>
    </row>
    <row r="416" spans="2:3" s="675" customFormat="1">
      <c r="B416" s="794"/>
      <c r="C416" s="794"/>
    </row>
    <row r="417" spans="2:3" s="675" customFormat="1">
      <c r="B417" s="794"/>
      <c r="C417" s="794"/>
    </row>
    <row r="418" spans="2:3" s="675" customFormat="1">
      <c r="B418" s="794"/>
      <c r="C418" s="794"/>
    </row>
    <row r="419" spans="2:3" s="675" customFormat="1">
      <c r="B419" s="794"/>
      <c r="C419" s="794"/>
    </row>
    <row r="420" spans="2:3" s="675" customFormat="1">
      <c r="B420" s="794"/>
      <c r="C420" s="794"/>
    </row>
    <row r="421" spans="2:3" s="675" customFormat="1">
      <c r="B421" s="794"/>
      <c r="C421" s="794"/>
    </row>
    <row r="422" spans="2:3" s="675" customFormat="1">
      <c r="B422" s="794"/>
      <c r="C422" s="794"/>
    </row>
    <row r="423" spans="2:3" s="675" customFormat="1">
      <c r="B423" s="794"/>
      <c r="C423" s="794"/>
    </row>
    <row r="424" spans="2:3" s="675" customFormat="1">
      <c r="B424" s="794"/>
      <c r="C424" s="794"/>
    </row>
    <row r="425" spans="2:3" s="675" customFormat="1">
      <c r="B425" s="794"/>
      <c r="C425" s="794"/>
    </row>
    <row r="426" spans="2:3" s="675" customFormat="1">
      <c r="B426" s="794"/>
      <c r="C426" s="794"/>
    </row>
    <row r="427" spans="2:3" s="675" customFormat="1">
      <c r="B427" s="794"/>
      <c r="C427" s="794"/>
    </row>
    <row r="428" spans="2:3" s="675" customFormat="1">
      <c r="B428" s="794"/>
      <c r="C428" s="794"/>
    </row>
    <row r="429" spans="2:3" s="675" customFormat="1">
      <c r="B429" s="794"/>
      <c r="C429" s="794"/>
    </row>
    <row r="430" spans="2:3" s="675" customFormat="1">
      <c r="B430" s="794"/>
      <c r="C430" s="794"/>
    </row>
    <row r="431" spans="2:3" s="675" customFormat="1">
      <c r="B431" s="794"/>
      <c r="C431" s="794"/>
    </row>
    <row r="432" spans="2:3" s="675" customFormat="1">
      <c r="B432" s="794"/>
      <c r="C432" s="794"/>
    </row>
    <row r="433" spans="2:3" s="675" customFormat="1">
      <c r="B433" s="794"/>
      <c r="C433" s="794"/>
    </row>
    <row r="434" spans="2:3" s="675" customFormat="1">
      <c r="B434" s="794"/>
      <c r="C434" s="794"/>
    </row>
    <row r="435" spans="2:3" s="675" customFormat="1">
      <c r="B435" s="794"/>
      <c r="C435" s="794"/>
    </row>
    <row r="436" spans="2:3" s="675" customFormat="1">
      <c r="B436" s="794"/>
      <c r="C436" s="794"/>
    </row>
    <row r="437" spans="2:3" s="675" customFormat="1">
      <c r="B437" s="794"/>
      <c r="C437" s="794"/>
    </row>
    <row r="438" spans="2:3" s="675" customFormat="1">
      <c r="B438" s="794"/>
      <c r="C438" s="794"/>
    </row>
    <row r="439" spans="2:3" s="675" customFormat="1">
      <c r="B439" s="794"/>
      <c r="C439" s="794"/>
    </row>
    <row r="440" spans="2:3" s="675" customFormat="1">
      <c r="B440" s="794"/>
      <c r="C440" s="794"/>
    </row>
    <row r="441" spans="2:3" s="675" customFormat="1">
      <c r="B441" s="794"/>
      <c r="C441" s="794"/>
    </row>
    <row r="442" spans="2:3" s="675" customFormat="1">
      <c r="B442" s="794"/>
      <c r="C442" s="794"/>
    </row>
    <row r="443" spans="2:3" s="675" customFormat="1">
      <c r="B443" s="794"/>
      <c r="C443" s="794"/>
    </row>
    <row r="444" spans="2:3" s="675" customFormat="1">
      <c r="B444" s="794"/>
      <c r="C444" s="794"/>
    </row>
    <row r="445" spans="2:3" s="675" customFormat="1">
      <c r="B445" s="794"/>
      <c r="C445" s="794"/>
    </row>
    <row r="446" spans="2:3" s="675" customFormat="1">
      <c r="B446" s="794"/>
      <c r="C446" s="794"/>
    </row>
    <row r="447" spans="2:3" s="675" customFormat="1">
      <c r="B447" s="794"/>
      <c r="C447" s="794"/>
    </row>
    <row r="448" spans="2:3" s="675" customFormat="1">
      <c r="B448" s="794"/>
      <c r="C448" s="794"/>
    </row>
    <row r="449" spans="2:3" s="675" customFormat="1">
      <c r="B449" s="794"/>
      <c r="C449" s="794"/>
    </row>
    <row r="450" spans="2:3" s="675" customFormat="1">
      <c r="B450" s="794"/>
      <c r="C450" s="794"/>
    </row>
    <row r="451" spans="2:3" s="675" customFormat="1">
      <c r="B451" s="794"/>
      <c r="C451" s="794"/>
    </row>
    <row r="452" spans="2:3" s="675" customFormat="1">
      <c r="B452" s="794"/>
      <c r="C452" s="794"/>
    </row>
    <row r="453" spans="2:3" s="675" customFormat="1">
      <c r="B453" s="794"/>
      <c r="C453" s="794"/>
    </row>
    <row r="454" spans="2:3" s="675" customFormat="1">
      <c r="B454" s="794"/>
      <c r="C454" s="794"/>
    </row>
    <row r="455" spans="2:3" s="675" customFormat="1">
      <c r="B455" s="794"/>
      <c r="C455" s="794"/>
    </row>
    <row r="456" spans="2:3" s="675" customFormat="1">
      <c r="B456" s="794"/>
      <c r="C456" s="794"/>
    </row>
    <row r="457" spans="2:3" s="675" customFormat="1">
      <c r="B457" s="794"/>
      <c r="C457" s="794"/>
    </row>
    <row r="458" spans="2:3" s="675" customFormat="1">
      <c r="B458" s="794"/>
      <c r="C458" s="794"/>
    </row>
    <row r="459" spans="2:3" s="675" customFormat="1">
      <c r="B459" s="794"/>
      <c r="C459" s="794"/>
    </row>
    <row r="460" spans="2:3" s="675" customFormat="1">
      <c r="B460" s="794"/>
      <c r="C460" s="794"/>
    </row>
    <row r="461" spans="2:3" s="675" customFormat="1">
      <c r="B461" s="794"/>
      <c r="C461" s="794"/>
    </row>
    <row r="462" spans="2:3" s="675" customFormat="1">
      <c r="B462" s="794"/>
      <c r="C462" s="794"/>
    </row>
    <row r="463" spans="2:3" s="675" customFormat="1">
      <c r="B463" s="794"/>
      <c r="C463" s="794"/>
    </row>
    <row r="464" spans="2:3" s="675" customFormat="1">
      <c r="B464" s="794"/>
      <c r="C464" s="794"/>
    </row>
    <row r="465" spans="2:3" s="675" customFormat="1">
      <c r="B465" s="794"/>
      <c r="C465" s="794"/>
    </row>
    <row r="466" spans="2:3" s="675" customFormat="1">
      <c r="B466" s="794"/>
      <c r="C466" s="794"/>
    </row>
    <row r="467" spans="2:3" s="675" customFormat="1">
      <c r="B467" s="794"/>
      <c r="C467" s="794"/>
    </row>
    <row r="468" spans="2:3" s="675" customFormat="1">
      <c r="B468" s="794"/>
      <c r="C468" s="794"/>
    </row>
    <row r="469" spans="2:3" s="675" customFormat="1">
      <c r="B469" s="794"/>
      <c r="C469" s="794"/>
    </row>
    <row r="470" spans="2:3" s="675" customFormat="1">
      <c r="B470" s="794"/>
      <c r="C470" s="794"/>
    </row>
    <row r="471" spans="2:3" s="675" customFormat="1">
      <c r="B471" s="794"/>
      <c r="C471" s="794"/>
    </row>
    <row r="472" spans="2:3" s="675" customFormat="1">
      <c r="B472" s="794"/>
      <c r="C472" s="794"/>
    </row>
    <row r="473" spans="2:3" s="675" customFormat="1">
      <c r="B473" s="794"/>
      <c r="C473" s="794"/>
    </row>
    <row r="474" spans="2:3" s="675" customFormat="1">
      <c r="B474" s="794"/>
      <c r="C474" s="794"/>
    </row>
    <row r="475" spans="2:3" s="675" customFormat="1">
      <c r="B475" s="794"/>
      <c r="C475" s="794"/>
    </row>
    <row r="476" spans="2:3" s="675" customFormat="1">
      <c r="B476" s="794"/>
      <c r="C476" s="794"/>
    </row>
    <row r="477" spans="2:3" s="675" customFormat="1">
      <c r="B477" s="794"/>
      <c r="C477" s="794"/>
    </row>
    <row r="478" spans="2:3" s="675" customFormat="1">
      <c r="B478" s="794"/>
      <c r="C478" s="794"/>
    </row>
    <row r="479" spans="2:3" s="675" customFormat="1">
      <c r="B479" s="794"/>
      <c r="C479" s="794"/>
    </row>
    <row r="480" spans="2:3" s="675" customFormat="1">
      <c r="B480" s="794"/>
      <c r="C480" s="794"/>
    </row>
    <row r="481" spans="2:3" s="675" customFormat="1">
      <c r="B481" s="794"/>
      <c r="C481" s="794"/>
    </row>
    <row r="482" spans="2:3" s="675" customFormat="1">
      <c r="B482" s="794"/>
      <c r="C482" s="794"/>
    </row>
    <row r="483" spans="2:3" s="675" customFormat="1">
      <c r="B483" s="794"/>
      <c r="C483" s="794"/>
    </row>
    <row r="484" spans="2:3" s="675" customFormat="1">
      <c r="B484" s="794"/>
      <c r="C484" s="794"/>
    </row>
    <row r="485" spans="2:3" s="675" customFormat="1">
      <c r="B485" s="794"/>
      <c r="C485" s="794"/>
    </row>
    <row r="486" spans="2:3" s="675" customFormat="1">
      <c r="B486" s="794"/>
      <c r="C486" s="794"/>
    </row>
    <row r="487" spans="2:3" s="675" customFormat="1">
      <c r="B487" s="794"/>
      <c r="C487" s="794"/>
    </row>
    <row r="488" spans="2:3" s="675" customFormat="1">
      <c r="B488" s="794"/>
      <c r="C488" s="794"/>
    </row>
    <row r="489" spans="2:3" s="675" customFormat="1">
      <c r="B489" s="794"/>
      <c r="C489" s="794"/>
    </row>
    <row r="490" spans="2:3" s="675" customFormat="1">
      <c r="B490" s="794"/>
      <c r="C490" s="794"/>
    </row>
    <row r="491" spans="2:3" s="675" customFormat="1">
      <c r="B491" s="794"/>
      <c r="C491" s="794"/>
    </row>
    <row r="492" spans="2:3" s="675" customFormat="1">
      <c r="B492" s="794"/>
      <c r="C492" s="794"/>
    </row>
    <row r="493" spans="2:3" s="675" customFormat="1">
      <c r="B493" s="794"/>
      <c r="C493" s="794"/>
    </row>
    <row r="494" spans="2:3" s="675" customFormat="1">
      <c r="B494" s="794"/>
      <c r="C494" s="794"/>
    </row>
    <row r="495" spans="2:3" s="675" customFormat="1">
      <c r="B495" s="794"/>
      <c r="C495" s="794"/>
    </row>
    <row r="496" spans="2:3" s="675" customFormat="1">
      <c r="B496" s="794"/>
      <c r="C496" s="794"/>
    </row>
    <row r="497" spans="2:3" s="675" customFormat="1">
      <c r="B497" s="794"/>
      <c r="C497" s="794"/>
    </row>
    <row r="498" spans="2:3" s="675" customFormat="1">
      <c r="B498" s="794"/>
      <c r="C498" s="794"/>
    </row>
    <row r="499" spans="2:3" s="675" customFormat="1">
      <c r="B499" s="794"/>
      <c r="C499" s="794"/>
    </row>
    <row r="500" spans="2:3" s="675" customFormat="1">
      <c r="B500" s="794"/>
      <c r="C500" s="794"/>
    </row>
    <row r="501" spans="2:3" s="675" customFormat="1">
      <c r="B501" s="794"/>
      <c r="C501" s="794"/>
    </row>
    <row r="502" spans="2:3" s="675" customFormat="1">
      <c r="B502" s="794"/>
      <c r="C502" s="794"/>
    </row>
    <row r="503" spans="2:3" s="675" customFormat="1">
      <c r="B503" s="794"/>
      <c r="C503" s="794"/>
    </row>
    <row r="504" spans="2:3" s="675" customFormat="1">
      <c r="B504" s="794"/>
      <c r="C504" s="794"/>
    </row>
    <row r="505" spans="2:3" s="675" customFormat="1">
      <c r="B505" s="794"/>
      <c r="C505" s="794"/>
    </row>
    <row r="506" spans="2:3" s="675" customFormat="1">
      <c r="B506" s="794"/>
      <c r="C506" s="794"/>
    </row>
    <row r="507" spans="2:3" s="675" customFormat="1">
      <c r="B507" s="794"/>
      <c r="C507" s="794"/>
    </row>
    <row r="508" spans="2:3" s="675" customFormat="1">
      <c r="B508" s="794"/>
      <c r="C508" s="794"/>
    </row>
    <row r="509" spans="2:3" s="675" customFormat="1">
      <c r="B509" s="794"/>
      <c r="C509" s="794"/>
    </row>
    <row r="510" spans="2:3" s="675" customFormat="1">
      <c r="B510" s="794"/>
      <c r="C510" s="794"/>
    </row>
    <row r="511" spans="2:3" s="675" customFormat="1">
      <c r="B511" s="794"/>
      <c r="C511" s="794"/>
    </row>
    <row r="512" spans="2:3" s="675" customFormat="1">
      <c r="B512" s="794"/>
      <c r="C512" s="794"/>
    </row>
    <row r="513" spans="2:3" s="675" customFormat="1">
      <c r="B513" s="794"/>
      <c r="C513" s="794"/>
    </row>
    <row r="514" spans="2:3" s="675" customFormat="1">
      <c r="B514" s="794"/>
      <c r="C514" s="794"/>
    </row>
    <row r="515" spans="2:3" s="675" customFormat="1">
      <c r="B515" s="794"/>
      <c r="C515" s="794"/>
    </row>
    <row r="516" spans="2:3" s="675" customFormat="1">
      <c r="B516" s="794"/>
      <c r="C516" s="794"/>
    </row>
    <row r="517" spans="2:3" s="675" customFormat="1">
      <c r="B517" s="794"/>
      <c r="C517" s="794"/>
    </row>
    <row r="518" spans="2:3" s="675" customFormat="1">
      <c r="B518" s="794"/>
      <c r="C518" s="794"/>
    </row>
    <row r="519" spans="2:3" s="675" customFormat="1">
      <c r="B519" s="794"/>
      <c r="C519" s="794"/>
    </row>
    <row r="520" spans="2:3" s="675" customFormat="1">
      <c r="B520" s="794"/>
      <c r="C520" s="794"/>
    </row>
    <row r="521" spans="2:3" s="675" customFormat="1">
      <c r="B521" s="794"/>
      <c r="C521" s="794"/>
    </row>
    <row r="522" spans="2:3" s="675" customFormat="1">
      <c r="B522" s="794"/>
      <c r="C522" s="794"/>
    </row>
    <row r="523" spans="2:3" s="675" customFormat="1">
      <c r="B523" s="794"/>
      <c r="C523" s="794"/>
    </row>
    <row r="524" spans="2:3" s="675" customFormat="1">
      <c r="B524" s="794"/>
      <c r="C524" s="794"/>
    </row>
    <row r="525" spans="2:3" s="675" customFormat="1">
      <c r="B525" s="794"/>
      <c r="C525" s="794"/>
    </row>
    <row r="526" spans="2:3" s="675" customFormat="1">
      <c r="B526" s="794"/>
      <c r="C526" s="794"/>
    </row>
    <row r="527" spans="2:3" s="675" customFormat="1">
      <c r="B527" s="794"/>
      <c r="C527" s="794"/>
    </row>
    <row r="528" spans="2:3" s="675" customFormat="1">
      <c r="B528" s="794"/>
      <c r="C528" s="794"/>
    </row>
    <row r="529" spans="2:3" s="675" customFormat="1">
      <c r="B529" s="794"/>
      <c r="C529" s="794"/>
    </row>
    <row r="530" spans="2:3" s="675" customFormat="1">
      <c r="B530" s="794"/>
      <c r="C530" s="794"/>
    </row>
    <row r="531" spans="2:3" s="675" customFormat="1">
      <c r="B531" s="794"/>
      <c r="C531" s="794"/>
    </row>
    <row r="532" spans="2:3" s="675" customFormat="1">
      <c r="B532" s="794"/>
      <c r="C532" s="794"/>
    </row>
    <row r="533" spans="2:3" s="675" customFormat="1">
      <c r="B533" s="794"/>
      <c r="C533" s="794"/>
    </row>
    <row r="534" spans="2:3" s="675" customFormat="1">
      <c r="B534" s="794"/>
      <c r="C534" s="794"/>
    </row>
    <row r="535" spans="2:3" s="675" customFormat="1">
      <c r="B535" s="794"/>
      <c r="C535" s="794"/>
    </row>
    <row r="536" spans="2:3" s="675" customFormat="1">
      <c r="B536" s="794"/>
      <c r="C536" s="794"/>
    </row>
    <row r="537" spans="2:3" s="675" customFormat="1">
      <c r="B537" s="794"/>
      <c r="C537" s="794"/>
    </row>
    <row r="538" spans="2:3" s="675" customFormat="1">
      <c r="B538" s="794"/>
      <c r="C538" s="794"/>
    </row>
    <row r="539" spans="2:3" s="675" customFormat="1">
      <c r="B539" s="794"/>
      <c r="C539" s="794"/>
    </row>
    <row r="540" spans="2:3" s="675" customFormat="1">
      <c r="B540" s="794"/>
      <c r="C540" s="794"/>
    </row>
    <row r="541" spans="2:3" s="675" customFormat="1">
      <c r="B541" s="794"/>
      <c r="C541" s="794"/>
    </row>
    <row r="542" spans="2:3" s="675" customFormat="1">
      <c r="B542" s="794"/>
      <c r="C542" s="794"/>
    </row>
    <row r="543" spans="2:3" s="675" customFormat="1">
      <c r="B543" s="794"/>
      <c r="C543" s="794"/>
    </row>
    <row r="544" spans="2:3" s="675" customFormat="1">
      <c r="B544" s="794"/>
      <c r="C544" s="794"/>
    </row>
    <row r="545" spans="2:3" s="675" customFormat="1">
      <c r="B545" s="794"/>
      <c r="C545" s="794"/>
    </row>
    <row r="546" spans="2:3" s="675" customFormat="1">
      <c r="B546" s="794"/>
      <c r="C546" s="794"/>
    </row>
    <row r="547" spans="2:3" s="675" customFormat="1">
      <c r="B547" s="794"/>
      <c r="C547" s="794"/>
    </row>
    <row r="548" spans="2:3" s="675" customFormat="1">
      <c r="B548" s="794"/>
      <c r="C548" s="794"/>
    </row>
    <row r="549" spans="2:3" s="675" customFormat="1">
      <c r="B549" s="794"/>
      <c r="C549" s="794"/>
    </row>
    <row r="550" spans="2:3" s="675" customFormat="1">
      <c r="B550" s="794"/>
      <c r="C550" s="794"/>
    </row>
    <row r="551" spans="2:3" s="675" customFormat="1">
      <c r="B551" s="794"/>
      <c r="C551" s="794"/>
    </row>
    <row r="552" spans="2:3" s="675" customFormat="1">
      <c r="B552" s="794"/>
      <c r="C552" s="794"/>
    </row>
    <row r="553" spans="2:3" s="675" customFormat="1">
      <c r="B553" s="794"/>
      <c r="C553" s="794"/>
    </row>
    <row r="554" spans="2:3" s="675" customFormat="1">
      <c r="B554" s="794"/>
      <c r="C554" s="794"/>
    </row>
    <row r="555" spans="2:3" s="675" customFormat="1">
      <c r="B555" s="794"/>
      <c r="C555" s="794"/>
    </row>
    <row r="556" spans="2:3" s="675" customFormat="1">
      <c r="B556" s="794"/>
      <c r="C556" s="794"/>
    </row>
    <row r="557" spans="2:3" s="675" customFormat="1">
      <c r="B557" s="794"/>
      <c r="C557" s="794"/>
    </row>
    <row r="558" spans="2:3" s="675" customFormat="1">
      <c r="B558" s="794"/>
      <c r="C558" s="794"/>
    </row>
    <row r="559" spans="2:3" s="675" customFormat="1">
      <c r="B559" s="794"/>
      <c r="C559" s="794"/>
    </row>
    <row r="560" spans="2:3" s="675" customFormat="1">
      <c r="B560" s="794"/>
      <c r="C560" s="794"/>
    </row>
    <row r="561" spans="2:3" s="675" customFormat="1">
      <c r="B561" s="794"/>
      <c r="C561" s="794"/>
    </row>
    <row r="562" spans="2:3" s="675" customFormat="1">
      <c r="B562" s="794"/>
      <c r="C562" s="794"/>
    </row>
    <row r="563" spans="2:3" s="675" customFormat="1">
      <c r="B563" s="794"/>
      <c r="C563" s="794"/>
    </row>
    <row r="564" spans="2:3" s="675" customFormat="1">
      <c r="B564" s="794"/>
      <c r="C564" s="794"/>
    </row>
    <row r="565" spans="2:3" s="675" customFormat="1">
      <c r="B565" s="794"/>
      <c r="C565" s="794"/>
    </row>
    <row r="566" spans="2:3" s="675" customFormat="1">
      <c r="B566" s="794"/>
      <c r="C566" s="794"/>
    </row>
    <row r="567" spans="2:3" s="675" customFormat="1">
      <c r="B567" s="794"/>
      <c r="C567" s="794"/>
    </row>
    <row r="568" spans="2:3" s="675" customFormat="1">
      <c r="B568" s="794"/>
      <c r="C568" s="794"/>
    </row>
    <row r="569" spans="2:3" s="675" customFormat="1">
      <c r="B569" s="794"/>
      <c r="C569" s="794"/>
    </row>
    <row r="570" spans="2:3" s="675" customFormat="1">
      <c r="B570" s="794"/>
      <c r="C570" s="794"/>
    </row>
    <row r="571" spans="2:3" s="675" customFormat="1">
      <c r="B571" s="794"/>
      <c r="C571" s="794"/>
    </row>
    <row r="572" spans="2:3" s="675" customFormat="1">
      <c r="B572" s="794"/>
      <c r="C572" s="794"/>
    </row>
    <row r="573" spans="2:3" s="675" customFormat="1">
      <c r="B573" s="794"/>
      <c r="C573" s="794"/>
    </row>
    <row r="574" spans="2:3" s="675" customFormat="1">
      <c r="B574" s="794"/>
      <c r="C574" s="794"/>
    </row>
    <row r="575" spans="2:3" s="675" customFormat="1">
      <c r="B575" s="794"/>
      <c r="C575" s="794"/>
    </row>
    <row r="576" spans="2:3" s="675" customFormat="1">
      <c r="B576" s="794"/>
      <c r="C576" s="794"/>
    </row>
    <row r="577" spans="2:3" s="675" customFormat="1">
      <c r="B577" s="794"/>
      <c r="C577" s="794"/>
    </row>
    <row r="578" spans="2:3" s="675" customFormat="1">
      <c r="B578" s="794"/>
      <c r="C578" s="794"/>
    </row>
    <row r="579" spans="2:3" s="675" customFormat="1">
      <c r="B579" s="794"/>
      <c r="C579" s="794"/>
    </row>
    <row r="580" spans="2:3" s="675" customFormat="1">
      <c r="B580" s="794"/>
      <c r="C580" s="794"/>
    </row>
    <row r="581" spans="2:3" s="675" customFormat="1">
      <c r="B581" s="794"/>
      <c r="C581" s="794"/>
    </row>
    <row r="582" spans="2:3" s="675" customFormat="1">
      <c r="B582" s="794"/>
      <c r="C582" s="794"/>
    </row>
    <row r="583" spans="2:3" s="675" customFormat="1">
      <c r="B583" s="794"/>
      <c r="C583" s="794"/>
    </row>
    <row r="584" spans="2:3" s="675" customFormat="1">
      <c r="B584" s="794"/>
      <c r="C584" s="794"/>
    </row>
    <row r="585" spans="2:3" s="675" customFormat="1">
      <c r="B585" s="794"/>
      <c r="C585" s="794"/>
    </row>
    <row r="586" spans="2:3" s="675" customFormat="1">
      <c r="B586" s="794"/>
      <c r="C586" s="794"/>
    </row>
    <row r="587" spans="2:3" s="675" customFormat="1">
      <c r="B587" s="794"/>
      <c r="C587" s="794"/>
    </row>
    <row r="588" spans="2:3" s="675" customFormat="1">
      <c r="B588" s="794"/>
      <c r="C588" s="794"/>
    </row>
    <row r="589" spans="2:3" s="675" customFormat="1">
      <c r="B589" s="794"/>
      <c r="C589" s="794"/>
    </row>
    <row r="590" spans="2:3" s="675" customFormat="1">
      <c r="B590" s="794"/>
      <c r="C590" s="794"/>
    </row>
    <row r="591" spans="2:3" s="675" customFormat="1">
      <c r="B591" s="794"/>
      <c r="C591" s="794"/>
    </row>
    <row r="592" spans="2:3" s="675" customFormat="1">
      <c r="B592" s="794"/>
      <c r="C592" s="794"/>
    </row>
    <row r="593" spans="2:3" s="675" customFormat="1">
      <c r="B593" s="794"/>
      <c r="C593" s="794"/>
    </row>
    <row r="594" spans="2:3" s="675" customFormat="1">
      <c r="B594" s="794"/>
      <c r="C594" s="794"/>
    </row>
    <row r="595" spans="2:3" s="675" customFormat="1">
      <c r="B595" s="794"/>
      <c r="C595" s="794"/>
    </row>
    <row r="596" spans="2:3" s="675" customFormat="1">
      <c r="B596" s="794"/>
      <c r="C596" s="794"/>
    </row>
    <row r="597" spans="2:3" s="675" customFormat="1">
      <c r="B597" s="794"/>
      <c r="C597" s="794"/>
    </row>
    <row r="598" spans="2:3" s="675" customFormat="1">
      <c r="B598" s="794"/>
      <c r="C598" s="794"/>
    </row>
    <row r="599" spans="2:3" s="675" customFormat="1">
      <c r="B599" s="794"/>
      <c r="C599" s="794"/>
    </row>
    <row r="600" spans="2:3" s="675" customFormat="1">
      <c r="B600" s="794"/>
      <c r="C600" s="794"/>
    </row>
    <row r="601" spans="2:3" s="675" customFormat="1">
      <c r="B601" s="794"/>
      <c r="C601" s="794"/>
    </row>
    <row r="602" spans="2:3" s="675" customFormat="1">
      <c r="B602" s="794"/>
      <c r="C602" s="794"/>
    </row>
    <row r="603" spans="2:3" s="675" customFormat="1">
      <c r="B603" s="794"/>
      <c r="C603" s="794"/>
    </row>
    <row r="604" spans="2:3" s="675" customFormat="1">
      <c r="B604" s="794"/>
      <c r="C604" s="794"/>
    </row>
    <row r="605" spans="2:3" s="675" customFormat="1">
      <c r="B605" s="794"/>
      <c r="C605" s="794"/>
    </row>
    <row r="606" spans="2:3" s="675" customFormat="1">
      <c r="B606" s="794"/>
      <c r="C606" s="794"/>
    </row>
    <row r="607" spans="2:3" s="675" customFormat="1">
      <c r="B607" s="794"/>
      <c r="C607" s="794"/>
    </row>
    <row r="608" spans="2:3" s="675" customFormat="1">
      <c r="B608" s="794"/>
      <c r="C608" s="794"/>
    </row>
    <row r="609" spans="2:3" s="675" customFormat="1">
      <c r="B609" s="794"/>
      <c r="C609" s="794"/>
    </row>
    <row r="610" spans="2:3" s="675" customFormat="1">
      <c r="B610" s="794"/>
      <c r="C610" s="794"/>
    </row>
    <row r="611" spans="2:3" s="675" customFormat="1">
      <c r="B611" s="794"/>
      <c r="C611" s="794"/>
    </row>
    <row r="612" spans="2:3" s="675" customFormat="1">
      <c r="B612" s="794"/>
      <c r="C612" s="794"/>
    </row>
    <row r="613" spans="2:3" s="675" customFormat="1">
      <c r="B613" s="794"/>
      <c r="C613" s="794"/>
    </row>
    <row r="614" spans="2:3" s="675" customFormat="1">
      <c r="B614" s="794"/>
      <c r="C614" s="794"/>
    </row>
    <row r="615" spans="2:3" s="675" customFormat="1">
      <c r="B615" s="794"/>
      <c r="C615" s="794"/>
    </row>
    <row r="616" spans="2:3" s="675" customFormat="1">
      <c r="B616" s="794"/>
      <c r="C616" s="794"/>
    </row>
    <row r="617" spans="2:3" s="675" customFormat="1">
      <c r="B617" s="794"/>
      <c r="C617" s="794"/>
    </row>
    <row r="618" spans="2:3" s="675" customFormat="1">
      <c r="B618" s="794"/>
      <c r="C618" s="794"/>
    </row>
    <row r="619" spans="2:3" s="675" customFormat="1">
      <c r="B619" s="794"/>
      <c r="C619" s="794"/>
    </row>
    <row r="620" spans="2:3" s="675" customFormat="1">
      <c r="B620" s="794"/>
      <c r="C620" s="794"/>
    </row>
    <row r="621" spans="2:3" s="675" customFormat="1">
      <c r="B621" s="794"/>
      <c r="C621" s="794"/>
    </row>
    <row r="622" spans="2:3" s="675" customFormat="1">
      <c r="B622" s="794"/>
      <c r="C622" s="794"/>
    </row>
    <row r="623" spans="2:3" s="675" customFormat="1">
      <c r="B623" s="794"/>
      <c r="C623" s="794"/>
    </row>
    <row r="624" spans="2:3" s="675" customFormat="1">
      <c r="B624" s="794"/>
      <c r="C624" s="794"/>
    </row>
    <row r="625" spans="2:3" s="675" customFormat="1">
      <c r="B625" s="794"/>
      <c r="C625" s="794"/>
    </row>
    <row r="626" spans="2:3" s="675" customFormat="1">
      <c r="B626" s="794"/>
      <c r="C626" s="794"/>
    </row>
    <row r="627" spans="2:3" s="675" customFormat="1">
      <c r="B627" s="794"/>
      <c r="C627" s="794"/>
    </row>
    <row r="628" spans="2:3" s="675" customFormat="1">
      <c r="B628" s="794"/>
      <c r="C628" s="794"/>
    </row>
    <row r="629" spans="2:3" s="675" customFormat="1">
      <c r="B629" s="794"/>
      <c r="C629" s="794"/>
    </row>
    <row r="630" spans="2:3" s="675" customFormat="1">
      <c r="B630" s="794"/>
      <c r="C630" s="794"/>
    </row>
    <row r="631" spans="2:3" s="675" customFormat="1">
      <c r="B631" s="794"/>
      <c r="C631" s="794"/>
    </row>
    <row r="632" spans="2:3" s="675" customFormat="1">
      <c r="B632" s="794"/>
      <c r="C632" s="794"/>
    </row>
    <row r="633" spans="2:3" s="675" customFormat="1">
      <c r="B633" s="794"/>
      <c r="C633" s="794"/>
    </row>
    <row r="634" spans="2:3" s="675" customFormat="1">
      <c r="B634" s="794"/>
      <c r="C634" s="794"/>
    </row>
    <row r="635" spans="2:3" s="675" customFormat="1">
      <c r="B635" s="794"/>
      <c r="C635" s="794"/>
    </row>
    <row r="636" spans="2:3" s="675" customFormat="1">
      <c r="B636" s="794"/>
      <c r="C636" s="794"/>
    </row>
    <row r="637" spans="2:3" s="675" customFormat="1">
      <c r="B637" s="794"/>
      <c r="C637" s="794"/>
    </row>
    <row r="638" spans="2:3" s="675" customFormat="1">
      <c r="B638" s="794"/>
      <c r="C638" s="794"/>
    </row>
    <row r="639" spans="2:3" s="675" customFormat="1">
      <c r="B639" s="794"/>
      <c r="C639" s="794"/>
    </row>
    <row r="640" spans="2:3" s="675" customFormat="1">
      <c r="B640" s="794"/>
      <c r="C640" s="794"/>
    </row>
    <row r="641" spans="2:3" s="675" customFormat="1">
      <c r="B641" s="794"/>
      <c r="C641" s="794"/>
    </row>
    <row r="642" spans="2:3" s="675" customFormat="1">
      <c r="B642" s="794"/>
      <c r="C642" s="794"/>
    </row>
    <row r="643" spans="2:3" s="675" customFormat="1">
      <c r="B643" s="794"/>
      <c r="C643" s="794"/>
    </row>
    <row r="644" spans="2:3" s="675" customFormat="1">
      <c r="B644" s="794"/>
      <c r="C644" s="794"/>
    </row>
    <row r="645" spans="2:3" s="675" customFormat="1">
      <c r="B645" s="794"/>
      <c r="C645" s="794"/>
    </row>
    <row r="646" spans="2:3" s="675" customFormat="1">
      <c r="B646" s="794"/>
      <c r="C646" s="794"/>
    </row>
    <row r="647" spans="2:3" s="675" customFormat="1">
      <c r="B647" s="794"/>
      <c r="C647" s="794"/>
    </row>
    <row r="648" spans="2:3" s="675" customFormat="1">
      <c r="B648" s="794"/>
      <c r="C648" s="794"/>
    </row>
    <row r="649" spans="2:3" s="675" customFormat="1">
      <c r="B649" s="794"/>
      <c r="C649" s="794"/>
    </row>
    <row r="650" spans="2:3" s="675" customFormat="1">
      <c r="B650" s="794"/>
      <c r="C650" s="794"/>
    </row>
    <row r="651" spans="2:3" s="675" customFormat="1">
      <c r="B651" s="794"/>
      <c r="C651" s="794"/>
    </row>
    <row r="652" spans="2:3" s="675" customFormat="1">
      <c r="B652" s="794"/>
      <c r="C652" s="794"/>
    </row>
    <row r="653" spans="2:3" s="675" customFormat="1">
      <c r="B653" s="794"/>
      <c r="C653" s="794"/>
    </row>
    <row r="654" spans="2:3" s="675" customFormat="1">
      <c r="B654" s="794"/>
      <c r="C654" s="794"/>
    </row>
    <row r="655" spans="2:3" s="675" customFormat="1">
      <c r="B655" s="794"/>
      <c r="C655" s="794"/>
    </row>
    <row r="656" spans="2:3" s="675" customFormat="1">
      <c r="B656" s="794"/>
      <c r="C656" s="794"/>
    </row>
    <row r="657" spans="2:3" s="675" customFormat="1">
      <c r="B657" s="794"/>
      <c r="C657" s="794"/>
    </row>
    <row r="658" spans="2:3" s="675" customFormat="1">
      <c r="B658" s="794"/>
      <c r="C658" s="794"/>
    </row>
    <row r="659" spans="2:3" s="675" customFormat="1">
      <c r="B659" s="794"/>
      <c r="C659" s="794"/>
    </row>
    <row r="660" spans="2:3" s="675" customFormat="1">
      <c r="B660" s="794"/>
      <c r="C660" s="794"/>
    </row>
    <row r="661" spans="2:3" s="675" customFormat="1">
      <c r="B661" s="794"/>
      <c r="C661" s="794"/>
    </row>
    <row r="662" spans="2:3" s="675" customFormat="1">
      <c r="B662" s="794"/>
      <c r="C662" s="794"/>
    </row>
    <row r="663" spans="2:3" s="675" customFormat="1">
      <c r="B663" s="794"/>
      <c r="C663" s="794"/>
    </row>
    <row r="664" spans="2:3" s="675" customFormat="1">
      <c r="B664" s="794"/>
      <c r="C664" s="794"/>
    </row>
    <row r="665" spans="2:3" s="675" customFormat="1">
      <c r="B665" s="794"/>
      <c r="C665" s="794"/>
    </row>
    <row r="666" spans="2:3" s="675" customFormat="1">
      <c r="B666" s="794"/>
      <c r="C666" s="794"/>
    </row>
    <row r="667" spans="2:3" s="675" customFormat="1">
      <c r="B667" s="794"/>
      <c r="C667" s="794"/>
    </row>
    <row r="668" spans="2:3" s="675" customFormat="1">
      <c r="B668" s="794"/>
      <c r="C668" s="794"/>
    </row>
    <row r="669" spans="2:3" s="675" customFormat="1">
      <c r="B669" s="794"/>
      <c r="C669" s="794"/>
    </row>
    <row r="670" spans="2:3" s="675" customFormat="1">
      <c r="B670" s="794"/>
      <c r="C670" s="794"/>
    </row>
    <row r="671" spans="2:3" s="675" customFormat="1">
      <c r="B671" s="794"/>
      <c r="C671" s="794"/>
    </row>
    <row r="672" spans="2:3" s="675" customFormat="1">
      <c r="B672" s="794"/>
      <c r="C672" s="794"/>
    </row>
    <row r="673" spans="2:3" s="675" customFormat="1">
      <c r="B673" s="794"/>
      <c r="C673" s="794"/>
    </row>
    <row r="674" spans="2:3" s="675" customFormat="1">
      <c r="B674" s="794"/>
      <c r="C674" s="794"/>
    </row>
    <row r="675" spans="2:3" s="675" customFormat="1">
      <c r="B675" s="794"/>
      <c r="C675" s="794"/>
    </row>
    <row r="676" spans="2:3" s="675" customFormat="1">
      <c r="B676" s="794"/>
      <c r="C676" s="794"/>
    </row>
    <row r="677" spans="2:3" s="675" customFormat="1">
      <c r="B677" s="794"/>
      <c r="C677" s="794"/>
    </row>
    <row r="678" spans="2:3" s="675" customFormat="1">
      <c r="B678" s="794"/>
      <c r="C678" s="794"/>
    </row>
    <row r="679" spans="2:3" s="675" customFormat="1">
      <c r="B679" s="794"/>
      <c r="C679" s="794"/>
    </row>
    <row r="680" spans="2:3" s="675" customFormat="1">
      <c r="B680" s="794"/>
      <c r="C680" s="794"/>
    </row>
    <row r="681" spans="2:3" s="675" customFormat="1">
      <c r="B681" s="794"/>
      <c r="C681" s="794"/>
    </row>
    <row r="682" spans="2:3" s="675" customFormat="1">
      <c r="B682" s="794"/>
      <c r="C682" s="794"/>
    </row>
    <row r="683" spans="2:3" s="675" customFormat="1">
      <c r="B683" s="794"/>
      <c r="C683" s="794"/>
    </row>
    <row r="684" spans="2:3" s="675" customFormat="1">
      <c r="B684" s="794"/>
      <c r="C684" s="794"/>
    </row>
    <row r="685" spans="2:3" s="675" customFormat="1">
      <c r="B685" s="794"/>
      <c r="C685" s="794"/>
    </row>
    <row r="686" spans="2:3" s="675" customFormat="1">
      <c r="B686" s="794"/>
      <c r="C686" s="794"/>
    </row>
    <row r="687" spans="2:3" s="675" customFormat="1">
      <c r="B687" s="794"/>
      <c r="C687" s="794"/>
    </row>
    <row r="688" spans="2:3" s="675" customFormat="1">
      <c r="B688" s="794"/>
      <c r="C688" s="794"/>
    </row>
    <row r="689" spans="2:3" s="675" customFormat="1">
      <c r="B689" s="794"/>
      <c r="C689" s="794"/>
    </row>
    <row r="690" spans="2:3" s="675" customFormat="1">
      <c r="B690" s="794"/>
      <c r="C690" s="794"/>
    </row>
    <row r="691" spans="2:3" s="675" customFormat="1">
      <c r="B691" s="794"/>
      <c r="C691" s="794"/>
    </row>
    <row r="692" spans="2:3" s="675" customFormat="1">
      <c r="B692" s="794"/>
      <c r="C692" s="794"/>
    </row>
    <row r="693" spans="2:3" s="675" customFormat="1">
      <c r="B693" s="794"/>
      <c r="C693" s="794"/>
    </row>
    <row r="694" spans="2:3" s="675" customFormat="1">
      <c r="B694" s="794"/>
      <c r="C694" s="794"/>
    </row>
    <row r="695" spans="2:3" s="675" customFormat="1">
      <c r="B695" s="794"/>
      <c r="C695" s="794"/>
    </row>
    <row r="696" spans="2:3" s="675" customFormat="1">
      <c r="B696" s="794"/>
      <c r="C696" s="794"/>
    </row>
    <row r="697" spans="2:3" s="675" customFormat="1">
      <c r="B697" s="794"/>
      <c r="C697" s="794"/>
    </row>
    <row r="698" spans="2:3" s="675" customFormat="1">
      <c r="B698" s="794"/>
      <c r="C698" s="794"/>
    </row>
    <row r="699" spans="2:3" s="675" customFormat="1">
      <c r="B699" s="794"/>
      <c r="C699" s="794"/>
    </row>
    <row r="700" spans="2:3" s="675" customFormat="1">
      <c r="B700" s="794"/>
      <c r="C700" s="794"/>
    </row>
    <row r="701" spans="2:3" s="675" customFormat="1">
      <c r="B701" s="794"/>
      <c r="C701" s="794"/>
    </row>
    <row r="702" spans="2:3" s="675" customFormat="1">
      <c r="B702" s="794"/>
      <c r="C702" s="794"/>
    </row>
    <row r="703" spans="2:3" s="675" customFormat="1">
      <c r="B703" s="794"/>
      <c r="C703" s="794"/>
    </row>
    <row r="704" spans="2:3" s="675" customFormat="1">
      <c r="B704" s="794"/>
      <c r="C704" s="794"/>
    </row>
    <row r="705" spans="2:3" s="675" customFormat="1">
      <c r="B705" s="794"/>
      <c r="C705" s="794"/>
    </row>
    <row r="706" spans="2:3" s="675" customFormat="1">
      <c r="B706" s="794"/>
      <c r="C706" s="794"/>
    </row>
    <row r="707" spans="2:3" s="675" customFormat="1">
      <c r="B707" s="794"/>
      <c r="C707" s="794"/>
    </row>
    <row r="708" spans="2:3" s="675" customFormat="1">
      <c r="B708" s="794"/>
      <c r="C708" s="794"/>
    </row>
    <row r="709" spans="2:3" s="675" customFormat="1">
      <c r="B709" s="794"/>
      <c r="C709" s="794"/>
    </row>
    <row r="710" spans="2:3" s="675" customFormat="1">
      <c r="B710" s="794"/>
      <c r="C710" s="794"/>
    </row>
    <row r="711" spans="2:3" s="675" customFormat="1">
      <c r="B711" s="794"/>
      <c r="C711" s="794"/>
    </row>
    <row r="712" spans="2:3" s="675" customFormat="1">
      <c r="B712" s="794"/>
      <c r="C712" s="794"/>
    </row>
    <row r="713" spans="2:3" s="675" customFormat="1">
      <c r="B713" s="794"/>
      <c r="C713" s="794"/>
    </row>
    <row r="714" spans="2:3" s="675" customFormat="1">
      <c r="B714" s="794"/>
      <c r="C714" s="794"/>
    </row>
    <row r="715" spans="2:3" s="675" customFormat="1">
      <c r="B715" s="794"/>
      <c r="C715" s="794"/>
    </row>
    <row r="716" spans="2:3" s="675" customFormat="1">
      <c r="B716" s="794"/>
      <c r="C716" s="794"/>
    </row>
    <row r="717" spans="2:3" s="675" customFormat="1">
      <c r="B717" s="794"/>
      <c r="C717" s="794"/>
    </row>
    <row r="718" spans="2:3" s="675" customFormat="1">
      <c r="B718" s="794"/>
      <c r="C718" s="794"/>
    </row>
    <row r="719" spans="2:3" s="675" customFormat="1">
      <c r="B719" s="794"/>
      <c r="C719" s="794"/>
    </row>
    <row r="720" spans="2:3" s="675" customFormat="1">
      <c r="B720" s="794"/>
      <c r="C720" s="794"/>
    </row>
    <row r="721" spans="2:3" s="675" customFormat="1">
      <c r="B721" s="794"/>
      <c r="C721" s="794"/>
    </row>
    <row r="722" spans="2:3" s="675" customFormat="1">
      <c r="B722" s="794"/>
      <c r="C722" s="794"/>
    </row>
    <row r="723" spans="2:3" s="675" customFormat="1">
      <c r="B723" s="794"/>
      <c r="C723" s="794"/>
    </row>
    <row r="724" spans="2:3" s="675" customFormat="1">
      <c r="B724" s="794"/>
      <c r="C724" s="794"/>
    </row>
    <row r="725" spans="2:3" s="675" customFormat="1">
      <c r="B725" s="794"/>
      <c r="C725" s="794"/>
    </row>
    <row r="726" spans="2:3" s="675" customFormat="1">
      <c r="B726" s="794"/>
      <c r="C726" s="794"/>
    </row>
    <row r="727" spans="2:3" s="675" customFormat="1">
      <c r="B727" s="794"/>
      <c r="C727" s="794"/>
    </row>
    <row r="728" spans="2:3" s="675" customFormat="1">
      <c r="B728" s="794"/>
      <c r="C728" s="794"/>
    </row>
    <row r="729" spans="2:3" s="675" customFormat="1">
      <c r="B729" s="794"/>
      <c r="C729" s="794"/>
    </row>
    <row r="730" spans="2:3" s="675" customFormat="1">
      <c r="B730" s="794"/>
      <c r="C730" s="794"/>
    </row>
    <row r="731" spans="2:3" s="675" customFormat="1">
      <c r="B731" s="794"/>
      <c r="C731" s="794"/>
    </row>
    <row r="732" spans="2:3" s="675" customFormat="1">
      <c r="B732" s="794"/>
      <c r="C732" s="794"/>
    </row>
    <row r="733" spans="2:3" s="675" customFormat="1">
      <c r="B733" s="794"/>
      <c r="C733" s="794"/>
    </row>
    <row r="734" spans="2:3" s="675" customFormat="1">
      <c r="B734" s="794"/>
      <c r="C734" s="794"/>
    </row>
    <row r="735" spans="2:3" s="675" customFormat="1">
      <c r="B735" s="794"/>
      <c r="C735" s="794"/>
    </row>
    <row r="736" spans="2:3" s="675" customFormat="1">
      <c r="B736" s="794"/>
      <c r="C736" s="794"/>
    </row>
    <row r="737" spans="2:3" s="675" customFormat="1">
      <c r="B737" s="794"/>
      <c r="C737" s="794"/>
    </row>
    <row r="738" spans="2:3" s="675" customFormat="1">
      <c r="B738" s="794"/>
      <c r="C738" s="794"/>
    </row>
    <row r="739" spans="2:3" s="675" customFormat="1">
      <c r="B739" s="794"/>
      <c r="C739" s="794"/>
    </row>
    <row r="740" spans="2:3" s="675" customFormat="1">
      <c r="B740" s="794"/>
      <c r="C740" s="794"/>
    </row>
    <row r="741" spans="2:3" s="675" customFormat="1">
      <c r="B741" s="794"/>
      <c r="C741" s="794"/>
    </row>
    <row r="742" spans="2:3" s="675" customFormat="1">
      <c r="B742" s="794"/>
      <c r="C742" s="794"/>
    </row>
    <row r="743" spans="2:3" s="675" customFormat="1">
      <c r="B743" s="794"/>
      <c r="C743" s="794"/>
    </row>
    <row r="744" spans="2:3" s="675" customFormat="1">
      <c r="B744" s="794"/>
      <c r="C744" s="794"/>
    </row>
    <row r="745" spans="2:3" s="675" customFormat="1">
      <c r="B745" s="794"/>
      <c r="C745" s="794"/>
    </row>
    <row r="746" spans="2:3" s="675" customFormat="1">
      <c r="B746" s="794"/>
      <c r="C746" s="794"/>
    </row>
    <row r="747" spans="2:3" s="675" customFormat="1">
      <c r="B747" s="794"/>
      <c r="C747" s="794"/>
    </row>
    <row r="748" spans="2:3" s="675" customFormat="1">
      <c r="B748" s="794"/>
      <c r="C748" s="794"/>
    </row>
    <row r="749" spans="2:3" s="675" customFormat="1">
      <c r="B749" s="794"/>
      <c r="C749" s="794"/>
    </row>
    <row r="750" spans="2:3" s="675" customFormat="1">
      <c r="B750" s="794"/>
      <c r="C750" s="794"/>
    </row>
    <row r="751" spans="2:3" s="675" customFormat="1">
      <c r="B751" s="794"/>
      <c r="C751" s="794"/>
    </row>
    <row r="752" spans="2:3" s="675" customFormat="1">
      <c r="B752" s="794"/>
      <c r="C752" s="794"/>
    </row>
    <row r="753" spans="2:3" s="675" customFormat="1">
      <c r="B753" s="794"/>
      <c r="C753" s="794"/>
    </row>
    <row r="754" spans="2:3" s="675" customFormat="1">
      <c r="B754" s="794"/>
      <c r="C754" s="794"/>
    </row>
    <row r="755" spans="2:3" s="675" customFormat="1">
      <c r="B755" s="794"/>
      <c r="C755" s="794"/>
    </row>
    <row r="756" spans="2:3" s="675" customFormat="1">
      <c r="B756" s="794"/>
      <c r="C756" s="794"/>
    </row>
    <row r="757" spans="2:3" s="675" customFormat="1">
      <c r="B757" s="794"/>
      <c r="C757" s="794"/>
    </row>
    <row r="758" spans="2:3" s="675" customFormat="1">
      <c r="B758" s="794"/>
      <c r="C758" s="794"/>
    </row>
    <row r="759" spans="2:3" s="675" customFormat="1">
      <c r="B759" s="794"/>
      <c r="C759" s="794"/>
    </row>
    <row r="760" spans="2:3" s="675" customFormat="1">
      <c r="B760" s="794"/>
      <c r="C760" s="794"/>
    </row>
    <row r="761" spans="2:3" s="675" customFormat="1">
      <c r="B761" s="794"/>
      <c r="C761" s="794"/>
    </row>
    <row r="762" spans="2:3" s="675" customFormat="1">
      <c r="B762" s="794"/>
      <c r="C762" s="794"/>
    </row>
    <row r="763" spans="2:3" s="675" customFormat="1">
      <c r="B763" s="794"/>
      <c r="C763" s="794"/>
    </row>
    <row r="764" spans="2:3" s="675" customFormat="1">
      <c r="B764" s="794"/>
      <c r="C764" s="794"/>
    </row>
    <row r="765" spans="2:3" s="675" customFormat="1">
      <c r="B765" s="794"/>
      <c r="C765" s="794"/>
    </row>
    <row r="766" spans="2:3" s="675" customFormat="1">
      <c r="B766" s="794"/>
      <c r="C766" s="794"/>
    </row>
    <row r="767" spans="2:3" s="675" customFormat="1">
      <c r="B767" s="794"/>
      <c r="C767" s="794"/>
    </row>
    <row r="768" spans="2:3" s="675" customFormat="1">
      <c r="B768" s="794"/>
      <c r="C768" s="794"/>
    </row>
    <row r="769" spans="2:3" s="675" customFormat="1">
      <c r="B769" s="794"/>
      <c r="C769" s="794"/>
    </row>
    <row r="770" spans="2:3" s="675" customFormat="1">
      <c r="B770" s="794"/>
      <c r="C770" s="794"/>
    </row>
    <row r="771" spans="2:3" s="675" customFormat="1">
      <c r="B771" s="794"/>
      <c r="C771" s="794"/>
    </row>
    <row r="772" spans="2:3" s="675" customFormat="1">
      <c r="B772" s="794"/>
      <c r="C772" s="794"/>
    </row>
    <row r="773" spans="2:3" s="675" customFormat="1">
      <c r="B773" s="794"/>
      <c r="C773" s="794"/>
    </row>
    <row r="774" spans="2:3" s="675" customFormat="1">
      <c r="B774" s="794"/>
      <c r="C774" s="794"/>
    </row>
    <row r="775" spans="2:3" s="675" customFormat="1">
      <c r="B775" s="794"/>
      <c r="C775" s="794"/>
    </row>
    <row r="776" spans="2:3" s="675" customFormat="1">
      <c r="B776" s="794"/>
      <c r="C776" s="794"/>
    </row>
    <row r="777" spans="2:3" s="675" customFormat="1">
      <c r="B777" s="794"/>
      <c r="C777" s="794"/>
    </row>
    <row r="778" spans="2:3" s="675" customFormat="1">
      <c r="B778" s="794"/>
      <c r="C778" s="794"/>
    </row>
    <row r="779" spans="2:3" s="675" customFormat="1">
      <c r="B779" s="794"/>
      <c r="C779" s="794"/>
    </row>
    <row r="780" spans="2:3" s="675" customFormat="1">
      <c r="B780" s="794"/>
      <c r="C780" s="794"/>
    </row>
    <row r="781" spans="2:3" s="675" customFormat="1">
      <c r="B781" s="794"/>
      <c r="C781" s="794"/>
    </row>
    <row r="782" spans="2:3" s="675" customFormat="1">
      <c r="B782" s="794"/>
      <c r="C782" s="794"/>
    </row>
    <row r="783" spans="2:3" s="675" customFormat="1">
      <c r="B783" s="794"/>
      <c r="C783" s="794"/>
    </row>
    <row r="784" spans="2:3" s="675" customFormat="1">
      <c r="B784" s="794"/>
      <c r="C784" s="794"/>
    </row>
    <row r="785" spans="2:3" s="675" customFormat="1">
      <c r="B785" s="794"/>
      <c r="C785" s="794"/>
    </row>
    <row r="786" spans="2:3" s="675" customFormat="1">
      <c r="B786" s="794"/>
      <c r="C786" s="794"/>
    </row>
    <row r="787" spans="2:3" s="675" customFormat="1">
      <c r="B787" s="794"/>
      <c r="C787" s="794"/>
    </row>
    <row r="788" spans="2:3" s="675" customFormat="1">
      <c r="B788" s="794"/>
      <c r="C788" s="794"/>
    </row>
    <row r="789" spans="2:3" s="675" customFormat="1">
      <c r="B789" s="794"/>
      <c r="C789" s="794"/>
    </row>
    <row r="790" spans="2:3" s="675" customFormat="1">
      <c r="B790" s="794"/>
      <c r="C790" s="794"/>
    </row>
    <row r="791" spans="2:3" s="675" customFormat="1">
      <c r="B791" s="794"/>
      <c r="C791" s="794"/>
    </row>
    <row r="792" spans="2:3" s="675" customFormat="1">
      <c r="B792" s="794"/>
      <c r="C792" s="794"/>
    </row>
    <row r="793" spans="2:3" s="675" customFormat="1">
      <c r="B793" s="794"/>
      <c r="C793" s="794"/>
    </row>
    <row r="794" spans="2:3" s="675" customFormat="1">
      <c r="B794" s="794"/>
      <c r="C794" s="794"/>
    </row>
    <row r="795" spans="2:3" s="675" customFormat="1">
      <c r="B795" s="794"/>
      <c r="C795" s="794"/>
    </row>
    <row r="796" spans="2:3" s="675" customFormat="1">
      <c r="B796" s="794"/>
      <c r="C796" s="794"/>
    </row>
    <row r="797" spans="2:3" s="675" customFormat="1">
      <c r="B797" s="794"/>
      <c r="C797" s="794"/>
    </row>
    <row r="798" spans="2:3" s="675" customFormat="1">
      <c r="B798" s="794"/>
      <c r="C798" s="794"/>
    </row>
    <row r="799" spans="2:3" s="675" customFormat="1">
      <c r="B799" s="794"/>
      <c r="C799" s="794"/>
    </row>
    <row r="800" spans="2:3" s="675" customFormat="1">
      <c r="B800" s="794"/>
      <c r="C800" s="794"/>
    </row>
    <row r="801" spans="2:3" s="675" customFormat="1">
      <c r="B801" s="794"/>
      <c r="C801" s="794"/>
    </row>
    <row r="802" spans="2:3" s="675" customFormat="1">
      <c r="B802" s="794"/>
      <c r="C802" s="794"/>
    </row>
    <row r="803" spans="2:3" s="675" customFormat="1">
      <c r="B803" s="794"/>
      <c r="C803" s="794"/>
    </row>
    <row r="804" spans="2:3" s="675" customFormat="1">
      <c r="B804" s="794"/>
      <c r="C804" s="794"/>
    </row>
    <row r="805" spans="2:3" s="675" customFormat="1">
      <c r="B805" s="794"/>
      <c r="C805" s="794"/>
    </row>
    <row r="806" spans="2:3" s="675" customFormat="1">
      <c r="B806" s="794"/>
      <c r="C806" s="794"/>
    </row>
    <row r="807" spans="2:3" s="675" customFormat="1">
      <c r="B807" s="794"/>
      <c r="C807" s="794"/>
    </row>
    <row r="808" spans="2:3" s="675" customFormat="1">
      <c r="B808" s="794"/>
      <c r="C808" s="794"/>
    </row>
    <row r="809" spans="2:3" s="675" customFormat="1">
      <c r="B809" s="794"/>
      <c r="C809" s="794"/>
    </row>
    <row r="810" spans="2:3" s="675" customFormat="1">
      <c r="B810" s="794"/>
      <c r="C810" s="794"/>
    </row>
    <row r="811" spans="2:3" s="675" customFormat="1">
      <c r="B811" s="794"/>
      <c r="C811" s="794"/>
    </row>
    <row r="812" spans="2:3" s="675" customFormat="1">
      <c r="B812" s="794"/>
      <c r="C812" s="794"/>
    </row>
    <row r="813" spans="2:3" s="675" customFormat="1">
      <c r="B813" s="794"/>
      <c r="C813" s="794"/>
    </row>
    <row r="814" spans="2:3" s="675" customFormat="1">
      <c r="B814" s="794"/>
      <c r="C814" s="794"/>
    </row>
    <row r="815" spans="2:3" s="675" customFormat="1">
      <c r="B815" s="794"/>
      <c r="C815" s="794"/>
    </row>
    <row r="816" spans="2:3" s="675" customFormat="1">
      <c r="B816" s="794"/>
      <c r="C816" s="794"/>
    </row>
    <row r="817" spans="2:3" s="675" customFormat="1">
      <c r="B817" s="794"/>
      <c r="C817" s="794"/>
    </row>
    <row r="818" spans="2:3" s="675" customFormat="1">
      <c r="B818" s="794"/>
      <c r="C818" s="794"/>
    </row>
    <row r="819" spans="2:3" s="675" customFormat="1">
      <c r="B819" s="794"/>
      <c r="C819" s="794"/>
    </row>
    <row r="820" spans="2:3" s="675" customFormat="1">
      <c r="B820" s="794"/>
      <c r="C820" s="794"/>
    </row>
    <row r="821" spans="2:3" s="675" customFormat="1">
      <c r="B821" s="794"/>
      <c r="C821" s="794"/>
    </row>
    <row r="822" spans="2:3" s="675" customFormat="1">
      <c r="B822" s="794"/>
      <c r="C822" s="794"/>
    </row>
    <row r="823" spans="2:3" s="675" customFormat="1">
      <c r="B823" s="794"/>
      <c r="C823" s="794"/>
    </row>
    <row r="824" spans="2:3" s="675" customFormat="1">
      <c r="B824" s="794"/>
      <c r="C824" s="794"/>
    </row>
    <row r="825" spans="2:3" s="675" customFormat="1">
      <c r="B825" s="794"/>
      <c r="C825" s="794"/>
    </row>
    <row r="826" spans="2:3" s="675" customFormat="1">
      <c r="B826" s="794"/>
      <c r="C826" s="794"/>
    </row>
    <row r="827" spans="2:3" s="675" customFormat="1">
      <c r="B827" s="794"/>
      <c r="C827" s="794"/>
    </row>
    <row r="828" spans="2:3" s="675" customFormat="1">
      <c r="B828" s="794"/>
      <c r="C828" s="794"/>
    </row>
    <row r="829" spans="2:3" s="675" customFormat="1">
      <c r="B829" s="794"/>
      <c r="C829" s="794"/>
    </row>
    <row r="830" spans="2:3" s="675" customFormat="1">
      <c r="B830" s="794"/>
      <c r="C830" s="794"/>
    </row>
    <row r="831" spans="2:3" s="675" customFormat="1">
      <c r="B831" s="794"/>
      <c r="C831" s="794"/>
    </row>
    <row r="832" spans="2:3" s="675" customFormat="1">
      <c r="B832" s="794"/>
      <c r="C832" s="794"/>
    </row>
    <row r="833" spans="2:3" s="675" customFormat="1">
      <c r="B833" s="794"/>
      <c r="C833" s="794"/>
    </row>
    <row r="834" spans="2:3" s="675" customFormat="1">
      <c r="B834" s="794"/>
      <c r="C834" s="794"/>
    </row>
    <row r="835" spans="2:3" s="675" customFormat="1">
      <c r="B835" s="794"/>
      <c r="C835" s="794"/>
    </row>
    <row r="836" spans="2:3" s="675" customFormat="1">
      <c r="B836" s="794"/>
      <c r="C836" s="794"/>
    </row>
    <row r="837" spans="2:3" s="675" customFormat="1">
      <c r="B837" s="794"/>
      <c r="C837" s="794"/>
    </row>
    <row r="838" spans="2:3" s="675" customFormat="1">
      <c r="B838" s="794"/>
      <c r="C838" s="794"/>
    </row>
    <row r="839" spans="2:3" s="675" customFormat="1">
      <c r="B839" s="794"/>
      <c r="C839" s="794"/>
    </row>
    <row r="840" spans="2:3" s="675" customFormat="1">
      <c r="B840" s="794"/>
      <c r="C840" s="794"/>
    </row>
    <row r="841" spans="2:3" s="675" customFormat="1">
      <c r="B841" s="794"/>
      <c r="C841" s="794"/>
    </row>
    <row r="842" spans="2:3" s="675" customFormat="1">
      <c r="B842" s="794"/>
      <c r="C842" s="794"/>
    </row>
    <row r="843" spans="2:3" s="675" customFormat="1">
      <c r="B843" s="794"/>
      <c r="C843" s="794"/>
    </row>
    <row r="844" spans="2:3" s="675" customFormat="1">
      <c r="B844" s="794"/>
      <c r="C844" s="794"/>
    </row>
    <row r="845" spans="2:3" s="675" customFormat="1">
      <c r="B845" s="794"/>
      <c r="C845" s="794"/>
    </row>
    <row r="846" spans="2:3" s="675" customFormat="1">
      <c r="B846" s="794"/>
      <c r="C846" s="794"/>
    </row>
    <row r="847" spans="2:3" s="675" customFormat="1">
      <c r="B847" s="794"/>
      <c r="C847" s="794"/>
    </row>
    <row r="848" spans="2:3" s="675" customFormat="1">
      <c r="B848" s="794"/>
      <c r="C848" s="794"/>
    </row>
    <row r="849" spans="2:3" s="675" customFormat="1">
      <c r="B849" s="794"/>
      <c r="C849" s="794"/>
    </row>
    <row r="850" spans="2:3" s="675" customFormat="1">
      <c r="B850" s="794"/>
      <c r="C850" s="794"/>
    </row>
    <row r="851" spans="2:3" s="675" customFormat="1">
      <c r="B851" s="794"/>
      <c r="C851" s="794"/>
    </row>
    <row r="852" spans="2:3" s="675" customFormat="1">
      <c r="B852" s="794"/>
      <c r="C852" s="794"/>
    </row>
    <row r="853" spans="2:3" s="675" customFormat="1">
      <c r="B853" s="794"/>
      <c r="C853" s="794"/>
    </row>
    <row r="854" spans="2:3" s="675" customFormat="1">
      <c r="B854" s="794"/>
      <c r="C854" s="794"/>
    </row>
    <row r="855" spans="2:3" s="675" customFormat="1">
      <c r="B855" s="794"/>
      <c r="C855" s="794"/>
    </row>
    <row r="856" spans="2:3" s="675" customFormat="1">
      <c r="B856" s="794"/>
      <c r="C856" s="794"/>
    </row>
    <row r="857" spans="2:3" s="675" customFormat="1">
      <c r="B857" s="794"/>
      <c r="C857" s="794"/>
    </row>
    <row r="858" spans="2:3" s="675" customFormat="1">
      <c r="B858" s="794"/>
      <c r="C858" s="794"/>
    </row>
    <row r="859" spans="2:3" s="675" customFormat="1">
      <c r="B859" s="794"/>
      <c r="C859" s="794"/>
    </row>
    <row r="860" spans="2:3" s="675" customFormat="1">
      <c r="B860" s="794"/>
      <c r="C860" s="794"/>
    </row>
    <row r="861" spans="2:3" s="675" customFormat="1">
      <c r="B861" s="794"/>
      <c r="C861" s="794"/>
    </row>
    <row r="862" spans="2:3" s="675" customFormat="1">
      <c r="B862" s="794"/>
      <c r="C862" s="794"/>
    </row>
    <row r="863" spans="2:3" s="675" customFormat="1">
      <c r="B863" s="794"/>
      <c r="C863" s="794"/>
    </row>
    <row r="864" spans="2:3" s="675" customFormat="1">
      <c r="B864" s="794"/>
      <c r="C864" s="794"/>
    </row>
    <row r="865" spans="2:3" s="675" customFormat="1">
      <c r="B865" s="794"/>
      <c r="C865" s="794"/>
    </row>
    <row r="866" spans="2:3" s="675" customFormat="1">
      <c r="B866" s="794"/>
      <c r="C866" s="794"/>
    </row>
    <row r="867" spans="2:3" s="675" customFormat="1">
      <c r="B867" s="794"/>
      <c r="C867" s="794"/>
    </row>
    <row r="868" spans="2:3" s="675" customFormat="1">
      <c r="B868" s="794"/>
      <c r="C868" s="794"/>
    </row>
    <row r="869" spans="2:3" s="675" customFormat="1">
      <c r="B869" s="794"/>
      <c r="C869" s="794"/>
    </row>
    <row r="870" spans="2:3" s="675" customFormat="1">
      <c r="B870" s="794"/>
      <c r="C870" s="794"/>
    </row>
    <row r="871" spans="2:3" s="675" customFormat="1">
      <c r="B871" s="794"/>
      <c r="C871" s="794"/>
    </row>
    <row r="872" spans="2:3" s="675" customFormat="1">
      <c r="B872" s="794"/>
      <c r="C872" s="794"/>
    </row>
    <row r="873" spans="2:3" s="675" customFormat="1">
      <c r="B873" s="794"/>
      <c r="C873" s="794"/>
    </row>
    <row r="874" spans="2:3" s="675" customFormat="1">
      <c r="B874" s="794"/>
      <c r="C874" s="794"/>
    </row>
    <row r="875" spans="2:3" s="675" customFormat="1">
      <c r="B875" s="794"/>
      <c r="C875" s="794"/>
    </row>
    <row r="876" spans="2:3" s="675" customFormat="1">
      <c r="B876" s="794"/>
      <c r="C876" s="794"/>
    </row>
    <row r="877" spans="2:3" s="675" customFormat="1">
      <c r="B877" s="794"/>
      <c r="C877" s="794"/>
    </row>
    <row r="878" spans="2:3" s="675" customFormat="1">
      <c r="B878" s="794"/>
      <c r="C878" s="794"/>
    </row>
    <row r="879" spans="2:3" s="675" customFormat="1">
      <c r="B879" s="794"/>
      <c r="C879" s="794"/>
    </row>
    <row r="880" spans="2:3" s="675" customFormat="1">
      <c r="B880" s="794"/>
      <c r="C880" s="794"/>
    </row>
    <row r="881" spans="2:3" s="675" customFormat="1">
      <c r="B881" s="794"/>
      <c r="C881" s="794"/>
    </row>
    <row r="882" spans="2:3" s="675" customFormat="1">
      <c r="B882" s="794"/>
      <c r="C882" s="794"/>
    </row>
    <row r="883" spans="2:3" s="675" customFormat="1">
      <c r="B883" s="794"/>
      <c r="C883" s="794"/>
    </row>
    <row r="884" spans="2:3" s="675" customFormat="1">
      <c r="B884" s="794"/>
      <c r="C884" s="794"/>
    </row>
    <row r="885" spans="2:3" s="675" customFormat="1">
      <c r="B885" s="794"/>
      <c r="C885" s="794"/>
    </row>
    <row r="886" spans="2:3" s="675" customFormat="1">
      <c r="B886" s="794"/>
      <c r="C886" s="794"/>
    </row>
    <row r="887" spans="2:3" s="675" customFormat="1">
      <c r="B887" s="794"/>
      <c r="C887" s="794"/>
    </row>
    <row r="888" spans="2:3" s="675" customFormat="1">
      <c r="B888" s="794"/>
      <c r="C888" s="794"/>
    </row>
    <row r="889" spans="2:3" s="675" customFormat="1">
      <c r="B889" s="794"/>
      <c r="C889" s="794"/>
    </row>
    <row r="890" spans="2:3" s="675" customFormat="1">
      <c r="B890" s="794"/>
      <c r="C890" s="794"/>
    </row>
    <row r="891" spans="2:3" s="675" customFormat="1">
      <c r="B891" s="794"/>
      <c r="C891" s="794"/>
    </row>
    <row r="892" spans="2:3" s="675" customFormat="1">
      <c r="B892" s="794"/>
      <c r="C892" s="794"/>
    </row>
    <row r="893" spans="2:3" s="675" customFormat="1">
      <c r="B893" s="794"/>
      <c r="C893" s="794"/>
    </row>
    <row r="894" spans="2:3" s="675" customFormat="1">
      <c r="B894" s="794"/>
      <c r="C894" s="794"/>
    </row>
    <row r="895" spans="2:3" s="675" customFormat="1">
      <c r="B895" s="794"/>
      <c r="C895" s="794"/>
    </row>
    <row r="896" spans="2:3" s="675" customFormat="1">
      <c r="B896" s="794"/>
      <c r="C896" s="794"/>
    </row>
    <row r="897" spans="2:3" s="675" customFormat="1">
      <c r="B897" s="794"/>
      <c r="C897" s="794"/>
    </row>
    <row r="898" spans="2:3" s="675" customFormat="1">
      <c r="B898" s="794"/>
      <c r="C898" s="794"/>
    </row>
    <row r="899" spans="2:3" s="675" customFormat="1">
      <c r="B899" s="794"/>
      <c r="C899" s="794"/>
    </row>
    <row r="900" spans="2:3" s="675" customFormat="1">
      <c r="B900" s="794"/>
      <c r="C900" s="794"/>
    </row>
    <row r="901" spans="2:3" s="675" customFormat="1">
      <c r="B901" s="794"/>
      <c r="C901" s="794"/>
    </row>
    <row r="902" spans="2:3" s="675" customFormat="1">
      <c r="B902" s="794"/>
      <c r="C902" s="794"/>
    </row>
    <row r="903" spans="2:3" s="675" customFormat="1">
      <c r="B903" s="794"/>
      <c r="C903" s="794"/>
    </row>
    <row r="904" spans="2:3" s="675" customFormat="1">
      <c r="B904" s="794"/>
      <c r="C904" s="794"/>
    </row>
    <row r="905" spans="2:3" s="675" customFormat="1">
      <c r="B905" s="794"/>
      <c r="C905" s="794"/>
    </row>
    <row r="906" spans="2:3" s="675" customFormat="1">
      <c r="B906" s="794"/>
      <c r="C906" s="794"/>
    </row>
    <row r="907" spans="2:3" s="675" customFormat="1">
      <c r="B907" s="794"/>
      <c r="C907" s="794"/>
    </row>
    <row r="908" spans="2:3" s="675" customFormat="1">
      <c r="B908" s="794"/>
      <c r="C908" s="794"/>
    </row>
    <row r="909" spans="2:3" s="675" customFormat="1">
      <c r="B909" s="794"/>
      <c r="C909" s="794"/>
    </row>
    <row r="910" spans="2:3" s="675" customFormat="1">
      <c r="B910" s="794"/>
      <c r="C910" s="794"/>
    </row>
    <row r="911" spans="2:3" s="675" customFormat="1">
      <c r="B911" s="794"/>
      <c r="C911" s="794"/>
    </row>
    <row r="912" spans="2:3" s="675" customFormat="1">
      <c r="B912" s="794"/>
      <c r="C912" s="794"/>
    </row>
    <row r="913" spans="2:3" s="675" customFormat="1">
      <c r="B913" s="794"/>
      <c r="C913" s="794"/>
    </row>
    <row r="914" spans="2:3" s="675" customFormat="1">
      <c r="B914" s="794"/>
      <c r="C914" s="794"/>
    </row>
    <row r="915" spans="2:3" s="675" customFormat="1">
      <c r="B915" s="794"/>
      <c r="C915" s="794"/>
    </row>
    <row r="916" spans="2:3" s="675" customFormat="1">
      <c r="B916" s="794"/>
      <c r="C916" s="794"/>
    </row>
    <row r="917" spans="2:3" s="675" customFormat="1">
      <c r="B917" s="794"/>
      <c r="C917" s="794"/>
    </row>
    <row r="918" spans="2:3" s="675" customFormat="1">
      <c r="B918" s="794"/>
      <c r="C918" s="794"/>
    </row>
    <row r="919" spans="2:3" s="675" customFormat="1">
      <c r="B919" s="794"/>
      <c r="C919" s="794"/>
    </row>
    <row r="920" spans="2:3" s="675" customFormat="1">
      <c r="B920" s="794"/>
      <c r="C920" s="794"/>
    </row>
    <row r="921" spans="2:3" s="675" customFormat="1">
      <c r="B921" s="794"/>
      <c r="C921" s="794"/>
    </row>
    <row r="922" spans="2:3" s="675" customFormat="1">
      <c r="B922" s="794"/>
      <c r="C922" s="794"/>
    </row>
    <row r="923" spans="2:3" s="675" customFormat="1">
      <c r="B923" s="794"/>
      <c r="C923" s="794"/>
    </row>
    <row r="924" spans="2:3" s="675" customFormat="1">
      <c r="B924" s="794"/>
      <c r="C924" s="794"/>
    </row>
    <row r="925" spans="2:3" s="675" customFormat="1">
      <c r="B925" s="794"/>
      <c r="C925" s="794"/>
    </row>
    <row r="926" spans="2:3" s="675" customFormat="1">
      <c r="B926" s="794"/>
      <c r="C926" s="794"/>
    </row>
    <row r="927" spans="2:3" s="675" customFormat="1">
      <c r="B927" s="794"/>
      <c r="C927" s="794"/>
    </row>
    <row r="928" spans="2:3" s="675" customFormat="1">
      <c r="B928" s="794"/>
      <c r="C928" s="794"/>
    </row>
    <row r="929" spans="2:3" s="675" customFormat="1">
      <c r="B929" s="794"/>
      <c r="C929" s="794"/>
    </row>
    <row r="930" spans="2:3" s="675" customFormat="1">
      <c r="B930" s="794"/>
      <c r="C930" s="794"/>
    </row>
    <row r="931" spans="2:3" s="675" customFormat="1">
      <c r="B931" s="794"/>
      <c r="C931" s="794"/>
    </row>
    <row r="932" spans="2:3" s="675" customFormat="1">
      <c r="B932" s="794"/>
      <c r="C932" s="794"/>
    </row>
    <row r="933" spans="2:3" s="675" customFormat="1">
      <c r="B933" s="794"/>
      <c r="C933" s="794"/>
    </row>
    <row r="934" spans="2:3" s="675" customFormat="1">
      <c r="B934" s="794"/>
      <c r="C934" s="794"/>
    </row>
    <row r="935" spans="2:3" s="675" customFormat="1">
      <c r="B935" s="794"/>
      <c r="C935" s="794"/>
    </row>
    <row r="936" spans="2:3" s="675" customFormat="1">
      <c r="B936" s="794"/>
      <c r="C936" s="794"/>
    </row>
    <row r="937" spans="2:3" s="675" customFormat="1">
      <c r="B937" s="794"/>
      <c r="C937" s="794"/>
    </row>
    <row r="938" spans="2:3" s="675" customFormat="1">
      <c r="B938" s="794"/>
      <c r="C938" s="794"/>
    </row>
    <row r="939" spans="2:3" s="675" customFormat="1">
      <c r="B939" s="794"/>
      <c r="C939" s="794"/>
    </row>
    <row r="940" spans="2:3" s="675" customFormat="1">
      <c r="B940" s="794"/>
      <c r="C940" s="794"/>
    </row>
    <row r="941" spans="2:3" s="675" customFormat="1">
      <c r="B941" s="794"/>
      <c r="C941" s="794"/>
    </row>
    <row r="942" spans="2:3" s="675" customFormat="1">
      <c r="B942" s="794"/>
      <c r="C942" s="794"/>
    </row>
    <row r="943" spans="2:3" s="675" customFormat="1">
      <c r="B943" s="794"/>
      <c r="C943" s="794"/>
    </row>
    <row r="944" spans="2:3" s="675" customFormat="1">
      <c r="B944" s="794"/>
      <c r="C944" s="794"/>
    </row>
    <row r="945" spans="2:3" s="675" customFormat="1">
      <c r="B945" s="794"/>
      <c r="C945" s="794"/>
    </row>
    <row r="946" spans="2:3" s="675" customFormat="1">
      <c r="B946" s="794"/>
      <c r="C946" s="794"/>
    </row>
    <row r="947" spans="2:3" s="675" customFormat="1">
      <c r="B947" s="794"/>
      <c r="C947" s="794"/>
    </row>
    <row r="948" spans="2:3" s="675" customFormat="1">
      <c r="B948" s="794"/>
      <c r="C948" s="794"/>
    </row>
    <row r="949" spans="2:3" s="675" customFormat="1">
      <c r="B949" s="794"/>
      <c r="C949" s="794"/>
    </row>
    <row r="950" spans="2:3" s="675" customFormat="1">
      <c r="B950" s="794"/>
      <c r="C950" s="794"/>
    </row>
    <row r="951" spans="2:3" s="675" customFormat="1">
      <c r="B951" s="794"/>
      <c r="C951" s="794"/>
    </row>
    <row r="952" spans="2:3" s="675" customFormat="1">
      <c r="B952" s="794"/>
      <c r="C952" s="794"/>
    </row>
    <row r="953" spans="2:3" s="675" customFormat="1">
      <c r="B953" s="794"/>
      <c r="C953" s="794"/>
    </row>
    <row r="954" spans="2:3" s="675" customFormat="1">
      <c r="B954" s="794"/>
      <c r="C954" s="794"/>
    </row>
    <row r="955" spans="2:3" s="675" customFormat="1">
      <c r="B955" s="794"/>
      <c r="C955" s="794"/>
    </row>
    <row r="956" spans="2:3" s="675" customFormat="1">
      <c r="B956" s="794"/>
      <c r="C956" s="794"/>
    </row>
    <row r="957" spans="2:3" s="675" customFormat="1">
      <c r="B957" s="794"/>
      <c r="C957" s="794"/>
    </row>
    <row r="958" spans="2:3" s="675" customFormat="1">
      <c r="B958" s="794"/>
      <c r="C958" s="794"/>
    </row>
    <row r="959" spans="2:3" s="675" customFormat="1">
      <c r="B959" s="794"/>
      <c r="C959" s="794"/>
    </row>
    <row r="960" spans="2:3" s="675" customFormat="1">
      <c r="B960" s="794"/>
      <c r="C960" s="794"/>
    </row>
    <row r="961" spans="2:3" s="675" customFormat="1">
      <c r="B961" s="794"/>
      <c r="C961" s="794"/>
    </row>
    <row r="962" spans="2:3" s="675" customFormat="1">
      <c r="B962" s="794"/>
      <c r="C962" s="794"/>
    </row>
    <row r="963" spans="2:3" s="675" customFormat="1">
      <c r="B963" s="794"/>
      <c r="C963" s="794"/>
    </row>
    <row r="964" spans="2:3" s="675" customFormat="1">
      <c r="B964" s="794"/>
      <c r="C964" s="794"/>
    </row>
    <row r="965" spans="2:3" s="675" customFormat="1">
      <c r="B965" s="794"/>
      <c r="C965" s="794"/>
    </row>
    <row r="966" spans="2:3" s="675" customFormat="1">
      <c r="B966" s="794"/>
      <c r="C966" s="794"/>
    </row>
    <row r="967" spans="2:3" s="675" customFormat="1">
      <c r="B967" s="794"/>
      <c r="C967" s="794"/>
    </row>
    <row r="968" spans="2:3" s="675" customFormat="1">
      <c r="B968" s="794"/>
      <c r="C968" s="794"/>
    </row>
    <row r="969" spans="2:3" s="675" customFormat="1">
      <c r="B969" s="794"/>
      <c r="C969" s="794"/>
    </row>
    <row r="970" spans="2:3" s="675" customFormat="1">
      <c r="B970" s="794"/>
      <c r="C970" s="794"/>
    </row>
    <row r="971" spans="2:3" s="675" customFormat="1">
      <c r="B971" s="794"/>
      <c r="C971" s="794"/>
    </row>
    <row r="972" spans="2:3" s="675" customFormat="1">
      <c r="B972" s="794"/>
      <c r="C972" s="794"/>
    </row>
    <row r="973" spans="2:3" s="675" customFormat="1">
      <c r="B973" s="794"/>
      <c r="C973" s="794"/>
    </row>
    <row r="974" spans="2:3" s="675" customFormat="1">
      <c r="B974" s="794"/>
      <c r="C974" s="794"/>
    </row>
    <row r="975" spans="2:3" s="675" customFormat="1">
      <c r="B975" s="794"/>
      <c r="C975" s="794"/>
    </row>
    <row r="976" spans="2:3" s="675" customFormat="1">
      <c r="B976" s="794"/>
      <c r="C976" s="794"/>
    </row>
    <row r="977" spans="2:3" s="675" customFormat="1">
      <c r="B977" s="794"/>
      <c r="C977" s="794"/>
    </row>
    <row r="978" spans="2:3" s="675" customFormat="1">
      <c r="B978" s="794"/>
      <c r="C978" s="794"/>
    </row>
    <row r="979" spans="2:3" s="675" customFormat="1">
      <c r="B979" s="794"/>
      <c r="C979" s="794"/>
    </row>
    <row r="980" spans="2:3" s="675" customFormat="1">
      <c r="B980" s="794"/>
      <c r="C980" s="794"/>
    </row>
    <row r="981" spans="2:3" s="675" customFormat="1">
      <c r="B981" s="794"/>
      <c r="C981" s="794"/>
    </row>
    <row r="982" spans="2:3" s="675" customFormat="1">
      <c r="B982" s="794"/>
      <c r="C982" s="794"/>
    </row>
    <row r="983" spans="2:3" s="675" customFormat="1">
      <c r="B983" s="794"/>
      <c r="C983" s="794"/>
    </row>
    <row r="984" spans="2:3" s="675" customFormat="1">
      <c r="B984" s="794"/>
      <c r="C984" s="794"/>
    </row>
    <row r="985" spans="2:3" s="675" customFormat="1">
      <c r="B985" s="794"/>
      <c r="C985" s="794"/>
    </row>
    <row r="986" spans="2:3" s="675" customFormat="1">
      <c r="B986" s="794"/>
      <c r="C986" s="794"/>
    </row>
    <row r="987" spans="2:3" s="675" customFormat="1">
      <c r="B987" s="794"/>
      <c r="C987" s="794"/>
    </row>
    <row r="988" spans="2:3" s="675" customFormat="1">
      <c r="B988" s="794"/>
      <c r="C988" s="794"/>
    </row>
    <row r="989" spans="2:3" s="675" customFormat="1">
      <c r="B989" s="794"/>
      <c r="C989" s="794"/>
    </row>
    <row r="990" spans="2:3" s="675" customFormat="1">
      <c r="B990" s="794"/>
      <c r="C990" s="794"/>
    </row>
    <row r="991" spans="2:3" s="675" customFormat="1">
      <c r="B991" s="794"/>
      <c r="C991" s="794"/>
    </row>
    <row r="992" spans="2:3" s="675" customFormat="1">
      <c r="B992" s="794"/>
      <c r="C992" s="794"/>
    </row>
    <row r="993" spans="2:3" s="675" customFormat="1">
      <c r="B993" s="794"/>
      <c r="C993" s="794"/>
    </row>
    <row r="994" spans="2:3" s="675" customFormat="1">
      <c r="B994" s="794"/>
      <c r="C994" s="794"/>
    </row>
    <row r="995" spans="2:3" s="675" customFormat="1">
      <c r="B995" s="794"/>
      <c r="C995" s="794"/>
    </row>
    <row r="996" spans="2:3" s="675" customFormat="1">
      <c r="B996" s="794"/>
      <c r="C996" s="794"/>
    </row>
    <row r="997" spans="2:3" s="675" customFormat="1">
      <c r="B997" s="794"/>
      <c r="C997" s="794"/>
    </row>
    <row r="998" spans="2:3" s="675" customFormat="1">
      <c r="B998" s="794"/>
      <c r="C998" s="794"/>
    </row>
    <row r="999" spans="2:3" s="675" customFormat="1">
      <c r="B999" s="794"/>
      <c r="C999" s="794"/>
    </row>
    <row r="1000" spans="2:3" s="675" customFormat="1">
      <c r="B1000" s="794"/>
      <c r="C1000" s="794"/>
    </row>
    <row r="1001" spans="2:3" s="675" customFormat="1">
      <c r="B1001" s="794"/>
      <c r="C1001" s="794"/>
    </row>
    <row r="1002" spans="2:3" s="675" customFormat="1">
      <c r="B1002" s="794"/>
      <c r="C1002" s="794"/>
    </row>
    <row r="1003" spans="2:3" s="675" customFormat="1">
      <c r="B1003" s="794"/>
      <c r="C1003" s="794"/>
    </row>
    <row r="1004" spans="2:3" s="675" customFormat="1">
      <c r="B1004" s="794"/>
      <c r="C1004" s="794"/>
    </row>
    <row r="1005" spans="2:3" s="675" customFormat="1">
      <c r="B1005" s="794"/>
      <c r="C1005" s="794"/>
    </row>
    <row r="1006" spans="2:3" s="675" customFormat="1">
      <c r="B1006" s="794"/>
      <c r="C1006" s="794"/>
    </row>
    <row r="1007" spans="2:3" s="675" customFormat="1">
      <c r="B1007" s="794"/>
      <c r="C1007" s="794"/>
    </row>
    <row r="1008" spans="2:3" s="675" customFormat="1">
      <c r="B1008" s="794"/>
      <c r="C1008" s="794"/>
    </row>
    <row r="1009" spans="2:3" s="675" customFormat="1">
      <c r="B1009" s="794"/>
      <c r="C1009" s="794"/>
    </row>
    <row r="1010" spans="2:3" s="675" customFormat="1">
      <c r="B1010" s="794"/>
      <c r="C1010" s="794"/>
    </row>
    <row r="1011" spans="2:3" s="675" customFormat="1">
      <c r="B1011" s="794"/>
      <c r="C1011" s="794"/>
    </row>
    <row r="1012" spans="2:3" s="675" customFormat="1">
      <c r="B1012" s="794"/>
      <c r="C1012" s="794"/>
    </row>
    <row r="1013" spans="2:3" s="675" customFormat="1">
      <c r="B1013" s="794"/>
      <c r="C1013" s="794"/>
    </row>
    <row r="1014" spans="2:3" s="675" customFormat="1">
      <c r="B1014" s="794"/>
      <c r="C1014" s="794"/>
    </row>
    <row r="1015" spans="2:3" s="675" customFormat="1">
      <c r="B1015" s="794"/>
      <c r="C1015" s="794"/>
    </row>
    <row r="1016" spans="2:3" s="675" customFormat="1">
      <c r="B1016" s="794"/>
      <c r="C1016" s="794"/>
    </row>
    <row r="1017" spans="2:3" s="675" customFormat="1">
      <c r="B1017" s="794"/>
      <c r="C1017" s="794"/>
    </row>
    <row r="1018" spans="2:3" s="675" customFormat="1">
      <c r="B1018" s="794"/>
      <c r="C1018" s="794"/>
    </row>
    <row r="1019" spans="2:3" s="675" customFormat="1">
      <c r="B1019" s="794"/>
      <c r="C1019" s="794"/>
    </row>
    <row r="1020" spans="2:3" s="675" customFormat="1">
      <c r="B1020" s="794"/>
      <c r="C1020" s="794"/>
    </row>
    <row r="1021" spans="2:3" s="675" customFormat="1">
      <c r="B1021" s="794"/>
      <c r="C1021" s="794"/>
    </row>
    <row r="1022" spans="2:3" s="675" customFormat="1">
      <c r="B1022" s="794"/>
      <c r="C1022" s="794"/>
    </row>
    <row r="1023" spans="2:3" s="675" customFormat="1">
      <c r="B1023" s="794"/>
      <c r="C1023" s="794"/>
    </row>
    <row r="1024" spans="2:3" s="675" customFormat="1">
      <c r="B1024" s="794"/>
      <c r="C1024" s="794"/>
    </row>
    <row r="1025" spans="2:3" s="675" customFormat="1">
      <c r="B1025" s="794"/>
      <c r="C1025" s="794"/>
    </row>
    <row r="1026" spans="2:3" s="675" customFormat="1">
      <c r="B1026" s="794"/>
      <c r="C1026" s="794"/>
    </row>
    <row r="1027" spans="2:3" s="675" customFormat="1">
      <c r="B1027" s="794"/>
      <c r="C1027" s="794"/>
    </row>
    <row r="1028" spans="2:3" s="675" customFormat="1">
      <c r="B1028" s="794"/>
      <c r="C1028" s="794"/>
    </row>
    <row r="1029" spans="2:3" s="675" customFormat="1">
      <c r="B1029" s="794"/>
      <c r="C1029" s="794"/>
    </row>
    <row r="1030" spans="2:3" s="675" customFormat="1">
      <c r="B1030" s="794"/>
      <c r="C1030" s="794"/>
    </row>
    <row r="1031" spans="2:3" s="675" customFormat="1">
      <c r="B1031" s="794"/>
      <c r="C1031" s="794"/>
    </row>
    <row r="1032" spans="2:3" s="675" customFormat="1">
      <c r="B1032" s="794"/>
      <c r="C1032" s="794"/>
    </row>
    <row r="1033" spans="2:3" s="675" customFormat="1">
      <c r="B1033" s="794"/>
      <c r="C1033" s="794"/>
    </row>
    <row r="1034" spans="2:3" s="675" customFormat="1">
      <c r="B1034" s="794"/>
      <c r="C1034" s="794"/>
    </row>
    <row r="1035" spans="2:3" s="675" customFormat="1">
      <c r="B1035" s="794"/>
      <c r="C1035" s="794"/>
    </row>
    <row r="1036" spans="2:3" s="675" customFormat="1">
      <c r="B1036" s="794"/>
      <c r="C1036" s="794"/>
    </row>
    <row r="1037" spans="2:3" s="675" customFormat="1">
      <c r="B1037" s="794"/>
      <c r="C1037" s="794"/>
    </row>
    <row r="1038" spans="2:3" s="675" customFormat="1">
      <c r="B1038" s="794"/>
      <c r="C1038" s="794"/>
    </row>
    <row r="1039" spans="2:3" s="675" customFormat="1">
      <c r="B1039" s="794"/>
      <c r="C1039" s="794"/>
    </row>
    <row r="1040" spans="2:3" s="675" customFormat="1">
      <c r="B1040" s="794"/>
      <c r="C1040" s="794"/>
    </row>
    <row r="1041" spans="2:3" s="675" customFormat="1">
      <c r="B1041" s="794"/>
      <c r="C1041" s="794"/>
    </row>
    <row r="1042" spans="2:3" s="675" customFormat="1">
      <c r="B1042" s="794"/>
      <c r="C1042" s="794"/>
    </row>
    <row r="1043" spans="2:3" s="675" customFormat="1">
      <c r="B1043" s="794"/>
      <c r="C1043" s="794"/>
    </row>
    <row r="1044" spans="2:3" s="675" customFormat="1">
      <c r="B1044" s="794"/>
      <c r="C1044" s="794"/>
    </row>
    <row r="1045" spans="2:3" s="675" customFormat="1">
      <c r="B1045" s="794"/>
      <c r="C1045" s="794"/>
    </row>
    <row r="1046" spans="2:3" s="675" customFormat="1">
      <c r="B1046" s="794"/>
      <c r="C1046" s="794"/>
    </row>
    <row r="1047" spans="2:3" s="675" customFormat="1">
      <c r="B1047" s="794"/>
      <c r="C1047" s="794"/>
    </row>
    <row r="1048" spans="2:3" s="675" customFormat="1">
      <c r="B1048" s="794"/>
      <c r="C1048" s="794"/>
    </row>
    <row r="1049" spans="2:3" s="675" customFormat="1">
      <c r="B1049" s="794"/>
      <c r="C1049" s="794"/>
    </row>
    <row r="1050" spans="2:3" s="675" customFormat="1">
      <c r="B1050" s="794"/>
      <c r="C1050" s="794"/>
    </row>
    <row r="1051" spans="2:3" s="675" customFormat="1">
      <c r="B1051" s="794"/>
      <c r="C1051" s="794"/>
    </row>
    <row r="1052" spans="2:3" s="675" customFormat="1">
      <c r="B1052" s="794"/>
      <c r="C1052" s="794"/>
    </row>
    <row r="1053" spans="2:3" s="675" customFormat="1">
      <c r="B1053" s="794"/>
      <c r="C1053" s="794"/>
    </row>
    <row r="1054" spans="2:3" s="675" customFormat="1">
      <c r="B1054" s="794"/>
      <c r="C1054" s="794"/>
    </row>
    <row r="1055" spans="2:3" s="675" customFormat="1">
      <c r="B1055" s="794"/>
      <c r="C1055" s="794"/>
    </row>
    <row r="1056" spans="2:3" s="675" customFormat="1">
      <c r="B1056" s="794"/>
      <c r="C1056" s="794"/>
    </row>
    <row r="1057" spans="2:3" s="675" customFormat="1">
      <c r="B1057" s="794"/>
      <c r="C1057" s="794"/>
    </row>
    <row r="1058" spans="2:3" s="675" customFormat="1">
      <c r="B1058" s="794"/>
      <c r="C1058" s="794"/>
    </row>
    <row r="1059" spans="2:3" s="675" customFormat="1">
      <c r="B1059" s="794"/>
      <c r="C1059" s="794"/>
    </row>
    <row r="1060" spans="2:3" s="675" customFormat="1">
      <c r="B1060" s="794"/>
      <c r="C1060" s="794"/>
    </row>
    <row r="1061" spans="2:3" s="675" customFormat="1">
      <c r="B1061" s="794"/>
      <c r="C1061" s="794"/>
    </row>
    <row r="1062" spans="2:3" s="675" customFormat="1">
      <c r="B1062" s="794"/>
      <c r="C1062" s="794"/>
    </row>
    <row r="1063" spans="2:3" s="675" customFormat="1">
      <c r="B1063" s="794"/>
      <c r="C1063" s="794"/>
    </row>
    <row r="1064" spans="2:3" s="675" customFormat="1">
      <c r="B1064" s="794"/>
      <c r="C1064" s="794"/>
    </row>
    <row r="1065" spans="2:3" s="675" customFormat="1">
      <c r="B1065" s="794"/>
      <c r="C1065" s="794"/>
    </row>
    <row r="1066" spans="2:3" s="675" customFormat="1">
      <c r="B1066" s="794"/>
      <c r="C1066" s="794"/>
    </row>
    <row r="1067" spans="2:3" s="675" customFormat="1">
      <c r="B1067" s="794"/>
      <c r="C1067" s="794"/>
    </row>
    <row r="1068" spans="2:3" s="675" customFormat="1">
      <c r="B1068" s="794"/>
      <c r="C1068" s="794"/>
    </row>
    <row r="1069" spans="2:3" s="675" customFormat="1">
      <c r="B1069" s="794"/>
      <c r="C1069" s="794"/>
    </row>
    <row r="1070" spans="2:3" s="675" customFormat="1">
      <c r="B1070" s="794"/>
      <c r="C1070" s="794"/>
    </row>
    <row r="1071" spans="2:3" s="675" customFormat="1">
      <c r="B1071" s="794"/>
      <c r="C1071" s="794"/>
    </row>
    <row r="1072" spans="2:3" s="675" customFormat="1">
      <c r="B1072" s="794"/>
      <c r="C1072" s="794"/>
    </row>
    <row r="1073" spans="2:3" s="675" customFormat="1">
      <c r="B1073" s="794"/>
      <c r="C1073" s="794"/>
    </row>
    <row r="1074" spans="2:3" s="675" customFormat="1">
      <c r="B1074" s="794"/>
      <c r="C1074" s="794"/>
    </row>
    <row r="1075" spans="2:3" s="675" customFormat="1">
      <c r="B1075" s="794"/>
      <c r="C1075" s="794"/>
    </row>
    <row r="1076" spans="2:3" s="675" customFormat="1">
      <c r="B1076" s="794"/>
      <c r="C1076" s="794"/>
    </row>
    <row r="1077" spans="2:3" s="675" customFormat="1">
      <c r="B1077" s="794"/>
      <c r="C1077" s="794"/>
    </row>
    <row r="1078" spans="2:3" s="675" customFormat="1">
      <c r="B1078" s="794"/>
      <c r="C1078" s="794"/>
    </row>
    <row r="1079" spans="2:3" s="675" customFormat="1">
      <c r="B1079" s="794"/>
      <c r="C1079" s="794"/>
    </row>
    <row r="1080" spans="2:3" s="675" customFormat="1">
      <c r="B1080" s="794"/>
      <c r="C1080" s="794"/>
    </row>
    <row r="1081" spans="2:3" s="675" customFormat="1">
      <c r="B1081" s="794"/>
      <c r="C1081" s="794"/>
    </row>
    <row r="1082" spans="2:3" s="675" customFormat="1">
      <c r="B1082" s="794"/>
      <c r="C1082" s="794"/>
    </row>
    <row r="1083" spans="2:3" s="675" customFormat="1">
      <c r="B1083" s="794"/>
      <c r="C1083" s="794"/>
    </row>
    <row r="1084" spans="2:3" s="675" customFormat="1">
      <c r="B1084" s="794"/>
      <c r="C1084" s="794"/>
    </row>
    <row r="1085" spans="2:3" s="675" customFormat="1">
      <c r="B1085" s="794"/>
      <c r="C1085" s="794"/>
    </row>
    <row r="1086" spans="2:3" s="675" customFormat="1">
      <c r="B1086" s="794"/>
      <c r="C1086" s="794"/>
    </row>
    <row r="1087" spans="2:3" s="675" customFormat="1">
      <c r="B1087" s="794"/>
      <c r="C1087" s="794"/>
    </row>
    <row r="1088" spans="2:3" s="675" customFormat="1">
      <c r="B1088" s="794"/>
      <c r="C1088" s="794"/>
    </row>
    <row r="1089" spans="2:3" s="675" customFormat="1">
      <c r="B1089" s="794"/>
      <c r="C1089" s="794"/>
    </row>
    <row r="1090" spans="2:3" s="675" customFormat="1">
      <c r="B1090" s="794"/>
      <c r="C1090" s="794"/>
    </row>
    <row r="1091" spans="2:3" s="675" customFormat="1">
      <c r="B1091" s="794"/>
      <c r="C1091" s="794"/>
    </row>
    <row r="1092" spans="2:3" s="675" customFormat="1">
      <c r="B1092" s="794"/>
      <c r="C1092" s="794"/>
    </row>
    <row r="1093" spans="2:3" s="675" customFormat="1">
      <c r="B1093" s="794"/>
      <c r="C1093" s="794"/>
    </row>
    <row r="1094" spans="2:3" s="675" customFormat="1">
      <c r="B1094" s="794"/>
      <c r="C1094" s="794"/>
    </row>
    <row r="1095" spans="2:3" s="675" customFormat="1">
      <c r="B1095" s="794"/>
      <c r="C1095" s="794"/>
    </row>
    <row r="1096" spans="2:3" s="675" customFormat="1">
      <c r="B1096" s="794"/>
      <c r="C1096" s="794"/>
    </row>
    <row r="1097" spans="2:3" s="675" customFormat="1">
      <c r="B1097" s="794"/>
      <c r="C1097" s="794"/>
    </row>
    <row r="1098" spans="2:3" s="675" customFormat="1">
      <c r="B1098" s="794"/>
      <c r="C1098" s="794"/>
    </row>
    <row r="1099" spans="2:3" s="675" customFormat="1">
      <c r="B1099" s="794"/>
      <c r="C1099" s="794"/>
    </row>
    <row r="1100" spans="2:3" s="675" customFormat="1">
      <c r="B1100" s="794"/>
      <c r="C1100" s="794"/>
    </row>
    <row r="1101" spans="2:3" s="675" customFormat="1">
      <c r="B1101" s="794"/>
      <c r="C1101" s="794"/>
    </row>
    <row r="1102" spans="2:3" s="675" customFormat="1">
      <c r="B1102" s="794"/>
      <c r="C1102" s="794"/>
    </row>
    <row r="1103" spans="2:3" s="675" customFormat="1">
      <c r="B1103" s="794"/>
      <c r="C1103" s="794"/>
    </row>
    <row r="1104" spans="2:3" s="675" customFormat="1">
      <c r="B1104" s="794"/>
      <c r="C1104" s="794"/>
    </row>
    <row r="1105" spans="2:3" s="675" customFormat="1">
      <c r="B1105" s="794"/>
      <c r="C1105" s="794"/>
    </row>
    <row r="1106" spans="2:3" s="675" customFormat="1">
      <c r="B1106" s="794"/>
      <c r="C1106" s="794"/>
    </row>
    <row r="1107" spans="2:3" s="675" customFormat="1">
      <c r="B1107" s="794"/>
      <c r="C1107" s="794"/>
    </row>
    <row r="1108" spans="2:3" s="675" customFormat="1">
      <c r="B1108" s="794"/>
      <c r="C1108" s="794"/>
    </row>
    <row r="1109" spans="2:3" s="675" customFormat="1">
      <c r="B1109" s="794"/>
      <c r="C1109" s="794"/>
    </row>
    <row r="1110" spans="2:3" s="675" customFormat="1">
      <c r="B1110" s="794"/>
      <c r="C1110" s="794"/>
    </row>
    <row r="1111" spans="2:3" s="675" customFormat="1">
      <c r="B1111" s="794"/>
      <c r="C1111" s="794"/>
    </row>
    <row r="1112" spans="2:3" s="675" customFormat="1">
      <c r="B1112" s="794"/>
      <c r="C1112" s="794"/>
    </row>
    <row r="1113" spans="2:3" s="675" customFormat="1">
      <c r="B1113" s="794"/>
      <c r="C1113" s="794"/>
    </row>
    <row r="1114" spans="2:3" s="675" customFormat="1">
      <c r="B1114" s="794"/>
      <c r="C1114" s="794"/>
    </row>
    <row r="1115" spans="2:3" s="675" customFormat="1">
      <c r="B1115" s="794"/>
      <c r="C1115" s="794"/>
    </row>
    <row r="1116" spans="2:3" s="675" customFormat="1">
      <c r="B1116" s="794"/>
      <c r="C1116" s="794"/>
    </row>
    <row r="1117" spans="2:3" s="675" customFormat="1">
      <c r="B1117" s="794"/>
      <c r="C1117" s="794"/>
    </row>
    <row r="1118" spans="2:3" s="675" customFormat="1">
      <c r="B1118" s="794"/>
      <c r="C1118" s="794"/>
    </row>
    <row r="1119" spans="2:3" s="675" customFormat="1">
      <c r="B1119" s="794"/>
      <c r="C1119" s="794"/>
    </row>
    <row r="1120" spans="2:3" s="675" customFormat="1">
      <c r="B1120" s="794"/>
      <c r="C1120" s="794"/>
    </row>
    <row r="1121" spans="2:3" s="675" customFormat="1">
      <c r="B1121" s="794"/>
      <c r="C1121" s="794"/>
    </row>
    <row r="1122" spans="2:3" s="675" customFormat="1">
      <c r="B1122" s="794"/>
      <c r="C1122" s="794"/>
    </row>
    <row r="1123" spans="2:3" s="675" customFormat="1">
      <c r="B1123" s="794"/>
      <c r="C1123" s="794"/>
    </row>
    <row r="1124" spans="2:3" s="675" customFormat="1">
      <c r="B1124" s="794"/>
      <c r="C1124" s="794"/>
    </row>
    <row r="1125" spans="2:3" s="675" customFormat="1">
      <c r="B1125" s="794"/>
      <c r="C1125" s="794"/>
    </row>
    <row r="1126" spans="2:3" s="675" customFormat="1">
      <c r="B1126" s="794"/>
      <c r="C1126" s="794"/>
    </row>
    <row r="1127" spans="2:3" s="675" customFormat="1">
      <c r="B1127" s="794"/>
      <c r="C1127" s="794"/>
    </row>
    <row r="1128" spans="2:3" s="675" customFormat="1">
      <c r="B1128" s="794"/>
      <c r="C1128" s="794"/>
    </row>
    <row r="1129" spans="2:3" s="675" customFormat="1">
      <c r="B1129" s="794"/>
      <c r="C1129" s="794"/>
    </row>
    <row r="1130" spans="2:3" s="675" customFormat="1">
      <c r="B1130" s="794"/>
      <c r="C1130" s="794"/>
    </row>
    <row r="1131" spans="2:3" s="675" customFormat="1">
      <c r="B1131" s="794"/>
      <c r="C1131" s="794"/>
    </row>
    <row r="1132" spans="2:3" s="675" customFormat="1">
      <c r="B1132" s="794"/>
      <c r="C1132" s="794"/>
    </row>
    <row r="1133" spans="2:3" s="675" customFormat="1">
      <c r="B1133" s="794"/>
      <c r="C1133" s="794"/>
    </row>
    <row r="1134" spans="2:3" s="675" customFormat="1">
      <c r="B1134" s="794"/>
      <c r="C1134" s="794"/>
    </row>
    <row r="1135" spans="2:3" s="675" customFormat="1">
      <c r="B1135" s="794"/>
      <c r="C1135" s="794"/>
    </row>
    <row r="1136" spans="2:3" s="675" customFormat="1">
      <c r="B1136" s="794"/>
      <c r="C1136" s="794"/>
    </row>
    <row r="1137" spans="2:3" s="675" customFormat="1">
      <c r="B1137" s="794"/>
      <c r="C1137" s="794"/>
    </row>
    <row r="1138" spans="2:3" s="675" customFormat="1">
      <c r="B1138" s="794"/>
      <c r="C1138" s="794"/>
    </row>
    <row r="1139" spans="2:3" s="675" customFormat="1">
      <c r="B1139" s="794"/>
      <c r="C1139" s="794"/>
    </row>
    <row r="1140" spans="2:3" s="675" customFormat="1">
      <c r="B1140" s="794"/>
      <c r="C1140" s="794"/>
    </row>
    <row r="1141" spans="2:3" s="675" customFormat="1">
      <c r="B1141" s="794"/>
      <c r="C1141" s="794"/>
    </row>
    <row r="1142" spans="2:3" s="675" customFormat="1">
      <c r="B1142" s="794"/>
      <c r="C1142" s="794"/>
    </row>
    <row r="1143" spans="2:3" s="675" customFormat="1">
      <c r="B1143" s="794"/>
      <c r="C1143" s="794"/>
    </row>
    <row r="1144" spans="2:3" s="675" customFormat="1">
      <c r="B1144" s="794"/>
      <c r="C1144" s="794"/>
    </row>
    <row r="1145" spans="2:3" s="675" customFormat="1">
      <c r="B1145" s="794"/>
      <c r="C1145" s="794"/>
    </row>
    <row r="1146" spans="2:3" s="675" customFormat="1">
      <c r="B1146" s="794"/>
      <c r="C1146" s="794"/>
    </row>
    <row r="1147" spans="2:3" s="675" customFormat="1">
      <c r="B1147" s="794"/>
      <c r="C1147" s="794"/>
    </row>
    <row r="1148" spans="2:3" s="675" customFormat="1">
      <c r="B1148" s="794"/>
      <c r="C1148" s="794"/>
    </row>
    <row r="1149" spans="2:3" s="675" customFormat="1">
      <c r="B1149" s="794"/>
      <c r="C1149" s="794"/>
    </row>
    <row r="1150" spans="2:3" s="675" customFormat="1">
      <c r="B1150" s="794"/>
      <c r="C1150" s="794"/>
    </row>
    <row r="1151" spans="2:3" s="675" customFormat="1">
      <c r="B1151" s="794"/>
      <c r="C1151" s="794"/>
    </row>
    <row r="1152" spans="2:3" s="675" customFormat="1">
      <c r="B1152" s="794"/>
      <c r="C1152" s="794"/>
    </row>
    <row r="1153" spans="2:3" s="675" customFormat="1">
      <c r="B1153" s="794"/>
      <c r="C1153" s="794"/>
    </row>
    <row r="1154" spans="2:3" s="675" customFormat="1">
      <c r="B1154" s="794"/>
      <c r="C1154" s="794"/>
    </row>
    <row r="1155" spans="2:3" s="675" customFormat="1">
      <c r="B1155" s="794"/>
      <c r="C1155" s="794"/>
    </row>
    <row r="1156" spans="2:3" s="675" customFormat="1">
      <c r="B1156" s="794"/>
      <c r="C1156" s="794"/>
    </row>
    <row r="1157" spans="2:3" s="675" customFormat="1">
      <c r="B1157" s="794"/>
      <c r="C1157" s="794"/>
    </row>
    <row r="1158" spans="2:3" s="675" customFormat="1">
      <c r="B1158" s="794"/>
      <c r="C1158" s="794"/>
    </row>
    <row r="1159" spans="2:3" s="675" customFormat="1">
      <c r="B1159" s="794"/>
      <c r="C1159" s="794"/>
    </row>
    <row r="1160" spans="2:3" s="675" customFormat="1">
      <c r="B1160" s="794"/>
      <c r="C1160" s="794"/>
    </row>
    <row r="1161" spans="2:3" s="675" customFormat="1">
      <c r="B1161" s="794"/>
      <c r="C1161" s="794"/>
    </row>
    <row r="1162" spans="2:3" s="675" customFormat="1">
      <c r="B1162" s="794"/>
      <c r="C1162" s="794"/>
    </row>
    <row r="1163" spans="2:3" s="675" customFormat="1">
      <c r="B1163" s="794"/>
      <c r="C1163" s="794"/>
    </row>
    <row r="1164" spans="2:3" s="675" customFormat="1">
      <c r="B1164" s="794"/>
      <c r="C1164" s="794"/>
    </row>
    <row r="1165" spans="2:3" s="675" customFormat="1">
      <c r="B1165" s="794"/>
      <c r="C1165" s="794"/>
    </row>
    <row r="1166" spans="2:3" s="675" customFormat="1">
      <c r="B1166" s="794"/>
      <c r="C1166" s="794"/>
    </row>
    <row r="1167" spans="2:3" s="675" customFormat="1">
      <c r="B1167" s="794"/>
      <c r="C1167" s="794"/>
    </row>
    <row r="1168" spans="2:3" s="675" customFormat="1">
      <c r="B1168" s="794"/>
      <c r="C1168" s="794"/>
    </row>
    <row r="1169" spans="2:3" s="675" customFormat="1">
      <c r="B1169" s="794"/>
      <c r="C1169" s="794"/>
    </row>
    <row r="1170" spans="2:3" s="675" customFormat="1">
      <c r="B1170" s="794"/>
      <c r="C1170" s="794"/>
    </row>
    <row r="1171" spans="2:3" s="675" customFormat="1">
      <c r="B1171" s="794"/>
      <c r="C1171" s="794"/>
    </row>
    <row r="1172" spans="2:3" s="675" customFormat="1">
      <c r="B1172" s="794"/>
      <c r="C1172" s="794"/>
    </row>
    <row r="1173" spans="2:3" s="675" customFormat="1">
      <c r="B1173" s="794"/>
      <c r="C1173" s="794"/>
    </row>
    <row r="1174" spans="2:3" s="675" customFormat="1">
      <c r="B1174" s="794"/>
      <c r="C1174" s="794"/>
    </row>
    <row r="1175" spans="2:3" s="675" customFormat="1">
      <c r="B1175" s="794"/>
      <c r="C1175" s="794"/>
    </row>
    <row r="1176" spans="2:3" s="675" customFormat="1">
      <c r="B1176" s="794"/>
      <c r="C1176" s="794"/>
    </row>
    <row r="1177" spans="2:3" s="675" customFormat="1">
      <c r="B1177" s="794"/>
      <c r="C1177" s="794"/>
    </row>
    <row r="1178" spans="2:3" s="675" customFormat="1">
      <c r="B1178" s="794"/>
      <c r="C1178" s="794"/>
    </row>
    <row r="1179" spans="2:3" s="675" customFormat="1">
      <c r="B1179" s="794"/>
      <c r="C1179" s="794"/>
    </row>
    <row r="1180" spans="2:3" s="675" customFormat="1">
      <c r="B1180" s="794"/>
      <c r="C1180" s="794"/>
    </row>
    <row r="1181" spans="2:3" s="675" customFormat="1">
      <c r="B1181" s="794"/>
      <c r="C1181" s="794"/>
    </row>
    <row r="1182" spans="2:3" s="675" customFormat="1">
      <c r="B1182" s="794"/>
      <c r="C1182" s="794"/>
    </row>
    <row r="1183" spans="2:3" s="675" customFormat="1">
      <c r="B1183" s="794"/>
      <c r="C1183" s="794"/>
    </row>
    <row r="1184" spans="2:3" s="675" customFormat="1">
      <c r="B1184" s="794"/>
      <c r="C1184" s="794"/>
    </row>
    <row r="1185" spans="2:3" s="675" customFormat="1">
      <c r="B1185" s="794"/>
      <c r="C1185" s="794"/>
    </row>
    <row r="1186" spans="2:3" s="675" customFormat="1">
      <c r="B1186" s="794"/>
      <c r="C1186" s="794"/>
    </row>
    <row r="1187" spans="2:3" s="675" customFormat="1">
      <c r="B1187" s="794"/>
      <c r="C1187" s="794"/>
    </row>
    <row r="1188" spans="2:3" s="675" customFormat="1">
      <c r="B1188" s="794"/>
      <c r="C1188" s="794"/>
    </row>
    <row r="1189" spans="2:3" s="675" customFormat="1">
      <c r="B1189" s="794"/>
      <c r="C1189" s="794"/>
    </row>
    <row r="1190" spans="2:3" s="675" customFormat="1">
      <c r="B1190" s="794"/>
      <c r="C1190" s="794"/>
    </row>
    <row r="1191" spans="2:3" s="675" customFormat="1">
      <c r="B1191" s="794"/>
      <c r="C1191" s="794"/>
    </row>
    <row r="1192" spans="2:3" s="675" customFormat="1">
      <c r="B1192" s="794"/>
      <c r="C1192" s="794"/>
    </row>
    <row r="1193" spans="2:3" s="675" customFormat="1">
      <c r="B1193" s="794"/>
      <c r="C1193" s="794"/>
    </row>
    <row r="1194" spans="2:3" s="675" customFormat="1">
      <c r="B1194" s="794"/>
      <c r="C1194" s="794"/>
    </row>
    <row r="1195" spans="2:3" s="675" customFormat="1">
      <c r="B1195" s="794"/>
      <c r="C1195" s="794"/>
    </row>
    <row r="1196" spans="2:3" s="675" customFormat="1">
      <c r="B1196" s="794"/>
      <c r="C1196" s="794"/>
    </row>
    <row r="1197" spans="2:3" s="675" customFormat="1">
      <c r="B1197" s="794"/>
      <c r="C1197" s="794"/>
    </row>
    <row r="1198" spans="2:3" s="675" customFormat="1">
      <c r="B1198" s="794"/>
      <c r="C1198" s="794"/>
    </row>
    <row r="1199" spans="2:3" s="675" customFormat="1">
      <c r="B1199" s="794"/>
      <c r="C1199" s="794"/>
    </row>
    <row r="1200" spans="2:3" s="675" customFormat="1">
      <c r="B1200" s="794"/>
      <c r="C1200" s="794"/>
    </row>
    <row r="1201" spans="2:3" s="675" customFormat="1">
      <c r="B1201" s="794"/>
      <c r="C1201" s="794"/>
    </row>
    <row r="1202" spans="2:3" s="675" customFormat="1">
      <c r="B1202" s="794"/>
      <c r="C1202" s="794"/>
    </row>
    <row r="1203" spans="2:3" s="675" customFormat="1">
      <c r="B1203" s="794"/>
      <c r="C1203" s="794"/>
    </row>
    <row r="1204" spans="2:3" s="675" customFormat="1">
      <c r="B1204" s="794"/>
      <c r="C1204" s="794"/>
    </row>
    <row r="1205" spans="2:3" s="675" customFormat="1">
      <c r="B1205" s="794"/>
      <c r="C1205" s="794"/>
    </row>
    <row r="1206" spans="2:3" s="675" customFormat="1">
      <c r="B1206" s="794"/>
      <c r="C1206" s="794"/>
    </row>
    <row r="1207" spans="2:3" s="675" customFormat="1">
      <c r="B1207" s="794"/>
      <c r="C1207" s="794"/>
    </row>
    <row r="1208" spans="2:3" s="675" customFormat="1">
      <c r="B1208" s="794"/>
      <c r="C1208" s="794"/>
    </row>
    <row r="1209" spans="2:3" s="675" customFormat="1">
      <c r="B1209" s="794"/>
      <c r="C1209" s="794"/>
    </row>
    <row r="1210" spans="2:3" s="675" customFormat="1">
      <c r="B1210" s="794"/>
      <c r="C1210" s="794"/>
    </row>
    <row r="1211" spans="2:3" s="675" customFormat="1">
      <c r="B1211" s="794"/>
      <c r="C1211" s="794"/>
    </row>
    <row r="1212" spans="2:3" s="675" customFormat="1">
      <c r="B1212" s="794"/>
      <c r="C1212" s="794"/>
    </row>
    <row r="1213" spans="2:3" s="675" customFormat="1">
      <c r="B1213" s="794"/>
      <c r="C1213" s="794"/>
    </row>
    <row r="1214" spans="2:3" s="675" customFormat="1">
      <c r="B1214" s="794"/>
      <c r="C1214" s="794"/>
    </row>
    <row r="1215" spans="2:3" s="675" customFormat="1">
      <c r="B1215" s="794"/>
      <c r="C1215" s="794"/>
    </row>
    <row r="1216" spans="2:3" s="675" customFormat="1">
      <c r="B1216" s="794"/>
      <c r="C1216" s="794"/>
    </row>
    <row r="1217" spans="2:3" s="675" customFormat="1">
      <c r="B1217" s="794"/>
      <c r="C1217" s="794"/>
    </row>
    <row r="1218" spans="2:3" s="675" customFormat="1">
      <c r="B1218" s="794"/>
      <c r="C1218" s="794"/>
    </row>
    <row r="1219" spans="2:3" s="675" customFormat="1">
      <c r="B1219" s="794"/>
      <c r="C1219" s="794"/>
    </row>
    <row r="1220" spans="2:3" s="675" customFormat="1">
      <c r="B1220" s="794"/>
      <c r="C1220" s="794"/>
    </row>
    <row r="1221" spans="2:3" s="675" customFormat="1">
      <c r="B1221" s="794"/>
      <c r="C1221" s="794"/>
    </row>
    <row r="1222" spans="2:3" s="675" customFormat="1">
      <c r="B1222" s="794"/>
      <c r="C1222" s="794"/>
    </row>
    <row r="1223" spans="2:3" s="675" customFormat="1">
      <c r="B1223" s="794"/>
      <c r="C1223" s="794"/>
    </row>
    <row r="1224" spans="2:3" s="675" customFormat="1">
      <c r="B1224" s="794"/>
      <c r="C1224" s="794"/>
    </row>
    <row r="1225" spans="2:3" s="675" customFormat="1">
      <c r="B1225" s="794"/>
      <c r="C1225" s="794"/>
    </row>
    <row r="1226" spans="2:3" s="675" customFormat="1">
      <c r="B1226" s="794"/>
      <c r="C1226" s="794"/>
    </row>
    <row r="1227" spans="2:3" s="675" customFormat="1">
      <c r="B1227" s="794"/>
      <c r="C1227" s="794"/>
    </row>
    <row r="1228" spans="2:3" s="675" customFormat="1">
      <c r="B1228" s="794"/>
      <c r="C1228" s="794"/>
    </row>
    <row r="1229" spans="2:3" s="675" customFormat="1">
      <c r="B1229" s="794"/>
      <c r="C1229" s="794"/>
    </row>
    <row r="1230" spans="2:3" s="675" customFormat="1">
      <c r="B1230" s="794"/>
      <c r="C1230" s="794"/>
    </row>
    <row r="1231" spans="2:3" s="675" customFormat="1">
      <c r="B1231" s="794"/>
      <c r="C1231" s="794"/>
    </row>
    <row r="1232" spans="2:3" s="675" customFormat="1">
      <c r="B1232" s="794"/>
      <c r="C1232" s="794"/>
    </row>
    <row r="1233" spans="2:3" s="675" customFormat="1">
      <c r="B1233" s="794"/>
      <c r="C1233" s="794"/>
    </row>
    <row r="1234" spans="2:3" s="675" customFormat="1">
      <c r="B1234" s="794"/>
      <c r="C1234" s="794"/>
    </row>
    <row r="1235" spans="2:3" s="675" customFormat="1">
      <c r="B1235" s="794"/>
      <c r="C1235" s="794"/>
    </row>
    <row r="1236" spans="2:3" s="675" customFormat="1">
      <c r="B1236" s="794"/>
      <c r="C1236" s="794"/>
    </row>
    <row r="1237" spans="2:3" s="675" customFormat="1">
      <c r="B1237" s="794"/>
      <c r="C1237" s="794"/>
    </row>
    <row r="1238" spans="2:3" s="675" customFormat="1">
      <c r="B1238" s="794"/>
      <c r="C1238" s="794"/>
    </row>
    <row r="1239" spans="2:3" s="675" customFormat="1">
      <c r="B1239" s="794"/>
      <c r="C1239" s="794"/>
    </row>
    <row r="1240" spans="2:3" s="675" customFormat="1">
      <c r="B1240" s="794"/>
      <c r="C1240" s="794"/>
    </row>
    <row r="1241" spans="2:3" s="675" customFormat="1">
      <c r="B1241" s="794"/>
      <c r="C1241" s="794"/>
    </row>
    <row r="1242" spans="2:3" s="675" customFormat="1">
      <c r="B1242" s="794"/>
      <c r="C1242" s="794"/>
    </row>
    <row r="1243" spans="2:3" s="675" customFormat="1">
      <c r="B1243" s="794"/>
      <c r="C1243" s="794"/>
    </row>
    <row r="1244" spans="2:3" s="675" customFormat="1">
      <c r="B1244" s="794"/>
      <c r="C1244" s="794"/>
    </row>
    <row r="1245" spans="2:3" s="675" customFormat="1">
      <c r="B1245" s="794"/>
      <c r="C1245" s="794"/>
    </row>
    <row r="1246" spans="2:3" s="675" customFormat="1">
      <c r="B1246" s="794"/>
      <c r="C1246" s="794"/>
    </row>
    <row r="1247" spans="2:3" s="675" customFormat="1">
      <c r="B1247" s="794"/>
      <c r="C1247" s="794"/>
    </row>
    <row r="1248" spans="2:3" s="675" customFormat="1">
      <c r="B1248" s="794"/>
      <c r="C1248" s="794"/>
    </row>
    <row r="1249" spans="2:3" s="675" customFormat="1">
      <c r="B1249" s="794"/>
      <c r="C1249" s="794"/>
    </row>
    <row r="1250" spans="2:3" s="675" customFormat="1">
      <c r="B1250" s="794"/>
      <c r="C1250" s="794"/>
    </row>
    <row r="1251" spans="2:3" s="675" customFormat="1">
      <c r="B1251" s="794"/>
      <c r="C1251" s="794"/>
    </row>
    <row r="1252" spans="2:3" s="675" customFormat="1">
      <c r="B1252" s="794"/>
      <c r="C1252" s="794"/>
    </row>
    <row r="1253" spans="2:3" s="675" customFormat="1">
      <c r="B1253" s="794"/>
      <c r="C1253" s="794"/>
    </row>
    <row r="1254" spans="2:3" s="675" customFormat="1">
      <c r="B1254" s="794"/>
      <c r="C1254" s="794"/>
    </row>
    <row r="1255" spans="2:3" s="675" customFormat="1">
      <c r="B1255" s="794"/>
      <c r="C1255" s="794"/>
    </row>
    <row r="1256" spans="2:3" s="675" customFormat="1">
      <c r="B1256" s="794"/>
      <c r="C1256" s="794"/>
    </row>
    <row r="1257" spans="2:3" s="675" customFormat="1">
      <c r="B1257" s="794"/>
      <c r="C1257" s="794"/>
    </row>
    <row r="1258" spans="2:3" s="675" customFormat="1">
      <c r="B1258" s="794"/>
      <c r="C1258" s="794"/>
    </row>
    <row r="1259" spans="2:3" s="675" customFormat="1">
      <c r="B1259" s="794"/>
      <c r="C1259" s="794"/>
    </row>
    <row r="1260" spans="2:3" s="675" customFormat="1">
      <c r="B1260" s="794"/>
      <c r="C1260" s="794"/>
    </row>
    <row r="1261" spans="2:3" s="675" customFormat="1">
      <c r="B1261" s="794"/>
      <c r="C1261" s="794"/>
    </row>
    <row r="1262" spans="2:3" s="675" customFormat="1">
      <c r="B1262" s="794"/>
      <c r="C1262" s="794"/>
    </row>
    <row r="1263" spans="2:3" s="675" customFormat="1">
      <c r="B1263" s="794"/>
      <c r="C1263" s="794"/>
    </row>
    <row r="1264" spans="2:3" s="675" customFormat="1">
      <c r="B1264" s="794"/>
      <c r="C1264" s="794"/>
    </row>
    <row r="1265" spans="2:3" s="675" customFormat="1">
      <c r="B1265" s="794"/>
      <c r="C1265" s="794"/>
    </row>
    <row r="1266" spans="2:3" s="675" customFormat="1">
      <c r="B1266" s="794"/>
      <c r="C1266" s="794"/>
    </row>
    <row r="1267" spans="2:3" s="675" customFormat="1">
      <c r="B1267" s="794"/>
      <c r="C1267" s="794"/>
    </row>
    <row r="1268" spans="2:3" s="675" customFormat="1">
      <c r="B1268" s="794"/>
      <c r="C1268" s="794"/>
    </row>
    <row r="1269" spans="2:3" s="675" customFormat="1">
      <c r="B1269" s="794"/>
      <c r="C1269" s="794"/>
    </row>
    <row r="1270" spans="2:3" s="675" customFormat="1">
      <c r="B1270" s="794"/>
      <c r="C1270" s="794"/>
    </row>
    <row r="1271" spans="2:3" s="675" customFormat="1">
      <c r="B1271" s="794"/>
      <c r="C1271" s="794"/>
    </row>
    <row r="1272" spans="2:3" s="675" customFormat="1">
      <c r="B1272" s="794"/>
      <c r="C1272" s="794"/>
    </row>
    <row r="1273" spans="2:3" s="675" customFormat="1">
      <c r="B1273" s="794"/>
      <c r="C1273" s="794"/>
    </row>
    <row r="1274" spans="2:3" s="675" customFormat="1">
      <c r="B1274" s="794"/>
      <c r="C1274" s="794"/>
    </row>
    <row r="1275" spans="2:3" s="675" customFormat="1">
      <c r="B1275" s="794"/>
      <c r="C1275" s="794"/>
    </row>
    <row r="1276" spans="2:3" s="675" customFormat="1">
      <c r="B1276" s="794"/>
      <c r="C1276" s="794"/>
    </row>
    <row r="1277" spans="2:3" s="675" customFormat="1">
      <c r="B1277" s="794"/>
      <c r="C1277" s="794"/>
    </row>
    <row r="1278" spans="2:3" s="675" customFormat="1">
      <c r="B1278" s="794"/>
      <c r="C1278" s="794"/>
    </row>
    <row r="1279" spans="2:3" s="675" customFormat="1">
      <c r="B1279" s="794"/>
      <c r="C1279" s="794"/>
    </row>
    <row r="1280" spans="2:3" s="675" customFormat="1">
      <c r="B1280" s="794"/>
      <c r="C1280" s="794"/>
    </row>
    <row r="1281" spans="2:3" s="675" customFormat="1">
      <c r="B1281" s="794"/>
      <c r="C1281" s="794"/>
    </row>
    <row r="1282" spans="2:3" s="675" customFormat="1">
      <c r="B1282" s="794"/>
      <c r="C1282" s="794"/>
    </row>
    <row r="1283" spans="2:3" s="675" customFormat="1">
      <c r="B1283" s="794"/>
      <c r="C1283" s="794"/>
    </row>
    <row r="1284" spans="2:3" s="675" customFormat="1">
      <c r="B1284" s="794"/>
      <c r="C1284" s="794"/>
    </row>
    <row r="1285" spans="2:3" s="675" customFormat="1">
      <c r="B1285" s="794"/>
      <c r="C1285" s="794"/>
    </row>
    <row r="1286" spans="2:3" s="675" customFormat="1">
      <c r="B1286" s="794"/>
      <c r="C1286" s="794"/>
    </row>
    <row r="1287" spans="2:3" s="675" customFormat="1">
      <c r="B1287" s="794"/>
      <c r="C1287" s="794"/>
    </row>
    <row r="1288" spans="2:3" s="675" customFormat="1">
      <c r="B1288" s="794"/>
      <c r="C1288" s="794"/>
    </row>
    <row r="1289" spans="2:3" s="675" customFormat="1">
      <c r="B1289" s="794"/>
      <c r="C1289" s="794"/>
    </row>
    <row r="1290" spans="2:3" s="675" customFormat="1">
      <c r="B1290" s="794"/>
      <c r="C1290" s="794"/>
    </row>
    <row r="1291" spans="2:3" s="675" customFormat="1">
      <c r="B1291" s="794"/>
      <c r="C1291" s="794"/>
    </row>
    <row r="1292" spans="2:3" s="675" customFormat="1">
      <c r="B1292" s="794"/>
      <c r="C1292" s="794"/>
    </row>
    <row r="1293" spans="2:3" s="675" customFormat="1">
      <c r="B1293" s="794"/>
      <c r="C1293" s="794"/>
    </row>
    <row r="1294" spans="2:3" s="675" customFormat="1">
      <c r="B1294" s="794"/>
      <c r="C1294" s="794"/>
    </row>
    <row r="1295" spans="2:3" s="675" customFormat="1">
      <c r="B1295" s="794"/>
      <c r="C1295" s="794"/>
    </row>
    <row r="1296" spans="2:3" s="675" customFormat="1">
      <c r="B1296" s="794"/>
      <c r="C1296" s="794"/>
    </row>
    <row r="1297" spans="2:3" s="675" customFormat="1">
      <c r="B1297" s="794"/>
      <c r="C1297" s="794"/>
    </row>
    <row r="1298" spans="2:3" s="675" customFormat="1">
      <c r="B1298" s="794"/>
      <c r="C1298" s="794"/>
    </row>
    <row r="1299" spans="2:3" s="675" customFormat="1">
      <c r="B1299" s="794"/>
      <c r="C1299" s="794"/>
    </row>
    <row r="1300" spans="2:3" s="675" customFormat="1">
      <c r="B1300" s="794"/>
      <c r="C1300" s="794"/>
    </row>
    <row r="1301" spans="2:3" s="675" customFormat="1">
      <c r="B1301" s="794"/>
      <c r="C1301" s="794"/>
    </row>
    <row r="1302" spans="2:3" s="675" customFormat="1">
      <c r="B1302" s="794"/>
      <c r="C1302" s="794"/>
    </row>
    <row r="1303" spans="2:3" s="675" customFormat="1">
      <c r="B1303" s="794"/>
      <c r="C1303" s="794"/>
    </row>
    <row r="1304" spans="2:3" s="675" customFormat="1">
      <c r="B1304" s="794"/>
      <c r="C1304" s="794"/>
    </row>
    <row r="1305" spans="2:3" s="675" customFormat="1">
      <c r="B1305" s="794"/>
      <c r="C1305" s="794"/>
    </row>
    <row r="1306" spans="2:3" s="675" customFormat="1">
      <c r="B1306" s="794"/>
      <c r="C1306" s="794"/>
    </row>
    <row r="1307" spans="2:3" s="675" customFormat="1">
      <c r="B1307" s="794"/>
      <c r="C1307" s="794"/>
    </row>
    <row r="1308" spans="2:3" s="675" customFormat="1">
      <c r="B1308" s="794"/>
      <c r="C1308" s="794"/>
    </row>
    <row r="1309" spans="2:3" s="675" customFormat="1">
      <c r="B1309" s="794"/>
      <c r="C1309" s="794"/>
    </row>
    <row r="1310" spans="2:3" s="675" customFormat="1">
      <c r="B1310" s="794"/>
      <c r="C1310" s="794"/>
    </row>
    <row r="1311" spans="2:3" s="675" customFormat="1">
      <c r="B1311" s="794"/>
      <c r="C1311" s="794"/>
    </row>
    <row r="1312" spans="2:3" s="675" customFormat="1">
      <c r="B1312" s="794"/>
      <c r="C1312" s="794"/>
    </row>
    <row r="1313" spans="2:3" s="675" customFormat="1">
      <c r="B1313" s="794"/>
      <c r="C1313" s="794"/>
    </row>
    <row r="1314" spans="2:3" s="675" customFormat="1">
      <c r="B1314" s="794"/>
      <c r="C1314" s="794"/>
    </row>
    <row r="1315" spans="2:3" s="675" customFormat="1">
      <c r="B1315" s="794"/>
      <c r="C1315" s="794"/>
    </row>
    <row r="1316" spans="2:3" s="675" customFormat="1">
      <c r="B1316" s="794"/>
      <c r="C1316" s="794"/>
    </row>
    <row r="1317" spans="2:3" s="675" customFormat="1">
      <c r="B1317" s="794"/>
      <c r="C1317" s="794"/>
    </row>
    <row r="1318" spans="2:3" s="675" customFormat="1">
      <c r="B1318" s="794"/>
      <c r="C1318" s="794"/>
    </row>
    <row r="1319" spans="2:3" s="675" customFormat="1">
      <c r="B1319" s="794"/>
      <c r="C1319" s="794"/>
    </row>
    <row r="1320" spans="2:3" s="675" customFormat="1">
      <c r="B1320" s="794"/>
      <c r="C1320" s="794"/>
    </row>
    <row r="1321" spans="2:3" s="675" customFormat="1">
      <c r="B1321" s="794"/>
      <c r="C1321" s="794"/>
    </row>
    <row r="1322" spans="2:3" s="675" customFormat="1">
      <c r="B1322" s="794"/>
      <c r="C1322" s="794"/>
    </row>
    <row r="1323" spans="2:3" s="675" customFormat="1">
      <c r="B1323" s="794"/>
      <c r="C1323" s="794"/>
    </row>
    <row r="1324" spans="2:3" s="675" customFormat="1">
      <c r="B1324" s="794"/>
      <c r="C1324" s="794"/>
    </row>
    <row r="1325" spans="2:3" s="675" customFormat="1">
      <c r="B1325" s="794"/>
      <c r="C1325" s="794"/>
    </row>
    <row r="1326" spans="2:3" s="675" customFormat="1">
      <c r="B1326" s="794"/>
      <c r="C1326" s="794"/>
    </row>
    <row r="1327" spans="2:3" s="675" customFormat="1">
      <c r="B1327" s="794"/>
      <c r="C1327" s="794"/>
    </row>
    <row r="1328" spans="2:3" s="675" customFormat="1">
      <c r="B1328" s="794"/>
      <c r="C1328" s="794"/>
    </row>
    <row r="1329" spans="2:3" s="675" customFormat="1">
      <c r="B1329" s="794"/>
      <c r="C1329" s="794"/>
    </row>
    <row r="1330" spans="2:3" s="675" customFormat="1">
      <c r="B1330" s="794"/>
      <c r="C1330" s="794"/>
    </row>
    <row r="1331" spans="2:3" s="675" customFormat="1">
      <c r="B1331" s="794"/>
      <c r="C1331" s="794"/>
    </row>
    <row r="1332" spans="2:3" s="675" customFormat="1">
      <c r="B1332" s="794"/>
      <c r="C1332" s="794"/>
    </row>
    <row r="1333" spans="2:3" s="675" customFormat="1">
      <c r="B1333" s="794"/>
      <c r="C1333" s="794"/>
    </row>
    <row r="1334" spans="2:3" s="675" customFormat="1">
      <c r="B1334" s="794"/>
      <c r="C1334" s="794"/>
    </row>
    <row r="1335" spans="2:3" s="675" customFormat="1">
      <c r="B1335" s="794"/>
      <c r="C1335" s="794"/>
    </row>
    <row r="1336" spans="2:3" s="675" customFormat="1">
      <c r="B1336" s="794"/>
      <c r="C1336" s="794"/>
    </row>
    <row r="1337" spans="2:3" s="675" customFormat="1">
      <c r="B1337" s="794"/>
      <c r="C1337" s="794"/>
    </row>
    <row r="1338" spans="2:3" s="675" customFormat="1">
      <c r="B1338" s="794"/>
      <c r="C1338" s="794"/>
    </row>
    <row r="1339" spans="2:3" s="675" customFormat="1">
      <c r="B1339" s="794"/>
      <c r="C1339" s="794"/>
    </row>
    <row r="1340" spans="2:3" s="675" customFormat="1">
      <c r="B1340" s="794"/>
      <c r="C1340" s="794"/>
    </row>
    <row r="1341" spans="2:3" s="675" customFormat="1">
      <c r="B1341" s="794"/>
      <c r="C1341" s="794"/>
    </row>
    <row r="1342" spans="2:3" s="675" customFormat="1">
      <c r="B1342" s="794"/>
      <c r="C1342" s="794"/>
    </row>
    <row r="1343" spans="2:3" s="675" customFormat="1">
      <c r="B1343" s="794"/>
      <c r="C1343" s="794"/>
    </row>
    <row r="1344" spans="2:3" s="675" customFormat="1">
      <c r="B1344" s="794"/>
      <c r="C1344" s="794"/>
    </row>
    <row r="1345" spans="2:3" s="675" customFormat="1">
      <c r="B1345" s="794"/>
      <c r="C1345" s="794"/>
    </row>
    <row r="1346" spans="2:3" s="675" customFormat="1">
      <c r="B1346" s="794"/>
      <c r="C1346" s="794"/>
    </row>
    <row r="1347" spans="2:3" s="675" customFormat="1">
      <c r="B1347" s="794"/>
      <c r="C1347" s="794"/>
    </row>
    <row r="1348" spans="2:3" s="675" customFormat="1">
      <c r="B1348" s="794"/>
      <c r="C1348" s="794"/>
    </row>
    <row r="1349" spans="2:3" s="675" customFormat="1">
      <c r="B1349" s="794"/>
      <c r="C1349" s="794"/>
    </row>
    <row r="1350" spans="2:3" s="675" customFormat="1">
      <c r="B1350" s="794"/>
      <c r="C1350" s="794"/>
    </row>
    <row r="1351" spans="2:3" s="675" customFormat="1">
      <c r="B1351" s="794"/>
      <c r="C1351" s="794"/>
    </row>
    <row r="1352" spans="2:3" s="675" customFormat="1">
      <c r="B1352" s="794"/>
      <c r="C1352" s="794"/>
    </row>
    <row r="1353" spans="2:3" s="675" customFormat="1">
      <c r="B1353" s="794"/>
      <c r="C1353" s="794"/>
    </row>
    <row r="1354" spans="2:3" s="675" customFormat="1">
      <c r="B1354" s="794"/>
      <c r="C1354" s="794"/>
    </row>
    <row r="1355" spans="2:3" s="675" customFormat="1">
      <c r="B1355" s="794"/>
      <c r="C1355" s="794"/>
    </row>
    <row r="1356" spans="2:3" s="675" customFormat="1">
      <c r="B1356" s="794"/>
      <c r="C1356" s="794"/>
    </row>
    <row r="1357" spans="2:3" s="675" customFormat="1">
      <c r="B1357" s="794"/>
      <c r="C1357" s="794"/>
    </row>
    <row r="1358" spans="2:3" s="675" customFormat="1">
      <c r="B1358" s="794"/>
      <c r="C1358" s="794"/>
    </row>
    <row r="1359" spans="2:3" s="675" customFormat="1">
      <c r="B1359" s="794"/>
      <c r="C1359" s="794"/>
    </row>
    <row r="1360" spans="2:3" s="675" customFormat="1">
      <c r="B1360" s="794"/>
      <c r="C1360" s="794"/>
    </row>
    <row r="1361" spans="2:3" s="675" customFormat="1">
      <c r="B1361" s="794"/>
      <c r="C1361" s="794"/>
    </row>
    <row r="1362" spans="2:3" s="675" customFormat="1">
      <c r="B1362" s="794"/>
      <c r="C1362" s="794"/>
    </row>
    <row r="1363" spans="2:3" s="675" customFormat="1">
      <c r="B1363" s="794"/>
      <c r="C1363" s="794"/>
    </row>
    <row r="1364" spans="2:3" s="675" customFormat="1">
      <c r="B1364" s="794"/>
      <c r="C1364" s="794"/>
    </row>
    <row r="1365" spans="2:3" s="675" customFormat="1">
      <c r="B1365" s="794"/>
      <c r="C1365" s="794"/>
    </row>
    <row r="1366" spans="2:3" s="675" customFormat="1">
      <c r="B1366" s="794"/>
      <c r="C1366" s="794"/>
    </row>
    <row r="1367" spans="2:3" s="675" customFormat="1">
      <c r="B1367" s="794"/>
      <c r="C1367" s="794"/>
    </row>
    <row r="1368" spans="2:3" s="675" customFormat="1">
      <c r="B1368" s="794"/>
      <c r="C1368" s="794"/>
    </row>
    <row r="1369" spans="2:3" s="675" customFormat="1">
      <c r="B1369" s="794"/>
      <c r="C1369" s="794"/>
    </row>
    <row r="1370" spans="2:3" s="675" customFormat="1">
      <c r="B1370" s="794"/>
      <c r="C1370" s="794"/>
    </row>
    <row r="1371" spans="2:3" s="675" customFormat="1">
      <c r="B1371" s="794"/>
      <c r="C1371" s="794"/>
    </row>
    <row r="1372" spans="2:3" s="675" customFormat="1">
      <c r="B1372" s="794"/>
      <c r="C1372" s="794"/>
    </row>
    <row r="1373" spans="2:3" s="675" customFormat="1">
      <c r="B1373" s="794"/>
      <c r="C1373" s="794"/>
    </row>
    <row r="1374" spans="2:3" s="675" customFormat="1">
      <c r="B1374" s="794"/>
      <c r="C1374" s="794"/>
    </row>
    <row r="1375" spans="2:3" s="675" customFormat="1">
      <c r="B1375" s="794"/>
      <c r="C1375" s="794"/>
    </row>
    <row r="1376" spans="2:3" s="675" customFormat="1">
      <c r="B1376" s="794"/>
      <c r="C1376" s="794"/>
    </row>
    <row r="1377" spans="2:3" s="675" customFormat="1">
      <c r="B1377" s="794"/>
      <c r="C1377" s="794"/>
    </row>
    <row r="1378" spans="2:3" s="675" customFormat="1">
      <c r="B1378" s="794"/>
      <c r="C1378" s="794"/>
    </row>
    <row r="1379" spans="2:3" s="675" customFormat="1">
      <c r="B1379" s="794"/>
      <c r="C1379" s="794"/>
    </row>
    <row r="1380" spans="2:3" s="675" customFormat="1">
      <c r="B1380" s="794"/>
      <c r="C1380" s="794"/>
    </row>
    <row r="1381" spans="2:3" s="675" customFormat="1">
      <c r="B1381" s="794"/>
      <c r="C1381" s="794"/>
    </row>
    <row r="1382" spans="2:3" s="675" customFormat="1">
      <c r="B1382" s="794"/>
      <c r="C1382" s="794"/>
    </row>
    <row r="1383" spans="2:3" s="675" customFormat="1">
      <c r="B1383" s="794"/>
      <c r="C1383" s="794"/>
    </row>
    <row r="1384" spans="2:3" s="675" customFormat="1">
      <c r="B1384" s="794"/>
      <c r="C1384" s="794"/>
    </row>
    <row r="1385" spans="2:3" s="675" customFormat="1">
      <c r="B1385" s="794"/>
      <c r="C1385" s="794"/>
    </row>
    <row r="1386" spans="2:3" s="675" customFormat="1">
      <c r="B1386" s="794"/>
      <c r="C1386" s="794"/>
    </row>
    <row r="1387" spans="2:3" s="675" customFormat="1">
      <c r="B1387" s="794"/>
      <c r="C1387" s="794"/>
    </row>
    <row r="1388" spans="2:3" s="675" customFormat="1">
      <c r="B1388" s="794"/>
      <c r="C1388" s="794"/>
    </row>
    <row r="1389" spans="2:3" s="675" customFormat="1">
      <c r="B1389" s="794"/>
      <c r="C1389" s="794"/>
    </row>
    <row r="1390" spans="2:3" s="675" customFormat="1">
      <c r="B1390" s="794"/>
      <c r="C1390" s="794"/>
    </row>
    <row r="1391" spans="2:3" s="675" customFormat="1">
      <c r="B1391" s="794"/>
      <c r="C1391" s="794"/>
    </row>
    <row r="1392" spans="2:3" s="675" customFormat="1">
      <c r="B1392" s="794"/>
      <c r="C1392" s="794"/>
    </row>
    <row r="1393" spans="2:3" s="675" customFormat="1">
      <c r="B1393" s="794"/>
      <c r="C1393" s="794"/>
    </row>
    <row r="1394" spans="2:3" s="675" customFormat="1">
      <c r="B1394" s="794"/>
      <c r="C1394" s="794"/>
    </row>
    <row r="1395" spans="2:3" s="675" customFormat="1">
      <c r="B1395" s="794"/>
      <c r="C1395" s="794"/>
    </row>
    <row r="1396" spans="2:3" s="675" customFormat="1">
      <c r="B1396" s="794"/>
      <c r="C1396" s="794"/>
    </row>
    <row r="1397" spans="2:3" s="675" customFormat="1">
      <c r="B1397" s="794"/>
      <c r="C1397" s="794"/>
    </row>
    <row r="1398" spans="2:3" s="675" customFormat="1">
      <c r="B1398" s="794"/>
      <c r="C1398" s="794"/>
    </row>
    <row r="1399" spans="2:3" s="675" customFormat="1">
      <c r="B1399" s="794"/>
      <c r="C1399" s="794"/>
    </row>
    <row r="1400" spans="2:3" s="675" customFormat="1">
      <c r="B1400" s="794"/>
      <c r="C1400" s="794"/>
    </row>
    <row r="1401" spans="2:3" s="675" customFormat="1">
      <c r="B1401" s="794"/>
      <c r="C1401" s="794"/>
    </row>
    <row r="1402" spans="2:3" s="675" customFormat="1">
      <c r="B1402" s="794"/>
      <c r="C1402" s="794"/>
    </row>
    <row r="1403" spans="2:3" s="675" customFormat="1">
      <c r="B1403" s="794"/>
      <c r="C1403" s="794"/>
    </row>
    <row r="1404" spans="2:3" s="675" customFormat="1">
      <c r="B1404" s="794"/>
      <c r="C1404" s="794"/>
    </row>
    <row r="1405" spans="2:3" s="675" customFormat="1">
      <c r="B1405" s="794"/>
      <c r="C1405" s="794"/>
    </row>
    <row r="1406" spans="2:3" s="675" customFormat="1">
      <c r="B1406" s="794"/>
      <c r="C1406" s="794"/>
    </row>
    <row r="1407" spans="2:3" s="675" customFormat="1">
      <c r="B1407" s="794"/>
      <c r="C1407" s="794"/>
    </row>
    <row r="1408" spans="2:3" s="675" customFormat="1">
      <c r="B1408" s="794"/>
      <c r="C1408" s="794"/>
    </row>
    <row r="1409" spans="2:3" s="675" customFormat="1">
      <c r="B1409" s="794"/>
      <c r="C1409" s="794"/>
    </row>
    <row r="1410" spans="2:3" s="675" customFormat="1">
      <c r="B1410" s="794"/>
      <c r="C1410" s="794"/>
    </row>
    <row r="1411" spans="2:3" s="675" customFormat="1">
      <c r="B1411" s="794"/>
      <c r="C1411" s="794"/>
    </row>
    <row r="1412" spans="2:3" s="675" customFormat="1">
      <c r="B1412" s="794"/>
      <c r="C1412" s="794"/>
    </row>
    <row r="1413" spans="2:3" s="675" customFormat="1">
      <c r="B1413" s="794"/>
      <c r="C1413" s="794"/>
    </row>
    <row r="1414" spans="2:3" s="675" customFormat="1">
      <c r="B1414" s="794"/>
      <c r="C1414" s="794"/>
    </row>
    <row r="1415" spans="2:3" s="675" customFormat="1">
      <c r="B1415" s="794"/>
      <c r="C1415" s="794"/>
    </row>
    <row r="1416" spans="2:3" s="675" customFormat="1">
      <c r="B1416" s="794"/>
      <c r="C1416" s="794"/>
    </row>
    <row r="1417" spans="2:3" s="675" customFormat="1">
      <c r="B1417" s="794"/>
      <c r="C1417" s="794"/>
    </row>
    <row r="1418" spans="2:3" s="675" customFormat="1">
      <c r="B1418" s="794"/>
      <c r="C1418" s="794"/>
    </row>
    <row r="1419" spans="2:3" s="675" customFormat="1">
      <c r="B1419" s="794"/>
      <c r="C1419" s="794"/>
    </row>
    <row r="1420" spans="2:3" s="675" customFormat="1">
      <c r="B1420" s="794"/>
      <c r="C1420" s="794"/>
    </row>
    <row r="1421" spans="2:3" s="675" customFormat="1">
      <c r="B1421" s="794"/>
      <c r="C1421" s="794"/>
    </row>
    <row r="1422" spans="2:3" s="675" customFormat="1">
      <c r="B1422" s="794"/>
      <c r="C1422" s="794"/>
    </row>
    <row r="1423" spans="2:3" s="675" customFormat="1">
      <c r="B1423" s="794"/>
      <c r="C1423" s="794"/>
    </row>
    <row r="1424" spans="2:3" s="675" customFormat="1">
      <c r="B1424" s="794"/>
      <c r="C1424" s="794"/>
    </row>
    <row r="1425" spans="2:3" s="675" customFormat="1">
      <c r="B1425" s="794"/>
      <c r="C1425" s="794"/>
    </row>
    <row r="1426" spans="2:3" s="675" customFormat="1">
      <c r="B1426" s="794"/>
      <c r="C1426" s="794"/>
    </row>
    <row r="1427" spans="2:3" s="675" customFormat="1">
      <c r="B1427" s="794"/>
      <c r="C1427" s="794"/>
    </row>
    <row r="1428" spans="2:3" s="675" customFormat="1">
      <c r="B1428" s="794"/>
      <c r="C1428" s="794"/>
    </row>
    <row r="1429" spans="2:3" s="675" customFormat="1">
      <c r="B1429" s="794"/>
      <c r="C1429" s="794"/>
    </row>
    <row r="1430" spans="2:3" s="675" customFormat="1">
      <c r="B1430" s="794"/>
      <c r="C1430" s="794"/>
    </row>
    <row r="1431" spans="2:3" s="675" customFormat="1">
      <c r="B1431" s="794"/>
      <c r="C1431" s="794"/>
    </row>
    <row r="1432" spans="2:3" s="675" customFormat="1">
      <c r="B1432" s="794"/>
      <c r="C1432" s="794"/>
    </row>
    <row r="1433" spans="2:3" s="675" customFormat="1">
      <c r="B1433" s="794"/>
      <c r="C1433" s="794"/>
    </row>
    <row r="1434" spans="2:3" s="675" customFormat="1">
      <c r="B1434" s="794"/>
      <c r="C1434" s="794"/>
    </row>
    <row r="1435" spans="2:3" s="675" customFormat="1">
      <c r="B1435" s="794"/>
      <c r="C1435" s="794"/>
    </row>
    <row r="1436" spans="2:3" s="675" customFormat="1">
      <c r="B1436" s="794"/>
      <c r="C1436" s="794"/>
    </row>
    <row r="1437" spans="2:3" s="675" customFormat="1">
      <c r="B1437" s="794"/>
      <c r="C1437" s="794"/>
    </row>
    <row r="1438" spans="2:3" s="675" customFormat="1">
      <c r="B1438" s="794"/>
      <c r="C1438" s="794"/>
    </row>
    <row r="1439" spans="2:3" s="675" customFormat="1">
      <c r="B1439" s="794"/>
      <c r="C1439" s="794"/>
    </row>
    <row r="1440" spans="2:3" s="675" customFormat="1">
      <c r="B1440" s="794"/>
      <c r="C1440" s="794"/>
    </row>
    <row r="1441" spans="2:3" s="675" customFormat="1">
      <c r="B1441" s="794"/>
      <c r="C1441" s="794"/>
    </row>
    <row r="1442" spans="2:3" s="675" customFormat="1">
      <c r="B1442" s="794"/>
      <c r="C1442" s="794"/>
    </row>
    <row r="1443" spans="2:3" s="675" customFormat="1">
      <c r="B1443" s="794"/>
      <c r="C1443" s="794"/>
    </row>
    <row r="1444" spans="2:3" s="675" customFormat="1">
      <c r="B1444" s="794"/>
      <c r="C1444" s="794"/>
    </row>
    <row r="1445" spans="2:3" s="675" customFormat="1">
      <c r="B1445" s="794"/>
      <c r="C1445" s="794"/>
    </row>
    <row r="1446" spans="2:3" s="675" customFormat="1">
      <c r="B1446" s="794"/>
      <c r="C1446" s="794"/>
    </row>
    <row r="1447" spans="2:3" s="675" customFormat="1">
      <c r="B1447" s="794"/>
      <c r="C1447" s="794"/>
    </row>
    <row r="1448" spans="2:3" s="675" customFormat="1">
      <c r="B1448" s="794"/>
      <c r="C1448" s="794"/>
    </row>
    <row r="1449" spans="2:3" s="675" customFormat="1">
      <c r="B1449" s="794"/>
      <c r="C1449" s="794"/>
    </row>
    <row r="1450" spans="2:3" s="675" customFormat="1">
      <c r="B1450" s="794"/>
      <c r="C1450" s="794"/>
    </row>
    <row r="1451" spans="2:3" s="675" customFormat="1">
      <c r="B1451" s="794"/>
      <c r="C1451" s="794"/>
    </row>
    <row r="1452" spans="2:3" s="675" customFormat="1">
      <c r="B1452" s="794"/>
      <c r="C1452" s="794"/>
    </row>
    <row r="1453" spans="2:3" s="675" customFormat="1">
      <c r="B1453" s="794"/>
      <c r="C1453" s="794"/>
    </row>
    <row r="1454" spans="2:3" s="675" customFormat="1">
      <c r="B1454" s="794"/>
      <c r="C1454" s="794"/>
    </row>
    <row r="1455" spans="2:3" s="675" customFormat="1">
      <c r="B1455" s="794"/>
      <c r="C1455" s="794"/>
    </row>
    <row r="1456" spans="2:3" s="675" customFormat="1">
      <c r="B1456" s="794"/>
      <c r="C1456" s="794"/>
    </row>
    <row r="1457" spans="2:3" s="675" customFormat="1">
      <c r="B1457" s="794"/>
      <c r="C1457" s="794"/>
    </row>
    <row r="1458" spans="2:3" s="675" customFormat="1">
      <c r="B1458" s="794"/>
      <c r="C1458" s="794"/>
    </row>
    <row r="1459" spans="2:3" s="675" customFormat="1">
      <c r="B1459" s="794"/>
      <c r="C1459" s="794"/>
    </row>
    <row r="1460" spans="2:3" s="675" customFormat="1">
      <c r="B1460" s="794"/>
      <c r="C1460" s="794"/>
    </row>
    <row r="1461" spans="2:3" s="675" customFormat="1">
      <c r="B1461" s="794"/>
      <c r="C1461" s="794"/>
    </row>
    <row r="1462" spans="2:3" s="675" customFormat="1">
      <c r="B1462" s="794"/>
      <c r="C1462" s="794"/>
    </row>
    <row r="1463" spans="2:3" s="675" customFormat="1">
      <c r="B1463" s="794"/>
      <c r="C1463" s="794"/>
    </row>
    <row r="1464" spans="2:3" s="675" customFormat="1">
      <c r="B1464" s="794"/>
      <c r="C1464" s="794"/>
    </row>
    <row r="1465" spans="2:3" s="675" customFormat="1">
      <c r="B1465" s="794"/>
      <c r="C1465" s="794"/>
    </row>
    <row r="1466" spans="2:3" s="675" customFormat="1">
      <c r="B1466" s="794"/>
      <c r="C1466" s="794"/>
    </row>
    <row r="1467" spans="2:3" s="675" customFormat="1">
      <c r="B1467" s="794"/>
      <c r="C1467" s="794"/>
    </row>
    <row r="1468" spans="2:3" s="675" customFormat="1">
      <c r="B1468" s="794"/>
      <c r="C1468" s="794"/>
    </row>
    <row r="1469" spans="2:3" s="675" customFormat="1">
      <c r="B1469" s="794"/>
      <c r="C1469" s="794"/>
    </row>
    <row r="1470" spans="2:3" s="675" customFormat="1">
      <c r="B1470" s="794"/>
      <c r="C1470" s="794"/>
    </row>
    <row r="1471" spans="2:3" s="675" customFormat="1">
      <c r="B1471" s="794"/>
      <c r="C1471" s="794"/>
    </row>
    <row r="1472" spans="2:3" s="675" customFormat="1">
      <c r="B1472" s="794"/>
      <c r="C1472" s="794"/>
    </row>
    <row r="1473" spans="2:3" s="675" customFormat="1">
      <c r="B1473" s="794"/>
      <c r="C1473" s="794"/>
    </row>
    <row r="1474" spans="2:3" s="675" customFormat="1">
      <c r="B1474" s="794"/>
      <c r="C1474" s="794"/>
    </row>
    <row r="1475" spans="2:3" s="675" customFormat="1">
      <c r="B1475" s="794"/>
      <c r="C1475" s="794"/>
    </row>
    <row r="1476" spans="2:3" s="675" customFormat="1">
      <c r="B1476" s="794"/>
      <c r="C1476" s="794"/>
    </row>
    <row r="1477" spans="2:3" s="675" customFormat="1">
      <c r="B1477" s="794"/>
      <c r="C1477" s="794"/>
    </row>
    <row r="1478" spans="2:3" s="675" customFormat="1">
      <c r="B1478" s="794"/>
      <c r="C1478" s="794"/>
    </row>
    <row r="1479" spans="2:3" s="675" customFormat="1">
      <c r="B1479" s="794"/>
      <c r="C1479" s="794"/>
    </row>
    <row r="1480" spans="2:3" s="675" customFormat="1">
      <c r="B1480" s="794"/>
      <c r="C1480" s="794"/>
    </row>
    <row r="1481" spans="2:3" s="675" customFormat="1">
      <c r="B1481" s="794"/>
      <c r="C1481" s="794"/>
    </row>
    <row r="1482" spans="2:3" s="675" customFormat="1">
      <c r="B1482" s="794"/>
      <c r="C1482" s="794"/>
    </row>
    <row r="1483" spans="2:3" s="675" customFormat="1">
      <c r="B1483" s="794"/>
      <c r="C1483" s="794"/>
    </row>
    <row r="1484" spans="2:3" s="675" customFormat="1">
      <c r="B1484" s="794"/>
      <c r="C1484" s="794"/>
    </row>
    <row r="1485" spans="2:3" s="675" customFormat="1">
      <c r="B1485" s="794"/>
      <c r="C1485" s="794"/>
    </row>
    <row r="1486" spans="2:3" s="675" customFormat="1">
      <c r="B1486" s="794"/>
      <c r="C1486" s="794"/>
    </row>
    <row r="1487" spans="2:3" s="675" customFormat="1">
      <c r="B1487" s="794"/>
      <c r="C1487" s="794"/>
    </row>
    <row r="1488" spans="2:3" s="675" customFormat="1">
      <c r="B1488" s="794"/>
      <c r="C1488" s="794"/>
    </row>
    <row r="1489" spans="2:3" s="675" customFormat="1">
      <c r="B1489" s="794"/>
      <c r="C1489" s="794"/>
    </row>
    <row r="1490" spans="2:3" s="675" customFormat="1">
      <c r="B1490" s="794"/>
      <c r="C1490" s="794"/>
    </row>
    <row r="1491" spans="2:3" s="675" customFormat="1">
      <c r="B1491" s="794"/>
      <c r="C1491" s="794"/>
    </row>
    <row r="1492" spans="2:3" s="675" customFormat="1">
      <c r="B1492" s="794"/>
      <c r="C1492" s="794"/>
    </row>
    <row r="1493" spans="2:3" s="675" customFormat="1">
      <c r="B1493" s="794"/>
      <c r="C1493" s="794"/>
    </row>
    <row r="1494" spans="2:3" s="675" customFormat="1">
      <c r="B1494" s="794"/>
      <c r="C1494" s="794"/>
    </row>
    <row r="1495" spans="2:3" s="675" customFormat="1">
      <c r="B1495" s="794"/>
      <c r="C1495" s="794"/>
    </row>
    <row r="1496" spans="2:3" s="675" customFormat="1">
      <c r="B1496" s="794"/>
      <c r="C1496" s="794"/>
    </row>
    <row r="1497" spans="2:3" s="675" customFormat="1">
      <c r="B1497" s="794"/>
      <c r="C1497" s="794"/>
    </row>
    <row r="1498" spans="2:3" s="675" customFormat="1">
      <c r="B1498" s="794"/>
      <c r="C1498" s="794"/>
    </row>
    <row r="1499" spans="2:3" s="675" customFormat="1">
      <c r="B1499" s="794"/>
      <c r="C1499" s="794"/>
    </row>
    <row r="1500" spans="2:3" s="675" customFormat="1">
      <c r="B1500" s="794"/>
      <c r="C1500" s="794"/>
    </row>
    <row r="1501" spans="2:3" s="675" customFormat="1">
      <c r="B1501" s="794"/>
      <c r="C1501" s="794"/>
    </row>
    <row r="1502" spans="2:3" s="675" customFormat="1">
      <c r="B1502" s="794"/>
      <c r="C1502" s="794"/>
    </row>
    <row r="1503" spans="2:3" s="675" customFormat="1">
      <c r="B1503" s="794"/>
      <c r="C1503" s="794"/>
    </row>
    <row r="1504" spans="2:3" s="675" customFormat="1">
      <c r="B1504" s="794"/>
      <c r="C1504" s="794"/>
    </row>
    <row r="1505" spans="2:3" s="675" customFormat="1">
      <c r="B1505" s="794"/>
      <c r="C1505" s="794"/>
    </row>
    <row r="1506" spans="2:3" s="675" customFormat="1">
      <c r="B1506" s="794"/>
      <c r="C1506" s="794"/>
    </row>
    <row r="1507" spans="2:3" s="675" customFormat="1">
      <c r="B1507" s="794"/>
      <c r="C1507" s="794"/>
    </row>
    <row r="1508" spans="2:3" s="675" customFormat="1">
      <c r="B1508" s="794"/>
      <c r="C1508" s="794"/>
    </row>
    <row r="1509" spans="2:3" s="675" customFormat="1">
      <c r="B1509" s="794"/>
      <c r="C1509" s="794"/>
    </row>
    <row r="1510" spans="2:3" s="675" customFormat="1">
      <c r="B1510" s="794"/>
      <c r="C1510" s="794"/>
    </row>
    <row r="1511" spans="2:3" s="675" customFormat="1">
      <c r="B1511" s="794"/>
      <c r="C1511" s="794"/>
    </row>
    <row r="1512" spans="2:3" s="675" customFormat="1">
      <c r="B1512" s="794"/>
      <c r="C1512" s="794"/>
    </row>
    <row r="1513" spans="2:3" s="675" customFormat="1">
      <c r="B1513" s="794"/>
      <c r="C1513" s="794"/>
    </row>
    <row r="1514" spans="2:3" s="675" customFormat="1">
      <c r="B1514" s="794"/>
      <c r="C1514" s="794"/>
    </row>
    <row r="1515" spans="2:3" s="675" customFormat="1">
      <c r="B1515" s="794"/>
      <c r="C1515" s="794"/>
    </row>
    <row r="1516" spans="2:3" s="675" customFormat="1">
      <c r="B1516" s="794"/>
      <c r="C1516" s="794"/>
    </row>
    <row r="1517" spans="2:3" s="675" customFormat="1">
      <c r="B1517" s="794"/>
      <c r="C1517" s="794"/>
    </row>
    <row r="1518" spans="2:3" s="675" customFormat="1">
      <c r="B1518" s="794"/>
      <c r="C1518" s="794"/>
    </row>
    <row r="1519" spans="2:3" s="675" customFormat="1">
      <c r="B1519" s="794"/>
      <c r="C1519" s="794"/>
    </row>
    <row r="1520" spans="2:3" s="675" customFormat="1">
      <c r="B1520" s="794"/>
      <c r="C1520" s="794"/>
    </row>
    <row r="1521" spans="2:3" s="675" customFormat="1">
      <c r="B1521" s="794"/>
      <c r="C1521" s="794"/>
    </row>
    <row r="1522" spans="2:3" s="675" customFormat="1">
      <c r="B1522" s="794"/>
      <c r="C1522" s="794"/>
    </row>
    <row r="1523" spans="2:3" s="675" customFormat="1">
      <c r="B1523" s="794"/>
      <c r="C1523" s="794"/>
    </row>
    <row r="1524" spans="2:3" s="675" customFormat="1">
      <c r="B1524" s="794"/>
      <c r="C1524" s="794"/>
    </row>
    <row r="1525" spans="2:3" s="675" customFormat="1">
      <c r="B1525" s="794"/>
      <c r="C1525" s="794"/>
    </row>
    <row r="1526" spans="2:3" s="675" customFormat="1">
      <c r="B1526" s="794"/>
      <c r="C1526" s="794"/>
    </row>
    <row r="1527" spans="2:3" s="675" customFormat="1">
      <c r="B1527" s="794"/>
      <c r="C1527" s="794"/>
    </row>
    <row r="1528" spans="2:3" s="675" customFormat="1">
      <c r="B1528" s="794"/>
      <c r="C1528" s="794"/>
    </row>
    <row r="1529" spans="2:3" s="675" customFormat="1">
      <c r="B1529" s="794"/>
      <c r="C1529" s="794"/>
    </row>
    <row r="1530" spans="2:3" s="675" customFormat="1">
      <c r="B1530" s="794"/>
      <c r="C1530" s="794"/>
    </row>
    <row r="1531" spans="2:3" s="675" customFormat="1">
      <c r="B1531" s="794"/>
      <c r="C1531" s="794"/>
    </row>
    <row r="1532" spans="2:3" s="675" customFormat="1">
      <c r="B1532" s="794"/>
      <c r="C1532" s="794"/>
    </row>
    <row r="1533" spans="2:3" s="675" customFormat="1">
      <c r="B1533" s="794"/>
      <c r="C1533" s="794"/>
    </row>
    <row r="1534" spans="2:3" s="675" customFormat="1">
      <c r="B1534" s="794"/>
      <c r="C1534" s="794"/>
    </row>
    <row r="1535" spans="2:3" s="675" customFormat="1">
      <c r="B1535" s="794"/>
      <c r="C1535" s="794"/>
    </row>
    <row r="1536" spans="2:3" s="675" customFormat="1">
      <c r="B1536" s="794"/>
      <c r="C1536" s="794"/>
    </row>
    <row r="1537" spans="2:3" s="675" customFormat="1">
      <c r="B1537" s="794"/>
      <c r="C1537" s="794"/>
    </row>
    <row r="1538" spans="2:3" s="675" customFormat="1">
      <c r="B1538" s="794"/>
      <c r="C1538" s="794"/>
    </row>
    <row r="1539" spans="2:3" s="675" customFormat="1">
      <c r="B1539" s="794"/>
      <c r="C1539" s="794"/>
    </row>
    <row r="1540" spans="2:3" s="675" customFormat="1">
      <c r="B1540" s="794"/>
      <c r="C1540" s="794"/>
    </row>
    <row r="1541" spans="2:3" s="675" customFormat="1">
      <c r="B1541" s="794"/>
      <c r="C1541" s="794"/>
    </row>
    <row r="1542" spans="2:3" s="675" customFormat="1">
      <c r="B1542" s="794"/>
      <c r="C1542" s="794"/>
    </row>
    <row r="1543" spans="2:3" s="675" customFormat="1">
      <c r="B1543" s="794"/>
      <c r="C1543" s="794"/>
    </row>
    <row r="1544" spans="2:3" s="675" customFormat="1">
      <c r="B1544" s="794"/>
      <c r="C1544" s="794"/>
    </row>
    <row r="1545" spans="2:3" s="675" customFormat="1">
      <c r="B1545" s="794"/>
      <c r="C1545" s="794"/>
    </row>
    <row r="1546" spans="2:3" s="675" customFormat="1">
      <c r="B1546" s="794"/>
      <c r="C1546" s="794"/>
    </row>
    <row r="1547" spans="2:3" s="675" customFormat="1">
      <c r="B1547" s="794"/>
      <c r="C1547" s="794"/>
    </row>
    <row r="1548" spans="2:3" s="675" customFormat="1">
      <c r="B1548" s="794"/>
      <c r="C1548" s="794"/>
    </row>
    <row r="1549" spans="2:3" s="675" customFormat="1">
      <c r="B1549" s="794"/>
      <c r="C1549" s="794"/>
    </row>
    <row r="1550" spans="2:3" s="675" customFormat="1">
      <c r="B1550" s="794"/>
      <c r="C1550" s="794"/>
    </row>
    <row r="1551" spans="2:3" s="675" customFormat="1">
      <c r="B1551" s="794"/>
      <c r="C1551" s="794"/>
    </row>
    <row r="1552" spans="2:3" s="675" customFormat="1">
      <c r="B1552" s="794"/>
      <c r="C1552" s="794"/>
    </row>
    <row r="1553" spans="2:3" s="675" customFormat="1">
      <c r="B1553" s="794"/>
      <c r="C1553" s="794"/>
    </row>
    <row r="1554" spans="2:3" s="675" customFormat="1">
      <c r="B1554" s="794"/>
      <c r="C1554" s="794"/>
    </row>
    <row r="1555" spans="2:3" s="675" customFormat="1">
      <c r="B1555" s="794"/>
      <c r="C1555" s="794"/>
    </row>
    <row r="1556" spans="2:3" s="675" customFormat="1">
      <c r="B1556" s="794"/>
      <c r="C1556" s="794"/>
    </row>
    <row r="1557" spans="2:3" s="675" customFormat="1">
      <c r="B1557" s="794"/>
      <c r="C1557" s="794"/>
    </row>
    <row r="1558" spans="2:3" s="675" customFormat="1">
      <c r="B1558" s="794"/>
      <c r="C1558" s="794"/>
    </row>
    <row r="1559" spans="2:3" s="675" customFormat="1">
      <c r="B1559" s="794"/>
      <c r="C1559" s="794"/>
    </row>
    <row r="1560" spans="2:3" s="675" customFormat="1">
      <c r="B1560" s="794"/>
      <c r="C1560" s="794"/>
    </row>
    <row r="1561" spans="2:3" s="675" customFormat="1">
      <c r="B1561" s="794"/>
      <c r="C1561" s="794"/>
    </row>
    <row r="1562" spans="2:3" s="675" customFormat="1">
      <c r="B1562" s="794"/>
      <c r="C1562" s="794"/>
    </row>
    <row r="1563" spans="2:3" s="675" customFormat="1">
      <c r="B1563" s="794"/>
      <c r="C1563" s="794"/>
    </row>
    <row r="1564" spans="2:3" s="675" customFormat="1">
      <c r="B1564" s="794"/>
      <c r="C1564" s="794"/>
    </row>
    <row r="1565" spans="2:3" s="675" customFormat="1">
      <c r="B1565" s="794"/>
      <c r="C1565" s="794"/>
    </row>
    <row r="1566" spans="2:3" s="675" customFormat="1">
      <c r="B1566" s="794"/>
      <c r="C1566" s="794"/>
    </row>
    <row r="1567" spans="2:3" s="675" customFormat="1">
      <c r="B1567" s="794"/>
      <c r="C1567" s="794"/>
    </row>
    <row r="1568" spans="2:3" s="675" customFormat="1">
      <c r="B1568" s="794"/>
      <c r="C1568" s="794"/>
    </row>
    <row r="1569" spans="2:3" s="675" customFormat="1">
      <c r="B1569" s="794"/>
      <c r="C1569" s="794"/>
    </row>
    <row r="1570" spans="2:3" s="675" customFormat="1">
      <c r="B1570" s="794"/>
      <c r="C1570" s="794"/>
    </row>
    <row r="1571" spans="2:3" s="675" customFormat="1">
      <c r="B1571" s="794"/>
      <c r="C1571" s="794"/>
    </row>
    <row r="1572" spans="2:3" s="675" customFormat="1">
      <c r="B1572" s="794"/>
      <c r="C1572" s="794"/>
    </row>
    <row r="1573" spans="2:3" s="675" customFormat="1">
      <c r="B1573" s="794"/>
      <c r="C1573" s="794"/>
    </row>
    <row r="1574" spans="2:3" s="675" customFormat="1">
      <c r="B1574" s="794"/>
      <c r="C1574" s="794"/>
    </row>
    <row r="1575" spans="2:3" s="675" customFormat="1">
      <c r="B1575" s="794"/>
      <c r="C1575" s="794"/>
    </row>
    <row r="1576" spans="2:3" s="675" customFormat="1">
      <c r="B1576" s="794"/>
      <c r="C1576" s="794"/>
    </row>
    <row r="1577" spans="2:3" s="675" customFormat="1">
      <c r="B1577" s="794"/>
      <c r="C1577" s="794"/>
    </row>
    <row r="1578" spans="2:3" s="675" customFormat="1">
      <c r="B1578" s="794"/>
      <c r="C1578" s="794"/>
    </row>
    <row r="1579" spans="2:3" s="675" customFormat="1">
      <c r="B1579" s="794"/>
      <c r="C1579" s="794"/>
    </row>
    <row r="1580" spans="2:3" s="675" customFormat="1">
      <c r="B1580" s="794"/>
      <c r="C1580" s="794"/>
    </row>
    <row r="1581" spans="2:3" s="675" customFormat="1">
      <c r="B1581" s="794"/>
      <c r="C1581" s="794"/>
    </row>
    <row r="1582" spans="2:3" s="675" customFormat="1">
      <c r="B1582" s="794"/>
      <c r="C1582" s="794"/>
    </row>
    <row r="1583" spans="2:3" s="675" customFormat="1">
      <c r="B1583" s="794"/>
      <c r="C1583" s="794"/>
    </row>
    <row r="1584" spans="2:3" s="675" customFormat="1">
      <c r="B1584" s="794"/>
      <c r="C1584" s="794"/>
    </row>
    <row r="1585" spans="2:3" s="675" customFormat="1">
      <c r="B1585" s="794"/>
      <c r="C1585" s="794"/>
    </row>
    <row r="1586" spans="2:3" s="675" customFormat="1">
      <c r="B1586" s="794"/>
      <c r="C1586" s="794"/>
    </row>
    <row r="1587" spans="2:3" s="675" customFormat="1">
      <c r="B1587" s="794"/>
      <c r="C1587" s="794"/>
    </row>
    <row r="1588" spans="2:3" s="675" customFormat="1">
      <c r="B1588" s="794"/>
      <c r="C1588" s="794"/>
    </row>
    <row r="1589" spans="2:3" s="675" customFormat="1">
      <c r="B1589" s="794"/>
      <c r="C1589" s="794"/>
    </row>
    <row r="1590" spans="2:3" s="675" customFormat="1">
      <c r="B1590" s="794"/>
      <c r="C1590" s="794"/>
    </row>
    <row r="1591" spans="2:3" s="675" customFormat="1">
      <c r="B1591" s="794"/>
      <c r="C1591" s="794"/>
    </row>
    <row r="1592" spans="2:3" s="675" customFormat="1">
      <c r="B1592" s="794"/>
      <c r="C1592" s="794"/>
    </row>
    <row r="1593" spans="2:3" s="675" customFormat="1">
      <c r="B1593" s="794"/>
      <c r="C1593" s="794"/>
    </row>
    <row r="1594" spans="2:3" s="675" customFormat="1">
      <c r="B1594" s="794"/>
      <c r="C1594" s="794"/>
    </row>
    <row r="1595" spans="2:3" s="675" customFormat="1">
      <c r="B1595" s="794"/>
      <c r="C1595" s="794"/>
    </row>
    <row r="1596" spans="2:3" s="675" customFormat="1">
      <c r="B1596" s="794"/>
      <c r="C1596" s="794"/>
    </row>
    <row r="1597" spans="2:3" s="675" customFormat="1">
      <c r="B1597" s="794"/>
      <c r="C1597" s="794"/>
    </row>
    <row r="1598" spans="2:3" s="675" customFormat="1">
      <c r="B1598" s="794"/>
      <c r="C1598" s="794"/>
    </row>
    <row r="1599" spans="2:3" s="675" customFormat="1">
      <c r="B1599" s="794"/>
      <c r="C1599" s="794"/>
    </row>
    <row r="1600" spans="2:3" s="675" customFormat="1">
      <c r="B1600" s="794"/>
      <c r="C1600" s="794"/>
    </row>
    <row r="1601" spans="2:3" s="675" customFormat="1">
      <c r="B1601" s="794"/>
      <c r="C1601" s="794"/>
    </row>
    <row r="1602" spans="2:3" s="675" customFormat="1">
      <c r="B1602" s="794"/>
      <c r="C1602" s="794"/>
    </row>
    <row r="1603" spans="2:3" s="675" customFormat="1">
      <c r="B1603" s="794"/>
      <c r="C1603" s="794"/>
    </row>
    <row r="1604" spans="2:3" s="675" customFormat="1">
      <c r="B1604" s="794"/>
      <c r="C1604" s="794"/>
    </row>
    <row r="1605" spans="2:3" s="675" customFormat="1">
      <c r="B1605" s="794"/>
      <c r="C1605" s="794"/>
    </row>
    <row r="1606" spans="2:3" s="675" customFormat="1">
      <c r="B1606" s="794"/>
      <c r="C1606" s="794"/>
    </row>
    <row r="1607" spans="2:3" s="675" customFormat="1">
      <c r="B1607" s="794"/>
      <c r="C1607" s="794"/>
    </row>
    <row r="1608" spans="2:3" s="675" customFormat="1">
      <c r="B1608" s="794"/>
      <c r="C1608" s="794"/>
    </row>
    <row r="1609" spans="2:3" s="675" customFormat="1">
      <c r="B1609" s="794"/>
      <c r="C1609" s="794"/>
    </row>
    <row r="1610" spans="2:3" s="675" customFormat="1">
      <c r="B1610" s="794"/>
      <c r="C1610" s="794"/>
    </row>
    <row r="1611" spans="2:3" s="675" customFormat="1">
      <c r="B1611" s="794"/>
      <c r="C1611" s="794"/>
    </row>
    <row r="1612" spans="2:3" s="675" customFormat="1">
      <c r="B1612" s="794"/>
      <c r="C1612" s="794"/>
    </row>
    <row r="1613" spans="2:3" s="675" customFormat="1">
      <c r="B1613" s="794"/>
      <c r="C1613" s="794"/>
    </row>
    <row r="1614" spans="2:3" s="675" customFormat="1">
      <c r="B1614" s="794"/>
      <c r="C1614" s="794"/>
    </row>
    <row r="1615" spans="2:3" s="675" customFormat="1">
      <c r="B1615" s="794"/>
      <c r="C1615" s="794"/>
    </row>
    <row r="1616" spans="2:3" s="675" customFormat="1">
      <c r="B1616" s="794"/>
      <c r="C1616" s="794"/>
    </row>
    <row r="1617" spans="2:3" s="675" customFormat="1">
      <c r="B1617" s="794"/>
      <c r="C1617" s="794"/>
    </row>
    <row r="1618" spans="2:3" s="675" customFormat="1">
      <c r="B1618" s="794"/>
      <c r="C1618" s="794"/>
    </row>
    <row r="1619" spans="2:3" s="675" customFormat="1">
      <c r="B1619" s="794"/>
      <c r="C1619" s="794"/>
    </row>
    <row r="1620" spans="2:3" s="675" customFormat="1">
      <c r="B1620" s="794"/>
      <c r="C1620" s="794"/>
    </row>
    <row r="1621" spans="2:3" s="675" customFormat="1">
      <c r="B1621" s="794"/>
      <c r="C1621" s="794"/>
    </row>
    <row r="1622" spans="2:3" s="675" customFormat="1">
      <c r="B1622" s="794"/>
      <c r="C1622" s="794"/>
    </row>
    <row r="1623" spans="2:3" s="675" customFormat="1">
      <c r="B1623" s="794"/>
      <c r="C1623" s="794"/>
    </row>
    <row r="1624" spans="2:3" s="675" customFormat="1">
      <c r="B1624" s="794"/>
      <c r="C1624" s="794"/>
    </row>
    <row r="1625" spans="2:3" s="675" customFormat="1">
      <c r="B1625" s="794"/>
      <c r="C1625" s="794"/>
    </row>
    <row r="1626" spans="2:3" s="675" customFormat="1">
      <c r="B1626" s="794"/>
      <c r="C1626" s="794"/>
    </row>
    <row r="1627" spans="2:3" s="675" customFormat="1">
      <c r="B1627" s="794"/>
      <c r="C1627" s="794"/>
    </row>
    <row r="1628" spans="2:3" s="675" customFormat="1">
      <c r="B1628" s="794"/>
      <c r="C1628" s="794"/>
    </row>
    <row r="1629" spans="2:3" s="675" customFormat="1">
      <c r="B1629" s="794"/>
      <c r="C1629" s="794"/>
    </row>
    <row r="1630" spans="2:3" s="675" customFormat="1">
      <c r="B1630" s="794"/>
      <c r="C1630" s="794"/>
    </row>
    <row r="1631" spans="2:3" s="675" customFormat="1">
      <c r="B1631" s="794"/>
      <c r="C1631" s="794"/>
    </row>
    <row r="1632" spans="2:3" s="675" customFormat="1">
      <c r="B1632" s="794"/>
      <c r="C1632" s="794"/>
    </row>
    <row r="1633" spans="2:3" s="675" customFormat="1">
      <c r="B1633" s="794"/>
      <c r="C1633" s="794"/>
    </row>
    <row r="1634" spans="2:3" s="675" customFormat="1">
      <c r="B1634" s="794"/>
      <c r="C1634" s="794"/>
    </row>
    <row r="1635" spans="2:3" s="675" customFormat="1">
      <c r="B1635" s="794"/>
      <c r="C1635" s="794"/>
    </row>
    <row r="1636" spans="2:3" s="675" customFormat="1">
      <c r="B1636" s="794"/>
      <c r="C1636" s="794"/>
    </row>
    <row r="1637" spans="2:3" s="675" customFormat="1">
      <c r="B1637" s="794"/>
      <c r="C1637" s="794"/>
    </row>
    <row r="1638" spans="2:3" s="675" customFormat="1">
      <c r="B1638" s="794"/>
      <c r="C1638" s="794"/>
    </row>
    <row r="1639" spans="2:3" s="675" customFormat="1">
      <c r="B1639" s="794"/>
      <c r="C1639" s="794"/>
    </row>
    <row r="1640" spans="2:3" s="675" customFormat="1">
      <c r="B1640" s="794"/>
      <c r="C1640" s="794"/>
    </row>
    <row r="1641" spans="2:3" s="675" customFormat="1">
      <c r="B1641" s="794"/>
      <c r="C1641" s="794"/>
    </row>
    <row r="1642" spans="2:3" s="675" customFormat="1">
      <c r="B1642" s="794"/>
      <c r="C1642" s="794"/>
    </row>
    <row r="1643" spans="2:3" s="675" customFormat="1">
      <c r="B1643" s="794"/>
      <c r="C1643" s="794"/>
    </row>
    <row r="1644" spans="2:3" s="675" customFormat="1">
      <c r="B1644" s="794"/>
      <c r="C1644" s="794"/>
    </row>
    <row r="1645" spans="2:3" s="675" customFormat="1">
      <c r="B1645" s="794"/>
      <c r="C1645" s="794"/>
    </row>
    <row r="1646" spans="2:3" s="675" customFormat="1">
      <c r="B1646" s="794"/>
      <c r="C1646" s="794"/>
    </row>
    <row r="1647" spans="2:3" s="675" customFormat="1">
      <c r="B1647" s="794"/>
      <c r="C1647" s="794"/>
    </row>
    <row r="1648" spans="2:3" s="675" customFormat="1">
      <c r="B1648" s="794"/>
      <c r="C1648" s="794"/>
    </row>
    <row r="1649" spans="2:3" s="675" customFormat="1">
      <c r="B1649" s="794"/>
      <c r="C1649" s="794"/>
    </row>
    <row r="1650" spans="2:3" s="675" customFormat="1">
      <c r="B1650" s="794"/>
      <c r="C1650" s="794"/>
    </row>
    <row r="1651" spans="2:3" s="675" customFormat="1">
      <c r="B1651" s="794"/>
      <c r="C1651" s="794"/>
    </row>
    <row r="1652" spans="2:3" s="675" customFormat="1">
      <c r="B1652" s="794"/>
      <c r="C1652" s="794"/>
    </row>
    <row r="1653" spans="2:3" s="675" customFormat="1">
      <c r="B1653" s="794"/>
      <c r="C1653" s="794"/>
    </row>
    <row r="1654" spans="2:3" s="675" customFormat="1">
      <c r="B1654" s="794"/>
      <c r="C1654" s="794"/>
    </row>
    <row r="1655" spans="2:3" s="675" customFormat="1">
      <c r="B1655" s="794"/>
      <c r="C1655" s="794"/>
    </row>
    <row r="1656" spans="2:3" s="675" customFormat="1">
      <c r="B1656" s="794"/>
      <c r="C1656" s="794"/>
    </row>
    <row r="1657" spans="2:3" s="675" customFormat="1">
      <c r="B1657" s="794"/>
      <c r="C1657" s="794"/>
    </row>
    <row r="1658" spans="2:3" s="675" customFormat="1">
      <c r="B1658" s="794"/>
      <c r="C1658" s="794"/>
    </row>
    <row r="1659" spans="2:3" s="675" customFormat="1">
      <c r="B1659" s="794"/>
      <c r="C1659" s="794"/>
    </row>
    <row r="1660" spans="2:3" s="675" customFormat="1">
      <c r="B1660" s="794"/>
      <c r="C1660" s="794"/>
    </row>
    <row r="1661" spans="2:3" s="675" customFormat="1">
      <c r="B1661" s="794"/>
      <c r="C1661" s="794"/>
    </row>
    <row r="1662" spans="2:3" s="675" customFormat="1">
      <c r="B1662" s="794"/>
      <c r="C1662" s="794"/>
    </row>
    <row r="1663" spans="2:3" s="675" customFormat="1">
      <c r="B1663" s="794"/>
      <c r="C1663" s="794"/>
    </row>
    <row r="1664" spans="2:3" s="675" customFormat="1">
      <c r="B1664" s="794"/>
      <c r="C1664" s="794"/>
    </row>
    <row r="1665" spans="2:3" s="675" customFormat="1">
      <c r="B1665" s="794"/>
      <c r="C1665" s="794"/>
    </row>
    <row r="1666" spans="2:3" s="675" customFormat="1">
      <c r="B1666" s="794"/>
      <c r="C1666" s="794"/>
    </row>
    <row r="1667" spans="2:3" s="675" customFormat="1">
      <c r="B1667" s="794"/>
      <c r="C1667" s="794"/>
    </row>
    <row r="1668" spans="2:3" s="675" customFormat="1">
      <c r="B1668" s="794"/>
      <c r="C1668" s="794"/>
    </row>
    <row r="1669" spans="2:3" s="675" customFormat="1">
      <c r="B1669" s="794"/>
      <c r="C1669" s="794"/>
    </row>
    <row r="1670" spans="2:3" s="675" customFormat="1">
      <c r="B1670" s="794"/>
      <c r="C1670" s="794"/>
    </row>
    <row r="1671" spans="2:3" s="675" customFormat="1">
      <c r="B1671" s="794"/>
      <c r="C1671" s="794"/>
    </row>
    <row r="1672" spans="2:3" s="675" customFormat="1">
      <c r="B1672" s="794"/>
      <c r="C1672" s="794"/>
    </row>
    <row r="1673" spans="2:3" s="675" customFormat="1">
      <c r="B1673" s="794"/>
      <c r="C1673" s="794"/>
    </row>
    <row r="1674" spans="2:3" s="675" customFormat="1">
      <c r="B1674" s="794"/>
      <c r="C1674" s="794"/>
    </row>
    <row r="1675" spans="2:3" s="675" customFormat="1">
      <c r="B1675" s="794"/>
      <c r="C1675" s="794"/>
    </row>
    <row r="1676" spans="2:3" s="675" customFormat="1">
      <c r="B1676" s="794"/>
      <c r="C1676" s="794"/>
    </row>
    <row r="1677" spans="2:3" s="675" customFormat="1">
      <c r="B1677" s="794"/>
      <c r="C1677" s="794"/>
    </row>
    <row r="1678" spans="2:3" s="675" customFormat="1">
      <c r="B1678" s="794"/>
      <c r="C1678" s="794"/>
    </row>
    <row r="1679" spans="2:3" s="675" customFormat="1">
      <c r="B1679" s="794"/>
      <c r="C1679" s="794"/>
    </row>
    <row r="1680" spans="2:3" s="675" customFormat="1">
      <c r="B1680" s="794"/>
      <c r="C1680" s="794"/>
    </row>
    <row r="1681" spans="2:3" s="675" customFormat="1">
      <c r="B1681" s="794"/>
      <c r="C1681" s="794"/>
    </row>
    <row r="1682" spans="2:3" s="675" customFormat="1">
      <c r="B1682" s="794"/>
      <c r="C1682" s="794"/>
    </row>
    <row r="1683" spans="2:3" s="675" customFormat="1">
      <c r="B1683" s="794"/>
      <c r="C1683" s="794"/>
    </row>
    <row r="1684" spans="2:3" s="675" customFormat="1">
      <c r="B1684" s="794"/>
      <c r="C1684" s="794"/>
    </row>
    <row r="1685" spans="2:3" s="675" customFormat="1">
      <c r="B1685" s="794"/>
      <c r="C1685" s="794"/>
    </row>
    <row r="1686" spans="2:3" s="675" customFormat="1">
      <c r="B1686" s="794"/>
      <c r="C1686" s="794"/>
    </row>
    <row r="1687" spans="2:3" s="675" customFormat="1">
      <c r="B1687" s="794"/>
      <c r="C1687" s="794"/>
    </row>
    <row r="1688" spans="2:3" s="675" customFormat="1">
      <c r="B1688" s="794"/>
      <c r="C1688" s="794"/>
    </row>
    <row r="1689" spans="2:3" s="675" customFormat="1">
      <c r="B1689" s="794"/>
      <c r="C1689" s="794"/>
    </row>
    <row r="1690" spans="2:3" s="675" customFormat="1">
      <c r="B1690" s="794"/>
      <c r="C1690" s="794"/>
    </row>
    <row r="1691" spans="2:3" s="675" customFormat="1">
      <c r="B1691" s="794"/>
      <c r="C1691" s="794"/>
    </row>
    <row r="1692" spans="2:3" s="675" customFormat="1">
      <c r="B1692" s="794"/>
      <c r="C1692" s="794"/>
    </row>
    <row r="1693" spans="2:3" s="675" customFormat="1">
      <c r="B1693" s="794"/>
      <c r="C1693" s="794"/>
    </row>
    <row r="1694" spans="2:3" s="675" customFormat="1">
      <c r="B1694" s="794"/>
      <c r="C1694" s="794"/>
    </row>
    <row r="1695" spans="2:3" s="675" customFormat="1">
      <c r="B1695" s="794"/>
      <c r="C1695" s="794"/>
    </row>
    <row r="1696" spans="2:3" s="675" customFormat="1">
      <c r="B1696" s="794"/>
      <c r="C1696" s="794"/>
    </row>
    <row r="1697" spans="2:3" s="675" customFormat="1">
      <c r="B1697" s="794"/>
      <c r="C1697" s="794"/>
    </row>
    <row r="1698" spans="2:3" s="675" customFormat="1">
      <c r="B1698" s="794"/>
      <c r="C1698" s="794"/>
    </row>
    <row r="1699" spans="2:3" s="675" customFormat="1">
      <c r="B1699" s="794"/>
      <c r="C1699" s="794"/>
    </row>
    <row r="1700" spans="2:3" s="675" customFormat="1">
      <c r="B1700" s="794"/>
      <c r="C1700" s="794"/>
    </row>
    <row r="1701" spans="2:3" s="675" customFormat="1">
      <c r="B1701" s="794"/>
      <c r="C1701" s="794"/>
    </row>
    <row r="1702" spans="2:3" s="675" customFormat="1">
      <c r="B1702" s="794"/>
      <c r="C1702" s="794"/>
    </row>
    <row r="1703" spans="2:3" s="675" customFormat="1">
      <c r="B1703" s="794"/>
      <c r="C1703" s="794"/>
    </row>
    <row r="1704" spans="2:3" s="675" customFormat="1">
      <c r="B1704" s="794"/>
      <c r="C1704" s="794"/>
    </row>
    <row r="1705" spans="2:3" s="675" customFormat="1">
      <c r="B1705" s="794"/>
      <c r="C1705" s="794"/>
    </row>
    <row r="1706" spans="2:3" s="675" customFormat="1">
      <c r="B1706" s="794"/>
      <c r="C1706" s="794"/>
    </row>
    <row r="1707" spans="2:3" s="675" customFormat="1">
      <c r="B1707" s="794"/>
      <c r="C1707" s="794"/>
    </row>
    <row r="1708" spans="2:3" s="675" customFormat="1">
      <c r="B1708" s="794"/>
      <c r="C1708" s="794"/>
    </row>
    <row r="1709" spans="2:3" s="675" customFormat="1">
      <c r="B1709" s="794"/>
      <c r="C1709" s="794"/>
    </row>
    <row r="1710" spans="2:3" s="675" customFormat="1">
      <c r="B1710" s="794"/>
      <c r="C1710" s="794"/>
    </row>
    <row r="1711" spans="2:3" s="675" customFormat="1">
      <c r="B1711" s="794"/>
      <c r="C1711" s="794"/>
    </row>
    <row r="1712" spans="2:3" s="675" customFormat="1">
      <c r="B1712" s="794"/>
      <c r="C1712" s="794"/>
    </row>
    <row r="1713" spans="2:3" s="675" customFormat="1">
      <c r="B1713" s="794"/>
      <c r="C1713" s="794"/>
    </row>
    <row r="1714" spans="2:3" s="675" customFormat="1">
      <c r="B1714" s="794"/>
      <c r="C1714" s="794"/>
    </row>
    <row r="1715" spans="2:3" s="675" customFormat="1">
      <c r="B1715" s="794"/>
      <c r="C1715" s="794"/>
    </row>
    <row r="1716" spans="2:3" s="675" customFormat="1">
      <c r="B1716" s="794"/>
      <c r="C1716" s="794"/>
    </row>
    <row r="1717" spans="2:3" s="675" customFormat="1">
      <c r="B1717" s="794"/>
      <c r="C1717" s="794"/>
    </row>
    <row r="1718" spans="2:3" s="675" customFormat="1">
      <c r="B1718" s="794"/>
      <c r="C1718" s="794"/>
    </row>
    <row r="1719" spans="2:3" s="675" customFormat="1">
      <c r="B1719" s="794"/>
      <c r="C1719" s="794"/>
    </row>
    <row r="1720" spans="2:3" s="675" customFormat="1">
      <c r="B1720" s="794"/>
      <c r="C1720" s="794"/>
    </row>
    <row r="1721" spans="2:3" s="675" customFormat="1">
      <c r="B1721" s="794"/>
      <c r="C1721" s="794"/>
    </row>
    <row r="1722" spans="2:3" s="675" customFormat="1">
      <c r="B1722" s="794"/>
      <c r="C1722" s="794"/>
    </row>
    <row r="1723" spans="2:3" s="675" customFormat="1">
      <c r="B1723" s="794"/>
      <c r="C1723" s="794"/>
    </row>
    <row r="1724" spans="2:3" s="675" customFormat="1">
      <c r="B1724" s="794"/>
      <c r="C1724" s="794"/>
    </row>
    <row r="1725" spans="2:3" s="675" customFormat="1">
      <c r="B1725" s="794"/>
      <c r="C1725" s="794"/>
    </row>
    <row r="1726" spans="2:3" s="675" customFormat="1">
      <c r="B1726" s="794"/>
      <c r="C1726" s="794"/>
    </row>
    <row r="1727" spans="2:3" s="675" customFormat="1">
      <c r="B1727" s="794"/>
      <c r="C1727" s="794"/>
    </row>
    <row r="1728" spans="2:3" s="675" customFormat="1">
      <c r="B1728" s="794"/>
      <c r="C1728" s="794"/>
    </row>
    <row r="1729" spans="2:3" s="675" customFormat="1">
      <c r="B1729" s="794"/>
      <c r="C1729" s="794"/>
    </row>
    <row r="1730" spans="2:3" s="675" customFormat="1">
      <c r="B1730" s="794"/>
      <c r="C1730" s="794"/>
    </row>
    <row r="1731" spans="2:3" s="675" customFormat="1">
      <c r="B1731" s="794"/>
      <c r="C1731" s="794"/>
    </row>
    <row r="1732" spans="2:3" s="675" customFormat="1">
      <c r="B1732" s="794"/>
      <c r="C1732" s="794"/>
    </row>
    <row r="1733" spans="2:3" s="675" customFormat="1">
      <c r="B1733" s="794"/>
      <c r="C1733" s="794"/>
    </row>
    <row r="1734" spans="2:3" s="675" customFormat="1">
      <c r="B1734" s="794"/>
      <c r="C1734" s="794"/>
    </row>
    <row r="1735" spans="2:3" s="675" customFormat="1">
      <c r="B1735" s="794"/>
      <c r="C1735" s="794"/>
    </row>
    <row r="1736" spans="2:3" s="675" customFormat="1">
      <c r="B1736" s="794"/>
      <c r="C1736" s="794"/>
    </row>
    <row r="1737" spans="2:3" s="675" customFormat="1">
      <c r="B1737" s="794"/>
      <c r="C1737" s="794"/>
    </row>
    <row r="1738" spans="2:3" s="675" customFormat="1">
      <c r="B1738" s="794"/>
      <c r="C1738" s="794"/>
    </row>
    <row r="1739" spans="2:3" s="675" customFormat="1">
      <c r="B1739" s="794"/>
      <c r="C1739" s="794"/>
    </row>
    <row r="1740" spans="2:3" s="675" customFormat="1">
      <c r="B1740" s="794"/>
      <c r="C1740" s="794"/>
    </row>
    <row r="1741" spans="2:3" s="675" customFormat="1">
      <c r="B1741" s="794"/>
      <c r="C1741" s="794"/>
    </row>
    <row r="1742" spans="2:3" s="675" customFormat="1">
      <c r="B1742" s="794"/>
      <c r="C1742" s="794"/>
    </row>
    <row r="1743" spans="2:3" s="675" customFormat="1">
      <c r="B1743" s="794"/>
      <c r="C1743" s="794"/>
    </row>
    <row r="1744" spans="2:3" s="675" customFormat="1">
      <c r="B1744" s="794"/>
      <c r="C1744" s="794"/>
    </row>
    <row r="1745" spans="2:3" s="675" customFormat="1">
      <c r="B1745" s="794"/>
      <c r="C1745" s="794"/>
    </row>
    <row r="1746" spans="2:3" s="675" customFormat="1">
      <c r="B1746" s="794"/>
      <c r="C1746" s="794"/>
    </row>
    <row r="1747" spans="2:3" s="675" customFormat="1">
      <c r="B1747" s="794"/>
      <c r="C1747" s="794"/>
    </row>
    <row r="1748" spans="2:3" s="675" customFormat="1">
      <c r="B1748" s="794"/>
      <c r="C1748" s="794"/>
    </row>
    <row r="1749" spans="2:3" s="675" customFormat="1">
      <c r="B1749" s="794"/>
      <c r="C1749" s="794"/>
    </row>
    <row r="1750" spans="2:3" s="675" customFormat="1">
      <c r="B1750" s="794"/>
      <c r="C1750" s="794"/>
    </row>
    <row r="1751" spans="2:3" s="675" customFormat="1">
      <c r="B1751" s="794"/>
      <c r="C1751" s="794"/>
    </row>
    <row r="1752" spans="2:3" s="675" customFormat="1">
      <c r="B1752" s="794"/>
      <c r="C1752" s="794"/>
    </row>
    <row r="1753" spans="2:3" s="675" customFormat="1">
      <c r="B1753" s="794"/>
      <c r="C1753" s="794"/>
    </row>
    <row r="1754" spans="2:3" s="675" customFormat="1">
      <c r="B1754" s="794"/>
      <c r="C1754" s="794"/>
    </row>
    <row r="1755" spans="2:3" s="675" customFormat="1">
      <c r="B1755" s="794"/>
      <c r="C1755" s="794"/>
    </row>
    <row r="1756" spans="2:3" s="675" customFormat="1">
      <c r="B1756" s="794"/>
      <c r="C1756" s="794"/>
    </row>
    <row r="1757" spans="2:3" s="675" customFormat="1">
      <c r="B1757" s="794"/>
      <c r="C1757" s="794"/>
    </row>
    <row r="1758" spans="2:3" s="675" customFormat="1">
      <c r="B1758" s="794"/>
      <c r="C1758" s="794"/>
    </row>
    <row r="1759" spans="2:3" s="675" customFormat="1">
      <c r="B1759" s="794"/>
      <c r="C1759" s="794"/>
    </row>
    <row r="1760" spans="2:3" s="675" customFormat="1">
      <c r="B1760" s="794"/>
      <c r="C1760" s="794"/>
    </row>
    <row r="1761" spans="2:3" s="675" customFormat="1">
      <c r="B1761" s="794"/>
      <c r="C1761" s="794"/>
    </row>
    <row r="1762" spans="2:3" s="675" customFormat="1">
      <c r="B1762" s="794"/>
      <c r="C1762" s="794"/>
    </row>
    <row r="1763" spans="2:3" s="675" customFormat="1">
      <c r="B1763" s="794"/>
      <c r="C1763" s="794"/>
    </row>
    <row r="1764" spans="2:3" s="675" customFormat="1">
      <c r="B1764" s="794"/>
      <c r="C1764" s="794"/>
    </row>
    <row r="1765" spans="2:3" s="675" customFormat="1">
      <c r="B1765" s="794"/>
      <c r="C1765" s="794"/>
    </row>
    <row r="1766" spans="2:3" s="675" customFormat="1">
      <c r="B1766" s="794"/>
      <c r="C1766" s="794"/>
    </row>
    <row r="1767" spans="2:3" s="675" customFormat="1">
      <c r="B1767" s="794"/>
      <c r="C1767" s="794"/>
    </row>
    <row r="1768" spans="2:3" s="675" customFormat="1">
      <c r="B1768" s="794"/>
      <c r="C1768" s="794"/>
    </row>
    <row r="1769" spans="2:3" s="675" customFormat="1">
      <c r="B1769" s="794"/>
      <c r="C1769" s="794"/>
    </row>
    <row r="1770" spans="2:3" s="675" customFormat="1">
      <c r="B1770" s="794"/>
      <c r="C1770" s="794"/>
    </row>
    <row r="1771" spans="2:3" s="675" customFormat="1">
      <c r="B1771" s="794"/>
      <c r="C1771" s="794"/>
    </row>
    <row r="1772" spans="2:3" s="675" customFormat="1">
      <c r="B1772" s="794"/>
      <c r="C1772" s="794"/>
    </row>
    <row r="1773" spans="2:3" s="675" customFormat="1">
      <c r="B1773" s="794"/>
      <c r="C1773" s="794"/>
    </row>
    <row r="1774" spans="2:3" s="675" customFormat="1">
      <c r="B1774" s="794"/>
      <c r="C1774" s="794"/>
    </row>
    <row r="1775" spans="2:3" s="675" customFormat="1">
      <c r="B1775" s="794"/>
      <c r="C1775" s="794"/>
    </row>
    <row r="1776" spans="2:3" s="675" customFormat="1">
      <c r="B1776" s="794"/>
      <c r="C1776" s="794"/>
    </row>
    <row r="1777" spans="2:3" s="675" customFormat="1">
      <c r="B1777" s="794"/>
      <c r="C1777" s="794"/>
    </row>
    <row r="1778" spans="2:3" s="675" customFormat="1">
      <c r="B1778" s="794"/>
      <c r="C1778" s="794"/>
    </row>
    <row r="1779" spans="2:3" s="675" customFormat="1">
      <c r="B1779" s="794"/>
      <c r="C1779" s="794"/>
    </row>
    <row r="1780" spans="2:3" s="675" customFormat="1">
      <c r="B1780" s="794"/>
      <c r="C1780" s="794"/>
    </row>
    <row r="1781" spans="2:3" s="675" customFormat="1">
      <c r="B1781" s="794"/>
      <c r="C1781" s="794"/>
    </row>
    <row r="1782" spans="2:3" s="675" customFormat="1">
      <c r="B1782" s="794"/>
      <c r="C1782" s="794"/>
    </row>
    <row r="1783" spans="2:3" s="675" customFormat="1">
      <c r="B1783" s="794"/>
      <c r="C1783" s="794"/>
    </row>
    <row r="1784" spans="2:3" s="675" customFormat="1">
      <c r="B1784" s="794"/>
      <c r="C1784" s="794"/>
    </row>
    <row r="1785" spans="2:3" s="675" customFormat="1">
      <c r="B1785" s="794"/>
      <c r="C1785" s="794"/>
    </row>
    <row r="1786" spans="2:3" s="675" customFormat="1">
      <c r="B1786" s="794"/>
      <c r="C1786" s="794"/>
    </row>
    <row r="1787" spans="2:3" s="675" customFormat="1">
      <c r="B1787" s="794"/>
      <c r="C1787" s="794"/>
    </row>
    <row r="1788" spans="2:3" s="675" customFormat="1">
      <c r="B1788" s="794"/>
      <c r="C1788" s="794"/>
    </row>
    <row r="1789" spans="2:3" s="675" customFormat="1">
      <c r="B1789" s="794"/>
      <c r="C1789" s="794"/>
    </row>
    <row r="1790" spans="2:3" s="675" customFormat="1">
      <c r="B1790" s="794"/>
      <c r="C1790" s="794"/>
    </row>
    <row r="1791" spans="2:3" s="675" customFormat="1">
      <c r="B1791" s="794"/>
      <c r="C1791" s="794"/>
    </row>
    <row r="1792" spans="2:3" s="675" customFormat="1">
      <c r="B1792" s="794"/>
      <c r="C1792" s="794"/>
    </row>
    <row r="1793" spans="2:3" s="675" customFormat="1">
      <c r="B1793" s="794"/>
      <c r="C1793" s="794"/>
    </row>
    <row r="1794" spans="2:3" s="675" customFormat="1">
      <c r="B1794" s="794"/>
      <c r="C1794" s="794"/>
    </row>
    <row r="1795" spans="2:3" s="675" customFormat="1">
      <c r="B1795" s="794"/>
      <c r="C1795" s="794"/>
    </row>
    <row r="1796" spans="2:3" s="675" customFormat="1">
      <c r="B1796" s="794"/>
      <c r="C1796" s="794"/>
    </row>
    <row r="1797" spans="2:3" s="675" customFormat="1">
      <c r="B1797" s="794"/>
      <c r="C1797" s="794"/>
    </row>
    <row r="1798" spans="2:3" s="675" customFormat="1">
      <c r="B1798" s="794"/>
      <c r="C1798" s="794"/>
    </row>
    <row r="1799" spans="2:3" s="675" customFormat="1">
      <c r="B1799" s="794"/>
      <c r="C1799" s="794"/>
    </row>
    <row r="1800" spans="2:3" s="675" customFormat="1">
      <c r="B1800" s="794"/>
      <c r="C1800" s="794"/>
    </row>
    <row r="1801" spans="2:3" s="675" customFormat="1">
      <c r="B1801" s="794"/>
      <c r="C1801" s="794"/>
    </row>
    <row r="1802" spans="2:3" s="675" customFormat="1">
      <c r="B1802" s="794"/>
      <c r="C1802" s="794"/>
    </row>
    <row r="1803" spans="2:3" s="675" customFormat="1">
      <c r="B1803" s="794"/>
      <c r="C1803" s="794"/>
    </row>
    <row r="1804" spans="2:3" s="675" customFormat="1">
      <c r="B1804" s="794"/>
      <c r="C1804" s="794"/>
    </row>
    <row r="1805" spans="2:3" s="675" customFormat="1">
      <c r="B1805" s="794"/>
      <c r="C1805" s="794"/>
    </row>
    <row r="1806" spans="2:3" s="675" customFormat="1">
      <c r="B1806" s="794"/>
      <c r="C1806" s="794"/>
    </row>
    <row r="1807" spans="2:3" s="675" customFormat="1">
      <c r="B1807" s="794"/>
      <c r="C1807" s="794"/>
    </row>
    <row r="1808" spans="2:3" s="675" customFormat="1">
      <c r="B1808" s="794"/>
      <c r="C1808" s="794"/>
    </row>
    <row r="1809" spans="2:3" s="675" customFormat="1">
      <c r="B1809" s="794"/>
      <c r="C1809" s="794"/>
    </row>
    <row r="1810" spans="2:3" s="675" customFormat="1">
      <c r="B1810" s="794"/>
      <c r="C1810" s="794"/>
    </row>
    <row r="1811" spans="2:3" s="675" customFormat="1">
      <c r="B1811" s="794"/>
      <c r="C1811" s="794"/>
    </row>
    <row r="1812" spans="2:3" s="675" customFormat="1">
      <c r="B1812" s="794"/>
      <c r="C1812" s="794"/>
    </row>
    <row r="1813" spans="2:3" s="675" customFormat="1">
      <c r="B1813" s="794"/>
      <c r="C1813" s="794"/>
    </row>
    <row r="1814" spans="2:3" s="675" customFormat="1">
      <c r="B1814" s="794"/>
      <c r="C1814" s="794"/>
    </row>
    <row r="1815" spans="2:3" s="675" customFormat="1">
      <c r="B1815" s="794"/>
      <c r="C1815" s="794"/>
    </row>
    <row r="1816" spans="2:3" s="675" customFormat="1">
      <c r="B1816" s="794"/>
      <c r="C1816" s="794"/>
    </row>
    <row r="1817" spans="2:3" s="675" customFormat="1">
      <c r="B1817" s="794"/>
      <c r="C1817" s="794"/>
    </row>
    <row r="1818" spans="2:3" s="675" customFormat="1">
      <c r="B1818" s="794"/>
      <c r="C1818" s="794"/>
    </row>
    <row r="1819" spans="2:3" s="675" customFormat="1">
      <c r="B1819" s="794"/>
      <c r="C1819" s="794"/>
    </row>
    <row r="1820" spans="2:3" s="675" customFormat="1">
      <c r="B1820" s="794"/>
      <c r="C1820" s="794"/>
    </row>
    <row r="1821" spans="2:3" s="675" customFormat="1">
      <c r="B1821" s="794"/>
      <c r="C1821" s="794"/>
    </row>
    <row r="1822" spans="2:3" s="675" customFormat="1">
      <c r="B1822" s="794"/>
      <c r="C1822" s="794"/>
    </row>
    <row r="1823" spans="2:3" s="675" customFormat="1">
      <c r="B1823" s="794"/>
      <c r="C1823" s="794"/>
    </row>
    <row r="1824" spans="2:3" s="675" customFormat="1">
      <c r="B1824" s="794"/>
      <c r="C1824" s="794"/>
    </row>
    <row r="1825" spans="2:3" s="675" customFormat="1">
      <c r="B1825" s="794"/>
      <c r="C1825" s="794"/>
    </row>
    <row r="1826" spans="2:3" s="675" customFormat="1">
      <c r="B1826" s="794"/>
      <c r="C1826" s="794"/>
    </row>
    <row r="1827" spans="2:3" s="675" customFormat="1">
      <c r="B1827" s="794"/>
      <c r="C1827" s="794"/>
    </row>
    <row r="1828" spans="2:3" s="675" customFormat="1">
      <c r="B1828" s="794"/>
      <c r="C1828" s="794"/>
    </row>
    <row r="1829" spans="2:3" s="675" customFormat="1">
      <c r="B1829" s="794"/>
      <c r="C1829" s="794"/>
    </row>
    <row r="1830" spans="2:3" s="675" customFormat="1">
      <c r="B1830" s="794"/>
      <c r="C1830" s="794"/>
    </row>
    <row r="1831" spans="2:3" s="675" customFormat="1">
      <c r="B1831" s="794"/>
      <c r="C1831" s="794"/>
    </row>
    <row r="1832" spans="2:3" s="675" customFormat="1">
      <c r="B1832" s="794"/>
      <c r="C1832" s="794"/>
    </row>
    <row r="1833" spans="2:3" s="675" customFormat="1">
      <c r="B1833" s="794"/>
      <c r="C1833" s="794"/>
    </row>
    <row r="1834" spans="2:3" s="675" customFormat="1">
      <c r="B1834" s="794"/>
      <c r="C1834" s="794"/>
    </row>
    <row r="1835" spans="2:3" s="675" customFormat="1">
      <c r="B1835" s="794"/>
      <c r="C1835" s="794"/>
    </row>
    <row r="1836" spans="2:3" s="675" customFormat="1">
      <c r="B1836" s="794"/>
      <c r="C1836" s="794"/>
    </row>
    <row r="1837" spans="2:3" s="675" customFormat="1">
      <c r="B1837" s="794"/>
      <c r="C1837" s="794"/>
    </row>
    <row r="1838" spans="2:3" s="675" customFormat="1">
      <c r="B1838" s="794"/>
      <c r="C1838" s="794"/>
    </row>
    <row r="1839" spans="2:3" s="675" customFormat="1">
      <c r="B1839" s="794"/>
      <c r="C1839" s="794"/>
    </row>
    <row r="1840" spans="2:3" s="675" customFormat="1">
      <c r="B1840" s="794"/>
      <c r="C1840" s="794"/>
    </row>
    <row r="1841" spans="2:3" s="675" customFormat="1">
      <c r="B1841" s="794"/>
      <c r="C1841" s="794"/>
    </row>
    <row r="1842" spans="2:3" s="675" customFormat="1">
      <c r="B1842" s="794"/>
      <c r="C1842" s="794"/>
    </row>
    <row r="1843" spans="2:3" s="675" customFormat="1">
      <c r="B1843" s="794"/>
      <c r="C1843" s="794"/>
    </row>
    <row r="1844" spans="2:3" s="675" customFormat="1">
      <c r="B1844" s="794"/>
      <c r="C1844" s="794"/>
    </row>
    <row r="1845" spans="2:3" s="675" customFormat="1">
      <c r="B1845" s="794"/>
      <c r="C1845" s="794"/>
    </row>
    <row r="1846" spans="2:3" s="675" customFormat="1">
      <c r="B1846" s="794"/>
      <c r="C1846" s="794"/>
    </row>
    <row r="1847" spans="2:3" s="675" customFormat="1">
      <c r="B1847" s="794"/>
      <c r="C1847" s="794"/>
    </row>
    <row r="1848" spans="2:3" s="675" customFormat="1">
      <c r="B1848" s="794"/>
      <c r="C1848" s="794"/>
    </row>
    <row r="1849" spans="2:3" s="675" customFormat="1">
      <c r="B1849" s="794"/>
      <c r="C1849" s="794"/>
    </row>
    <row r="1850" spans="2:3" s="675" customFormat="1">
      <c r="B1850" s="794"/>
      <c r="C1850" s="794"/>
    </row>
    <row r="1851" spans="2:3" s="675" customFormat="1">
      <c r="B1851" s="794"/>
      <c r="C1851" s="794"/>
    </row>
    <row r="1852" spans="2:3" s="675" customFormat="1">
      <c r="B1852" s="794"/>
      <c r="C1852" s="794"/>
    </row>
    <row r="1853" spans="2:3" s="675" customFormat="1">
      <c r="B1853" s="794"/>
      <c r="C1853" s="794"/>
    </row>
    <row r="1854" spans="2:3" s="675" customFormat="1">
      <c r="B1854" s="794"/>
      <c r="C1854" s="794"/>
    </row>
    <row r="1855" spans="2:3" s="675" customFormat="1">
      <c r="B1855" s="794"/>
      <c r="C1855" s="794"/>
    </row>
    <row r="1856" spans="2:3" s="675" customFormat="1">
      <c r="B1856" s="794"/>
      <c r="C1856" s="794"/>
    </row>
    <row r="1857" spans="2:3" s="675" customFormat="1">
      <c r="B1857" s="794"/>
      <c r="C1857" s="794"/>
    </row>
    <row r="1858" spans="2:3" s="675" customFormat="1">
      <c r="B1858" s="794"/>
      <c r="C1858" s="794"/>
    </row>
    <row r="1859" spans="2:3" s="675" customFormat="1">
      <c r="B1859" s="794"/>
      <c r="C1859" s="794"/>
    </row>
    <row r="1860" spans="2:3" s="675" customFormat="1">
      <c r="B1860" s="794"/>
      <c r="C1860" s="794"/>
    </row>
    <row r="1861" spans="2:3" s="675" customFormat="1">
      <c r="B1861" s="794"/>
      <c r="C1861" s="794"/>
    </row>
    <row r="1862" spans="2:3" s="675" customFormat="1">
      <c r="B1862" s="794"/>
      <c r="C1862" s="794"/>
    </row>
    <row r="1863" spans="2:3" s="675" customFormat="1">
      <c r="B1863" s="794"/>
      <c r="C1863" s="794"/>
    </row>
    <row r="1864" spans="2:3" s="675" customFormat="1">
      <c r="B1864" s="794"/>
      <c r="C1864" s="794"/>
    </row>
    <row r="1865" spans="2:3" s="675" customFormat="1">
      <c r="B1865" s="794"/>
      <c r="C1865" s="794"/>
    </row>
    <row r="1866" spans="2:3" s="675" customFormat="1">
      <c r="B1866" s="794"/>
      <c r="C1866" s="794"/>
    </row>
    <row r="1867" spans="2:3" s="675" customFormat="1">
      <c r="B1867" s="794"/>
      <c r="C1867" s="794"/>
    </row>
    <row r="1868" spans="2:3" s="675" customFormat="1">
      <c r="B1868" s="794"/>
      <c r="C1868" s="794"/>
    </row>
    <row r="1869" spans="2:3" s="675" customFormat="1">
      <c r="B1869" s="794"/>
      <c r="C1869" s="794"/>
    </row>
    <row r="1870" spans="2:3" s="675" customFormat="1">
      <c r="B1870" s="794"/>
      <c r="C1870" s="794"/>
    </row>
    <row r="1871" spans="2:3" s="675" customFormat="1">
      <c r="B1871" s="794"/>
      <c r="C1871" s="794"/>
    </row>
    <row r="1872" spans="2:3" s="675" customFormat="1">
      <c r="B1872" s="794"/>
      <c r="C1872" s="794"/>
    </row>
    <row r="1873" spans="2:3" s="675" customFormat="1">
      <c r="B1873" s="794"/>
      <c r="C1873" s="794"/>
    </row>
    <row r="1874" spans="2:3" s="675" customFormat="1">
      <c r="B1874" s="794"/>
      <c r="C1874" s="794"/>
    </row>
    <row r="1875" spans="2:3" s="675" customFormat="1">
      <c r="B1875" s="794"/>
      <c r="C1875" s="794"/>
    </row>
    <row r="1876" spans="2:3" s="675" customFormat="1">
      <c r="B1876" s="794"/>
      <c r="C1876" s="794"/>
    </row>
    <row r="1877" spans="2:3" s="675" customFormat="1">
      <c r="B1877" s="794"/>
      <c r="C1877" s="794"/>
    </row>
    <row r="1878" spans="2:3" s="675" customFormat="1">
      <c r="B1878" s="794"/>
      <c r="C1878" s="794"/>
    </row>
    <row r="1879" spans="2:3" s="675" customFormat="1">
      <c r="B1879" s="794"/>
      <c r="C1879" s="794"/>
    </row>
    <row r="1880" spans="2:3" s="675" customFormat="1">
      <c r="B1880" s="794"/>
      <c r="C1880" s="794"/>
    </row>
    <row r="1881" spans="2:3" s="675" customFormat="1">
      <c r="B1881" s="794"/>
      <c r="C1881" s="794"/>
    </row>
    <row r="1882" spans="2:3" s="675" customFormat="1">
      <c r="B1882" s="794"/>
      <c r="C1882" s="794"/>
    </row>
    <row r="1883" spans="2:3" s="675" customFormat="1">
      <c r="B1883" s="794"/>
      <c r="C1883" s="794"/>
    </row>
    <row r="1884" spans="2:3" s="675" customFormat="1">
      <c r="B1884" s="794"/>
      <c r="C1884" s="794"/>
    </row>
    <row r="1885" spans="2:3" s="675" customFormat="1">
      <c r="B1885" s="794"/>
      <c r="C1885" s="794"/>
    </row>
    <row r="1886" spans="2:3" s="675" customFormat="1">
      <c r="B1886" s="794"/>
      <c r="C1886" s="794"/>
    </row>
    <row r="1887" spans="2:3" s="675" customFormat="1">
      <c r="B1887" s="794"/>
      <c r="C1887" s="794"/>
    </row>
    <row r="1888" spans="2:3" s="675" customFormat="1">
      <c r="B1888" s="794"/>
      <c r="C1888" s="794"/>
    </row>
    <row r="1889" spans="2:3" s="675" customFormat="1">
      <c r="B1889" s="794"/>
      <c r="C1889" s="794"/>
    </row>
    <row r="1890" spans="2:3" s="675" customFormat="1">
      <c r="B1890" s="794"/>
      <c r="C1890" s="794"/>
    </row>
    <row r="1891" spans="2:3" s="675" customFormat="1">
      <c r="B1891" s="794"/>
      <c r="C1891" s="794"/>
    </row>
    <row r="1892" spans="2:3" s="675" customFormat="1">
      <c r="B1892" s="794"/>
      <c r="C1892" s="794"/>
    </row>
    <row r="1893" spans="2:3" s="675" customFormat="1">
      <c r="B1893" s="794"/>
      <c r="C1893" s="794"/>
    </row>
    <row r="1894" spans="2:3" s="675" customFormat="1">
      <c r="B1894" s="794"/>
      <c r="C1894" s="794"/>
    </row>
    <row r="1895" spans="2:3" s="675" customFormat="1">
      <c r="B1895" s="794"/>
      <c r="C1895" s="794"/>
    </row>
    <row r="1896" spans="2:3" s="675" customFormat="1">
      <c r="B1896" s="794"/>
      <c r="C1896" s="794"/>
    </row>
    <row r="1897" spans="2:3" s="675" customFormat="1">
      <c r="B1897" s="794"/>
      <c r="C1897" s="794"/>
    </row>
    <row r="1898" spans="2:3" s="675" customFormat="1">
      <c r="B1898" s="794"/>
      <c r="C1898" s="794"/>
    </row>
    <row r="1899" spans="2:3" s="675" customFormat="1">
      <c r="B1899" s="794"/>
      <c r="C1899" s="794"/>
    </row>
    <row r="1900" spans="2:3" s="675" customFormat="1">
      <c r="B1900" s="794"/>
      <c r="C1900" s="794"/>
    </row>
    <row r="1901" spans="2:3" s="675" customFormat="1">
      <c r="B1901" s="794"/>
      <c r="C1901" s="794"/>
    </row>
    <row r="1902" spans="2:3" s="675" customFormat="1">
      <c r="B1902" s="794"/>
      <c r="C1902" s="794"/>
    </row>
    <row r="1903" spans="2:3" s="675" customFormat="1">
      <c r="B1903" s="794"/>
      <c r="C1903" s="794"/>
    </row>
    <row r="1904" spans="2:3" s="675" customFormat="1">
      <c r="B1904" s="794"/>
      <c r="C1904" s="794"/>
    </row>
    <row r="1905" spans="2:3" s="675" customFormat="1">
      <c r="B1905" s="794"/>
      <c r="C1905" s="794"/>
    </row>
    <row r="1906" spans="2:3" s="675" customFormat="1">
      <c r="B1906" s="794"/>
      <c r="C1906" s="794"/>
    </row>
    <row r="1907" spans="2:3" s="675" customFormat="1">
      <c r="B1907" s="794"/>
      <c r="C1907" s="794"/>
    </row>
    <row r="1908" spans="2:3" s="675" customFormat="1">
      <c r="B1908" s="794"/>
      <c r="C1908" s="794"/>
    </row>
    <row r="1909" spans="2:3" s="675" customFormat="1">
      <c r="B1909" s="794"/>
      <c r="C1909" s="794"/>
    </row>
    <row r="1910" spans="2:3" s="675" customFormat="1">
      <c r="B1910" s="794"/>
      <c r="C1910" s="794"/>
    </row>
    <row r="1911" spans="2:3" s="675" customFormat="1">
      <c r="B1911" s="794"/>
      <c r="C1911" s="794"/>
    </row>
    <row r="1912" spans="2:3" s="675" customFormat="1">
      <c r="B1912" s="794"/>
      <c r="C1912" s="794"/>
    </row>
    <row r="1913" spans="2:3" s="675" customFormat="1">
      <c r="B1913" s="794"/>
      <c r="C1913" s="794"/>
    </row>
    <row r="1914" spans="2:3" s="675" customFormat="1">
      <c r="B1914" s="794"/>
      <c r="C1914" s="794"/>
    </row>
    <row r="1915" spans="2:3" s="675" customFormat="1">
      <c r="B1915" s="794"/>
      <c r="C1915" s="794"/>
    </row>
    <row r="1916" spans="2:3" s="675" customFormat="1">
      <c r="B1916" s="794"/>
      <c r="C1916" s="794"/>
    </row>
    <row r="1917" spans="2:3" s="675" customFormat="1">
      <c r="B1917" s="794"/>
      <c r="C1917" s="794"/>
    </row>
    <row r="1918" spans="2:3" s="675" customFormat="1">
      <c r="B1918" s="794"/>
      <c r="C1918" s="794"/>
    </row>
    <row r="1919" spans="2:3" s="675" customFormat="1">
      <c r="B1919" s="794"/>
      <c r="C1919" s="794"/>
    </row>
    <row r="1920" spans="2:3" s="675" customFormat="1">
      <c r="B1920" s="794"/>
      <c r="C1920" s="794"/>
    </row>
    <row r="1921" spans="2:3" s="675" customFormat="1">
      <c r="B1921" s="794"/>
      <c r="C1921" s="794"/>
    </row>
    <row r="1922" spans="2:3" s="675" customFormat="1">
      <c r="B1922" s="794"/>
      <c r="C1922" s="794"/>
    </row>
    <row r="1923" spans="2:3" s="675" customFormat="1">
      <c r="B1923" s="794"/>
      <c r="C1923" s="794"/>
    </row>
    <row r="1924" spans="2:3" s="675" customFormat="1">
      <c r="B1924" s="794"/>
      <c r="C1924" s="794"/>
    </row>
    <row r="1925" spans="2:3" s="675" customFormat="1">
      <c r="B1925" s="794"/>
      <c r="C1925" s="794"/>
    </row>
    <row r="1926" spans="2:3" s="675" customFormat="1">
      <c r="B1926" s="794"/>
      <c r="C1926" s="794"/>
    </row>
    <row r="1927" spans="2:3" s="675" customFormat="1">
      <c r="B1927" s="794"/>
      <c r="C1927" s="794"/>
    </row>
    <row r="1928" spans="2:3" s="675" customFormat="1">
      <c r="B1928" s="794"/>
      <c r="C1928" s="794"/>
    </row>
    <row r="1929" spans="2:3" s="675" customFormat="1">
      <c r="B1929" s="794"/>
      <c r="C1929" s="794"/>
    </row>
    <row r="1930" spans="2:3" s="675" customFormat="1">
      <c r="B1930" s="794"/>
      <c r="C1930" s="794"/>
    </row>
    <row r="1931" spans="2:3" s="675" customFormat="1">
      <c r="B1931" s="794"/>
      <c r="C1931" s="794"/>
    </row>
    <row r="1932" spans="2:3" s="675" customFormat="1">
      <c r="B1932" s="794"/>
      <c r="C1932" s="794"/>
    </row>
    <row r="1933" spans="2:3" s="675" customFormat="1">
      <c r="B1933" s="794"/>
      <c r="C1933" s="794"/>
    </row>
    <row r="1934" spans="2:3" s="675" customFormat="1">
      <c r="B1934" s="794"/>
      <c r="C1934" s="794"/>
    </row>
    <row r="1935" spans="2:3" s="675" customFormat="1">
      <c r="B1935" s="794"/>
      <c r="C1935" s="794"/>
    </row>
    <row r="1936" spans="2:3" s="675" customFormat="1">
      <c r="B1936" s="794"/>
      <c r="C1936" s="794"/>
    </row>
    <row r="1937" spans="2:3" s="675" customFormat="1">
      <c r="B1937" s="794"/>
      <c r="C1937" s="794"/>
    </row>
    <row r="1938" spans="2:3" s="675" customFormat="1">
      <c r="B1938" s="794"/>
      <c r="C1938" s="794"/>
    </row>
    <row r="1939" spans="2:3" s="675" customFormat="1">
      <c r="B1939" s="794"/>
      <c r="C1939" s="794"/>
    </row>
    <row r="1940" spans="2:3" s="675" customFormat="1">
      <c r="B1940" s="794"/>
      <c r="C1940" s="794"/>
    </row>
    <row r="1941" spans="2:3" s="675" customFormat="1">
      <c r="B1941" s="794"/>
      <c r="C1941" s="794"/>
    </row>
    <row r="1942" spans="2:3" s="675" customFormat="1">
      <c r="B1942" s="794"/>
      <c r="C1942" s="794"/>
    </row>
    <row r="1943" spans="2:3" s="675" customFormat="1">
      <c r="B1943" s="794"/>
      <c r="C1943" s="794"/>
    </row>
    <row r="1944" spans="2:3" s="675" customFormat="1">
      <c r="B1944" s="794"/>
      <c r="C1944" s="794"/>
    </row>
    <row r="1945" spans="2:3" s="675" customFormat="1">
      <c r="B1945" s="794"/>
      <c r="C1945" s="794"/>
    </row>
    <row r="1946" spans="2:3" s="675" customFormat="1">
      <c r="B1946" s="794"/>
      <c r="C1946" s="794"/>
    </row>
    <row r="1947" spans="2:3" s="675" customFormat="1">
      <c r="B1947" s="794"/>
      <c r="C1947" s="794"/>
    </row>
    <row r="1948" spans="2:3" s="675" customFormat="1">
      <c r="B1948" s="794"/>
      <c r="C1948" s="794"/>
    </row>
    <row r="1949" spans="2:3" s="675" customFormat="1">
      <c r="B1949" s="794"/>
      <c r="C1949" s="794"/>
    </row>
    <row r="1950" spans="2:3" s="675" customFormat="1">
      <c r="B1950" s="794"/>
      <c r="C1950" s="794"/>
    </row>
    <row r="1951" spans="2:3" s="675" customFormat="1">
      <c r="B1951" s="794"/>
      <c r="C1951" s="794"/>
    </row>
    <row r="1952" spans="2:3" s="675" customFormat="1">
      <c r="B1952" s="794"/>
      <c r="C1952" s="794"/>
    </row>
    <row r="1953" spans="2:3" s="675" customFormat="1">
      <c r="B1953" s="794"/>
      <c r="C1953" s="794"/>
    </row>
    <row r="1954" spans="2:3" s="675" customFormat="1">
      <c r="B1954" s="794"/>
      <c r="C1954" s="794"/>
    </row>
    <row r="1955" spans="2:3" s="675" customFormat="1">
      <c r="B1955" s="794"/>
      <c r="C1955" s="794"/>
    </row>
    <row r="1956" spans="2:3" s="675" customFormat="1">
      <c r="B1956" s="794"/>
      <c r="C1956" s="794"/>
    </row>
    <row r="1957" spans="2:3" s="675" customFormat="1">
      <c r="B1957" s="794"/>
      <c r="C1957" s="794"/>
    </row>
    <row r="1958" spans="2:3" s="675" customFormat="1">
      <c r="B1958" s="794"/>
      <c r="C1958" s="794"/>
    </row>
    <row r="1959" spans="2:3" s="675" customFormat="1">
      <c r="B1959" s="794"/>
      <c r="C1959" s="794"/>
    </row>
    <row r="1960" spans="2:3" s="675" customFormat="1">
      <c r="B1960" s="794"/>
      <c r="C1960" s="794"/>
    </row>
    <row r="1961" spans="2:3" s="675" customFormat="1">
      <c r="B1961" s="794"/>
      <c r="C1961" s="794"/>
    </row>
    <row r="1962" spans="2:3" s="675" customFormat="1">
      <c r="B1962" s="794"/>
      <c r="C1962" s="794"/>
    </row>
    <row r="1963" spans="2:3" s="675" customFormat="1">
      <c r="B1963" s="794"/>
      <c r="C1963" s="794"/>
    </row>
    <row r="1964" spans="2:3" s="675" customFormat="1">
      <c r="B1964" s="794"/>
      <c r="C1964" s="794"/>
    </row>
    <row r="1965" spans="2:3" s="675" customFormat="1">
      <c r="B1965" s="794"/>
      <c r="C1965" s="794"/>
    </row>
    <row r="1966" spans="2:3" s="675" customFormat="1">
      <c r="B1966" s="794"/>
      <c r="C1966" s="794"/>
    </row>
    <row r="1967" spans="2:3" s="675" customFormat="1">
      <c r="B1967" s="794"/>
      <c r="C1967" s="794"/>
    </row>
    <row r="1968" spans="2:3" s="675" customFormat="1">
      <c r="B1968" s="794"/>
      <c r="C1968" s="794"/>
    </row>
    <row r="1969" spans="2:3" s="675" customFormat="1">
      <c r="B1969" s="794"/>
      <c r="C1969" s="794"/>
    </row>
    <row r="1970" spans="2:3" s="675" customFormat="1">
      <c r="B1970" s="794"/>
      <c r="C1970" s="794"/>
    </row>
    <row r="1971" spans="2:3" s="675" customFormat="1">
      <c r="B1971" s="794"/>
      <c r="C1971" s="794"/>
    </row>
    <row r="1972" spans="2:3" s="675" customFormat="1">
      <c r="B1972" s="794"/>
      <c r="C1972" s="794"/>
    </row>
    <row r="1973" spans="2:3" s="675" customFormat="1">
      <c r="B1973" s="794"/>
      <c r="C1973" s="794"/>
    </row>
    <row r="1974" spans="2:3" s="675" customFormat="1">
      <c r="B1974" s="794"/>
      <c r="C1974" s="794"/>
    </row>
    <row r="1975" spans="2:3" s="675" customFormat="1">
      <c r="B1975" s="794"/>
      <c r="C1975" s="794"/>
    </row>
    <row r="1976" spans="2:3" s="675" customFormat="1">
      <c r="B1976" s="794"/>
      <c r="C1976" s="794"/>
    </row>
    <row r="1977" spans="2:3" s="675" customFormat="1">
      <c r="B1977" s="794"/>
      <c r="C1977" s="794"/>
    </row>
    <row r="1978" spans="2:3" s="675" customFormat="1">
      <c r="B1978" s="794"/>
      <c r="C1978" s="794"/>
    </row>
    <row r="1979" spans="2:3" s="675" customFormat="1">
      <c r="B1979" s="794"/>
      <c r="C1979" s="794"/>
    </row>
    <row r="1980" spans="2:3" s="675" customFormat="1">
      <c r="B1980" s="794"/>
      <c r="C1980" s="794"/>
    </row>
    <row r="1981" spans="2:3" s="675" customFormat="1">
      <c r="B1981" s="794"/>
      <c r="C1981" s="794"/>
    </row>
    <row r="1982" spans="2:3" s="675" customFormat="1">
      <c r="B1982" s="794"/>
      <c r="C1982" s="794"/>
    </row>
    <row r="1983" spans="2:3" s="675" customFormat="1">
      <c r="B1983" s="794"/>
      <c r="C1983" s="794"/>
    </row>
    <row r="1984" spans="2:3" s="675" customFormat="1">
      <c r="B1984" s="794"/>
      <c r="C1984" s="794"/>
    </row>
    <row r="1985" spans="2:3" s="675" customFormat="1">
      <c r="B1985" s="794"/>
      <c r="C1985" s="794"/>
    </row>
    <row r="1986" spans="2:3" s="675" customFormat="1">
      <c r="B1986" s="794"/>
      <c r="C1986" s="794"/>
    </row>
    <row r="1987" spans="2:3" s="675" customFormat="1">
      <c r="B1987" s="794"/>
      <c r="C1987" s="794"/>
    </row>
    <row r="1988" spans="2:3" s="675" customFormat="1">
      <c r="B1988" s="794"/>
      <c r="C1988" s="794"/>
    </row>
    <row r="1989" spans="2:3" s="675" customFormat="1">
      <c r="B1989" s="794"/>
      <c r="C1989" s="794"/>
    </row>
    <row r="1990" spans="2:3" s="675" customFormat="1">
      <c r="B1990" s="794"/>
      <c r="C1990" s="794"/>
    </row>
    <row r="1991" spans="2:3" s="675" customFormat="1">
      <c r="B1991" s="794"/>
      <c r="C1991" s="794"/>
    </row>
    <row r="1992" spans="2:3" s="675" customFormat="1">
      <c r="B1992" s="794"/>
      <c r="C1992" s="794"/>
    </row>
    <row r="1993" spans="2:3" s="675" customFormat="1">
      <c r="B1993" s="794"/>
      <c r="C1993" s="794"/>
    </row>
    <row r="1994" spans="2:3" s="675" customFormat="1">
      <c r="B1994" s="794"/>
      <c r="C1994" s="794"/>
    </row>
    <row r="1995" spans="2:3" s="675" customFormat="1">
      <c r="B1995" s="794"/>
      <c r="C1995" s="794"/>
    </row>
    <row r="1996" spans="2:3" s="675" customFormat="1">
      <c r="B1996" s="794"/>
      <c r="C1996" s="794"/>
    </row>
    <row r="1997" spans="2:3" s="675" customFormat="1">
      <c r="B1997" s="794"/>
      <c r="C1997" s="794"/>
    </row>
    <row r="1998" spans="2:3" s="675" customFormat="1">
      <c r="B1998" s="794"/>
      <c r="C1998" s="794"/>
    </row>
    <row r="1999" spans="2:3" s="675" customFormat="1">
      <c r="B1999" s="794"/>
      <c r="C1999" s="794"/>
    </row>
    <row r="2000" spans="2:3" s="675" customFormat="1">
      <c r="B2000" s="794"/>
      <c r="C2000" s="794"/>
    </row>
    <row r="2001" spans="2:3" s="675" customFormat="1">
      <c r="B2001" s="794"/>
      <c r="C2001" s="794"/>
    </row>
    <row r="2002" spans="2:3" s="675" customFormat="1">
      <c r="B2002" s="794"/>
      <c r="C2002" s="794"/>
    </row>
    <row r="2003" spans="2:3" s="675" customFormat="1">
      <c r="B2003" s="794"/>
      <c r="C2003" s="794"/>
    </row>
    <row r="2004" spans="2:3" s="675" customFormat="1">
      <c r="B2004" s="794"/>
      <c r="C2004" s="794"/>
    </row>
    <row r="2005" spans="2:3" s="675" customFormat="1">
      <c r="B2005" s="794"/>
      <c r="C2005" s="794"/>
    </row>
    <row r="2006" spans="2:3" s="675" customFormat="1">
      <c r="B2006" s="794"/>
      <c r="C2006" s="794"/>
    </row>
    <row r="2007" spans="2:3" s="675" customFormat="1">
      <c r="B2007" s="794"/>
      <c r="C2007" s="794"/>
    </row>
    <row r="2008" spans="2:3" s="675" customFormat="1">
      <c r="B2008" s="794"/>
      <c r="C2008" s="794"/>
    </row>
    <row r="2009" spans="2:3" s="675" customFormat="1">
      <c r="B2009" s="794"/>
      <c r="C2009" s="794"/>
    </row>
    <row r="2010" spans="2:3" s="675" customFormat="1">
      <c r="B2010" s="794"/>
      <c r="C2010" s="794"/>
    </row>
    <row r="2011" spans="2:3" s="675" customFormat="1">
      <c r="B2011" s="794"/>
      <c r="C2011" s="794"/>
    </row>
    <row r="2012" spans="2:3" s="675" customFormat="1">
      <c r="B2012" s="794"/>
      <c r="C2012" s="794"/>
    </row>
    <row r="2013" spans="2:3" s="675" customFormat="1">
      <c r="B2013" s="794"/>
      <c r="C2013" s="794"/>
    </row>
    <row r="2014" spans="2:3" s="675" customFormat="1">
      <c r="B2014" s="794"/>
      <c r="C2014" s="794"/>
    </row>
    <row r="2015" spans="2:3" s="675" customFormat="1">
      <c r="B2015" s="794"/>
      <c r="C2015" s="794"/>
    </row>
    <row r="2016" spans="2:3" s="675" customFormat="1">
      <c r="B2016" s="794"/>
      <c r="C2016" s="794"/>
    </row>
    <row r="2017" spans="2:3" s="675" customFormat="1">
      <c r="B2017" s="794"/>
      <c r="C2017" s="794"/>
    </row>
    <row r="2018" spans="2:3" s="675" customFormat="1">
      <c r="B2018" s="794"/>
      <c r="C2018" s="794"/>
    </row>
    <row r="2019" spans="2:3" s="675" customFormat="1">
      <c r="B2019" s="794"/>
      <c r="C2019" s="794"/>
    </row>
    <row r="2020" spans="2:3" s="675" customFormat="1">
      <c r="B2020" s="794"/>
      <c r="C2020" s="794"/>
    </row>
    <row r="2021" spans="2:3" s="675" customFormat="1">
      <c r="B2021" s="794"/>
      <c r="C2021" s="794"/>
    </row>
    <row r="2022" spans="2:3" s="675" customFormat="1">
      <c r="B2022" s="794"/>
      <c r="C2022" s="794"/>
    </row>
    <row r="2023" spans="2:3" s="675" customFormat="1">
      <c r="B2023" s="794"/>
      <c r="C2023" s="794"/>
    </row>
    <row r="2024" spans="2:3" s="675" customFormat="1">
      <c r="B2024" s="794"/>
      <c r="C2024" s="794"/>
    </row>
    <row r="2025" spans="2:3" s="675" customFormat="1">
      <c r="B2025" s="794"/>
      <c r="C2025" s="794"/>
    </row>
    <row r="2026" spans="2:3" s="675" customFormat="1">
      <c r="B2026" s="794"/>
      <c r="C2026" s="794"/>
    </row>
    <row r="2027" spans="2:3" s="675" customFormat="1">
      <c r="B2027" s="794"/>
      <c r="C2027" s="794"/>
    </row>
    <row r="2028" spans="2:3" s="675" customFormat="1">
      <c r="B2028" s="794"/>
      <c r="C2028" s="794"/>
    </row>
    <row r="2029" spans="2:3" s="675" customFormat="1">
      <c r="B2029" s="794"/>
      <c r="C2029" s="794"/>
    </row>
    <row r="2030" spans="2:3" s="675" customFormat="1">
      <c r="B2030" s="794"/>
      <c r="C2030" s="794"/>
    </row>
    <row r="2031" spans="2:3" s="675" customFormat="1">
      <c r="B2031" s="794"/>
      <c r="C2031" s="794"/>
    </row>
    <row r="2032" spans="2:3" s="675" customFormat="1">
      <c r="B2032" s="794"/>
      <c r="C2032" s="794"/>
    </row>
    <row r="2033" spans="2:3" s="675" customFormat="1">
      <c r="B2033" s="794"/>
      <c r="C2033" s="794"/>
    </row>
    <row r="2034" spans="2:3" s="675" customFormat="1">
      <c r="B2034" s="794"/>
      <c r="C2034" s="794"/>
    </row>
    <row r="2035" spans="2:3" s="675" customFormat="1">
      <c r="B2035" s="794"/>
      <c r="C2035" s="794"/>
    </row>
    <row r="2036" spans="2:3" s="675" customFormat="1">
      <c r="B2036" s="794"/>
      <c r="C2036" s="794"/>
    </row>
    <row r="2037" spans="2:3" s="675" customFormat="1">
      <c r="B2037" s="794"/>
      <c r="C2037" s="794"/>
    </row>
    <row r="2038" spans="2:3" s="675" customFormat="1">
      <c r="B2038" s="794"/>
      <c r="C2038" s="794"/>
    </row>
    <row r="2039" spans="2:3" s="675" customFormat="1">
      <c r="B2039" s="794"/>
      <c r="C2039" s="794"/>
    </row>
    <row r="2040" spans="2:3" s="675" customFormat="1">
      <c r="B2040" s="794"/>
      <c r="C2040" s="794"/>
    </row>
    <row r="2041" spans="2:3" s="675" customFormat="1">
      <c r="B2041" s="794"/>
      <c r="C2041" s="794"/>
    </row>
    <row r="2042" spans="2:3" s="675" customFormat="1">
      <c r="B2042" s="794"/>
      <c r="C2042" s="794"/>
    </row>
    <row r="2043" spans="2:3" s="675" customFormat="1">
      <c r="B2043" s="794"/>
      <c r="C2043" s="794"/>
    </row>
    <row r="2044" spans="2:3" s="675" customFormat="1">
      <c r="B2044" s="794"/>
      <c r="C2044" s="794"/>
    </row>
    <row r="2045" spans="2:3" s="675" customFormat="1">
      <c r="B2045" s="794"/>
      <c r="C2045" s="794"/>
    </row>
    <row r="2046" spans="2:3" s="675" customFormat="1">
      <c r="B2046" s="794"/>
      <c r="C2046" s="794"/>
    </row>
    <row r="2047" spans="2:3" s="675" customFormat="1">
      <c r="B2047" s="794"/>
      <c r="C2047" s="794"/>
    </row>
    <row r="2048" spans="2:3" s="675" customFormat="1">
      <c r="B2048" s="794"/>
      <c r="C2048" s="794"/>
    </row>
    <row r="2049" spans="2:3" s="675" customFormat="1">
      <c r="B2049" s="794"/>
      <c r="C2049" s="794"/>
    </row>
    <row r="2050" spans="2:3" s="675" customFormat="1">
      <c r="B2050" s="794"/>
      <c r="C2050" s="794"/>
    </row>
    <row r="2051" spans="2:3" s="675" customFormat="1">
      <c r="B2051" s="794"/>
      <c r="C2051" s="794"/>
    </row>
    <row r="2052" spans="2:3" s="675" customFormat="1">
      <c r="B2052" s="794"/>
      <c r="C2052" s="794"/>
    </row>
    <row r="2053" spans="2:3" s="675" customFormat="1">
      <c r="B2053" s="794"/>
      <c r="C2053" s="794"/>
    </row>
    <row r="2054" spans="2:3" s="675" customFormat="1">
      <c r="B2054" s="794"/>
      <c r="C2054" s="794"/>
    </row>
    <row r="2055" spans="2:3" s="675" customFormat="1">
      <c r="B2055" s="794"/>
      <c r="C2055" s="794"/>
    </row>
    <row r="2056" spans="2:3" s="675" customFormat="1">
      <c r="B2056" s="794"/>
      <c r="C2056" s="794"/>
    </row>
    <row r="2057" spans="2:3" s="675" customFormat="1">
      <c r="B2057" s="794"/>
      <c r="C2057" s="794"/>
    </row>
    <row r="2058" spans="2:3" s="675" customFormat="1">
      <c r="B2058" s="794"/>
      <c r="C2058" s="794"/>
    </row>
    <row r="2059" spans="2:3" s="675" customFormat="1">
      <c r="B2059" s="794"/>
      <c r="C2059" s="794"/>
    </row>
    <row r="2060" spans="2:3" s="675" customFormat="1">
      <c r="B2060" s="794"/>
      <c r="C2060" s="794"/>
    </row>
    <row r="2061" spans="2:3" s="675" customFormat="1">
      <c r="B2061" s="794"/>
      <c r="C2061" s="794"/>
    </row>
    <row r="2062" spans="2:3" s="675" customFormat="1">
      <c r="B2062" s="794"/>
      <c r="C2062" s="794"/>
    </row>
    <row r="2063" spans="2:3" s="675" customFormat="1">
      <c r="B2063" s="794"/>
      <c r="C2063" s="794"/>
    </row>
    <row r="2064" spans="2:3" s="675" customFormat="1">
      <c r="B2064" s="794"/>
      <c r="C2064" s="794"/>
    </row>
    <row r="2065" spans="2:3" s="675" customFormat="1">
      <c r="B2065" s="794"/>
      <c r="C2065" s="794"/>
    </row>
    <row r="2066" spans="2:3" s="675" customFormat="1">
      <c r="B2066" s="794"/>
      <c r="C2066" s="794"/>
    </row>
    <row r="2067" spans="2:3" s="675" customFormat="1">
      <c r="B2067" s="794"/>
      <c r="C2067" s="794"/>
    </row>
    <row r="2068" spans="2:3" s="675" customFormat="1">
      <c r="B2068" s="794"/>
      <c r="C2068" s="794"/>
    </row>
    <row r="2069" spans="2:3" s="675" customFormat="1">
      <c r="B2069" s="794"/>
      <c r="C2069" s="794"/>
    </row>
    <row r="2070" spans="2:3" s="675" customFormat="1">
      <c r="B2070" s="794"/>
      <c r="C2070" s="794"/>
    </row>
    <row r="2071" spans="2:3" s="675" customFormat="1">
      <c r="B2071" s="794"/>
      <c r="C2071" s="794"/>
    </row>
    <row r="2072" spans="2:3" s="675" customFormat="1">
      <c r="B2072" s="794"/>
      <c r="C2072" s="794"/>
    </row>
    <row r="2073" spans="2:3" s="675" customFormat="1">
      <c r="B2073" s="794"/>
      <c r="C2073" s="794"/>
    </row>
    <row r="2074" spans="2:3" s="675" customFormat="1">
      <c r="B2074" s="794"/>
      <c r="C2074" s="794"/>
    </row>
    <row r="2075" spans="2:3" s="675" customFormat="1">
      <c r="B2075" s="794"/>
      <c r="C2075" s="794"/>
    </row>
    <row r="2076" spans="2:3" s="675" customFormat="1">
      <c r="B2076" s="794"/>
      <c r="C2076" s="794"/>
    </row>
    <row r="2077" spans="2:3" s="675" customFormat="1">
      <c r="B2077" s="794"/>
      <c r="C2077" s="794"/>
    </row>
    <row r="2078" spans="2:3" s="675" customFormat="1">
      <c r="B2078" s="794"/>
      <c r="C2078" s="794"/>
    </row>
    <row r="2079" spans="2:3" s="675" customFormat="1">
      <c r="B2079" s="794"/>
      <c r="C2079" s="794"/>
    </row>
    <row r="2080" spans="2:3" s="675" customFormat="1">
      <c r="B2080" s="794"/>
      <c r="C2080" s="794"/>
    </row>
    <row r="2081" spans="2:3" s="675" customFormat="1">
      <c r="B2081" s="794"/>
      <c r="C2081" s="794"/>
    </row>
    <row r="2082" spans="2:3" s="675" customFormat="1">
      <c r="B2082" s="794"/>
      <c r="C2082" s="794"/>
    </row>
    <row r="2083" spans="2:3" s="675" customFormat="1">
      <c r="B2083" s="794"/>
      <c r="C2083" s="794"/>
    </row>
    <row r="2084" spans="2:3" s="675" customFormat="1">
      <c r="B2084" s="794"/>
      <c r="C2084" s="794"/>
    </row>
    <row r="2085" spans="2:3" s="675" customFormat="1">
      <c r="B2085" s="794"/>
      <c r="C2085" s="794"/>
    </row>
    <row r="2086" spans="2:3" s="675" customFormat="1">
      <c r="B2086" s="794"/>
      <c r="C2086" s="794"/>
    </row>
    <row r="2087" spans="2:3" s="675" customFormat="1">
      <c r="B2087" s="794"/>
      <c r="C2087" s="794"/>
    </row>
    <row r="2088" spans="2:3" s="675" customFormat="1">
      <c r="B2088" s="794"/>
      <c r="C2088" s="794"/>
    </row>
    <row r="2089" spans="2:3" s="675" customFormat="1">
      <c r="B2089" s="794"/>
      <c r="C2089" s="794"/>
    </row>
    <row r="2090" spans="2:3" s="675" customFormat="1">
      <c r="B2090" s="794"/>
      <c r="C2090" s="794"/>
    </row>
    <row r="2091" spans="2:3" s="675" customFormat="1">
      <c r="B2091" s="794"/>
      <c r="C2091" s="794"/>
    </row>
    <row r="2092" spans="2:3" s="675" customFormat="1">
      <c r="B2092" s="794"/>
      <c r="C2092" s="794"/>
    </row>
    <row r="2093" spans="2:3" s="675" customFormat="1">
      <c r="B2093" s="794"/>
      <c r="C2093" s="794"/>
    </row>
    <row r="2094" spans="2:3" s="675" customFormat="1">
      <c r="B2094" s="794"/>
      <c r="C2094" s="794"/>
    </row>
    <row r="2095" spans="2:3" s="675" customFormat="1">
      <c r="B2095" s="794"/>
      <c r="C2095" s="794"/>
    </row>
    <row r="2096" spans="2:3" s="675" customFormat="1">
      <c r="B2096" s="794"/>
      <c r="C2096" s="794"/>
    </row>
    <row r="2097" spans="2:3" s="675" customFormat="1">
      <c r="B2097" s="794"/>
      <c r="C2097" s="794"/>
    </row>
    <row r="2098" spans="2:3" s="675" customFormat="1">
      <c r="B2098" s="794"/>
      <c r="C2098" s="794"/>
    </row>
    <row r="2099" spans="2:3" s="675" customFormat="1">
      <c r="B2099" s="794"/>
      <c r="C2099" s="794"/>
    </row>
    <row r="2100" spans="2:3" s="675" customFormat="1">
      <c r="B2100" s="794"/>
      <c r="C2100" s="794"/>
    </row>
    <row r="2101" spans="2:3" s="675" customFormat="1">
      <c r="B2101" s="794"/>
      <c r="C2101" s="794"/>
    </row>
    <row r="2102" spans="2:3" s="675" customFormat="1">
      <c r="B2102" s="794"/>
      <c r="C2102" s="794"/>
    </row>
    <row r="2103" spans="2:3" s="675" customFormat="1">
      <c r="B2103" s="794"/>
      <c r="C2103" s="794"/>
    </row>
    <row r="2104" spans="2:3" s="675" customFormat="1">
      <c r="B2104" s="794"/>
      <c r="C2104" s="794"/>
    </row>
    <row r="2105" spans="2:3" s="675" customFormat="1">
      <c r="B2105" s="794"/>
      <c r="C2105" s="794"/>
    </row>
    <row r="2106" spans="2:3" s="675" customFormat="1">
      <c r="B2106" s="794"/>
      <c r="C2106" s="794"/>
    </row>
    <row r="2107" spans="2:3" s="675" customFormat="1">
      <c r="B2107" s="794"/>
      <c r="C2107" s="794"/>
    </row>
    <row r="2108" spans="2:3" s="675" customFormat="1">
      <c r="B2108" s="794"/>
      <c r="C2108" s="794"/>
    </row>
    <row r="2109" spans="2:3" s="675" customFormat="1">
      <c r="B2109" s="794"/>
      <c r="C2109" s="794"/>
    </row>
    <row r="2110" spans="2:3" s="675" customFormat="1">
      <c r="B2110" s="794"/>
      <c r="C2110" s="794"/>
    </row>
    <row r="2111" spans="2:3" s="675" customFormat="1">
      <c r="B2111" s="794"/>
      <c r="C2111" s="794"/>
    </row>
    <row r="2112" spans="2:3" s="675" customFormat="1">
      <c r="B2112" s="794"/>
      <c r="C2112" s="794"/>
    </row>
    <row r="2113" spans="2:3" s="675" customFormat="1">
      <c r="B2113" s="794"/>
      <c r="C2113" s="794"/>
    </row>
    <row r="2114" spans="2:3" s="675" customFormat="1">
      <c r="B2114" s="794"/>
      <c r="C2114" s="794"/>
    </row>
    <row r="2115" spans="2:3" s="675" customFormat="1">
      <c r="B2115" s="794"/>
      <c r="C2115" s="794"/>
    </row>
    <row r="2116" spans="2:3" s="675" customFormat="1">
      <c r="B2116" s="794"/>
      <c r="C2116" s="794"/>
    </row>
    <row r="2117" spans="2:3" s="675" customFormat="1">
      <c r="B2117" s="794"/>
      <c r="C2117" s="794"/>
    </row>
    <row r="2118" spans="2:3" s="675" customFormat="1">
      <c r="B2118" s="794"/>
      <c r="C2118" s="794"/>
    </row>
    <row r="2119" spans="2:3" s="675" customFormat="1">
      <c r="B2119" s="794"/>
      <c r="C2119" s="794"/>
    </row>
    <row r="2120" spans="2:3" s="675" customFormat="1">
      <c r="B2120" s="794"/>
      <c r="C2120" s="794"/>
    </row>
    <row r="2121" spans="2:3" s="675" customFormat="1">
      <c r="B2121" s="794"/>
      <c r="C2121" s="794"/>
    </row>
    <row r="2122" spans="2:3" s="675" customFormat="1">
      <c r="B2122" s="794"/>
      <c r="C2122" s="794"/>
    </row>
    <row r="2123" spans="2:3" s="675" customFormat="1">
      <c r="B2123" s="794"/>
      <c r="C2123" s="794"/>
    </row>
    <row r="2124" spans="2:3" s="675" customFormat="1">
      <c r="B2124" s="794"/>
      <c r="C2124" s="794"/>
    </row>
    <row r="2125" spans="2:3" s="675" customFormat="1">
      <c r="B2125" s="794"/>
      <c r="C2125" s="794"/>
    </row>
    <row r="2126" spans="2:3" s="675" customFormat="1">
      <c r="B2126" s="794"/>
      <c r="C2126" s="794"/>
    </row>
    <row r="2127" spans="2:3" s="675" customFormat="1">
      <c r="B2127" s="794"/>
      <c r="C2127" s="794"/>
    </row>
    <row r="2128" spans="2:3" s="675" customFormat="1">
      <c r="B2128" s="794"/>
      <c r="C2128" s="794"/>
    </row>
    <row r="2129" spans="2:3" s="675" customFormat="1">
      <c r="B2129" s="794"/>
      <c r="C2129" s="794"/>
    </row>
    <row r="2130" spans="2:3" s="675" customFormat="1">
      <c r="B2130" s="794"/>
      <c r="C2130" s="794"/>
    </row>
    <row r="2131" spans="2:3" s="675" customFormat="1">
      <c r="B2131" s="794"/>
      <c r="C2131" s="794"/>
    </row>
    <row r="2132" spans="2:3" s="675" customFormat="1">
      <c r="B2132" s="794"/>
      <c r="C2132" s="794"/>
    </row>
    <row r="2133" spans="2:3" s="675" customFormat="1">
      <c r="B2133" s="794"/>
      <c r="C2133" s="794"/>
    </row>
    <row r="2134" spans="2:3" s="675" customFormat="1">
      <c r="B2134" s="794"/>
      <c r="C2134" s="794"/>
    </row>
    <row r="2135" spans="2:3" s="675" customFormat="1">
      <c r="B2135" s="794"/>
      <c r="C2135" s="794"/>
    </row>
    <row r="2136" spans="2:3" s="675" customFormat="1">
      <c r="B2136" s="794"/>
      <c r="C2136" s="794"/>
    </row>
    <row r="2137" spans="2:3" s="675" customFormat="1">
      <c r="B2137" s="794"/>
      <c r="C2137" s="794"/>
    </row>
    <row r="2138" spans="2:3" s="675" customFormat="1">
      <c r="B2138" s="794"/>
      <c r="C2138" s="794"/>
    </row>
    <row r="2139" spans="2:3" s="675" customFormat="1">
      <c r="B2139" s="794"/>
      <c r="C2139" s="794"/>
    </row>
    <row r="2140" spans="2:3" s="675" customFormat="1">
      <c r="B2140" s="794"/>
      <c r="C2140" s="794"/>
    </row>
    <row r="2141" spans="2:3" s="675" customFormat="1">
      <c r="B2141" s="794"/>
      <c r="C2141" s="794"/>
    </row>
    <row r="2142" spans="2:3" s="675" customFormat="1">
      <c r="B2142" s="794"/>
      <c r="C2142" s="794"/>
    </row>
    <row r="2143" spans="2:3" s="675" customFormat="1">
      <c r="B2143" s="794"/>
      <c r="C2143" s="794"/>
    </row>
    <row r="2144" spans="2:3" s="675" customFormat="1">
      <c r="B2144" s="794"/>
      <c r="C2144" s="794"/>
    </row>
    <row r="2145" spans="2:3" s="675" customFormat="1">
      <c r="B2145" s="794"/>
      <c r="C2145" s="794"/>
    </row>
    <row r="2146" spans="2:3" s="675" customFormat="1">
      <c r="B2146" s="794"/>
      <c r="C2146" s="794"/>
    </row>
    <row r="2147" spans="2:3" s="675" customFormat="1">
      <c r="B2147" s="794"/>
      <c r="C2147" s="794"/>
    </row>
    <row r="2148" spans="2:3" s="675" customFormat="1">
      <c r="B2148" s="794"/>
      <c r="C2148" s="794"/>
    </row>
    <row r="2149" spans="2:3" s="675" customFormat="1">
      <c r="B2149" s="794"/>
      <c r="C2149" s="794"/>
    </row>
    <row r="2150" spans="2:3" s="675" customFormat="1">
      <c r="B2150" s="794"/>
      <c r="C2150" s="794"/>
    </row>
    <row r="2151" spans="2:3" s="675" customFormat="1">
      <c r="B2151" s="794"/>
      <c r="C2151" s="794"/>
    </row>
    <row r="2152" spans="2:3" s="675" customFormat="1">
      <c r="B2152" s="794"/>
      <c r="C2152" s="794"/>
    </row>
    <row r="2153" spans="2:3" s="675" customFormat="1">
      <c r="B2153" s="794"/>
      <c r="C2153" s="794"/>
    </row>
    <row r="2154" spans="2:3" s="675" customFormat="1">
      <c r="B2154" s="794"/>
      <c r="C2154" s="794"/>
    </row>
    <row r="2155" spans="2:3" s="675" customFormat="1">
      <c r="B2155" s="794"/>
      <c r="C2155" s="794"/>
    </row>
    <row r="2156" spans="2:3" s="675" customFormat="1">
      <c r="B2156" s="794"/>
      <c r="C2156" s="794"/>
    </row>
    <row r="2157" spans="2:3" s="675" customFormat="1">
      <c r="B2157" s="794"/>
      <c r="C2157" s="794"/>
    </row>
    <row r="2158" spans="2:3" s="675" customFormat="1">
      <c r="B2158" s="794"/>
      <c r="C2158" s="794"/>
    </row>
    <row r="2159" spans="2:3" s="675" customFormat="1">
      <c r="B2159" s="794"/>
      <c r="C2159" s="794"/>
    </row>
    <row r="2160" spans="2:3" s="675" customFormat="1">
      <c r="B2160" s="794"/>
      <c r="C2160" s="794"/>
    </row>
    <row r="2161" spans="2:3" s="675" customFormat="1">
      <c r="B2161" s="794"/>
      <c r="C2161" s="794"/>
    </row>
    <row r="2162" spans="2:3" s="675" customFormat="1">
      <c r="B2162" s="794"/>
      <c r="C2162" s="794"/>
    </row>
    <row r="2163" spans="2:3" s="675" customFormat="1">
      <c r="B2163" s="794"/>
      <c r="C2163" s="794"/>
    </row>
    <row r="2164" spans="2:3" s="675" customFormat="1">
      <c r="B2164" s="794"/>
      <c r="C2164" s="794"/>
    </row>
    <row r="2165" spans="2:3" s="675" customFormat="1">
      <c r="B2165" s="794"/>
      <c r="C2165" s="794"/>
    </row>
    <row r="2166" spans="2:3" s="675" customFormat="1">
      <c r="B2166" s="794"/>
      <c r="C2166" s="794"/>
    </row>
    <row r="2167" spans="2:3" s="675" customFormat="1">
      <c r="B2167" s="794"/>
      <c r="C2167" s="794"/>
    </row>
    <row r="2168" spans="2:3" s="675" customFormat="1">
      <c r="B2168" s="794"/>
      <c r="C2168" s="794"/>
    </row>
    <row r="2169" spans="2:3" s="675" customFormat="1">
      <c r="B2169" s="794"/>
      <c r="C2169" s="794"/>
    </row>
    <row r="2170" spans="2:3" s="675" customFormat="1">
      <c r="B2170" s="794"/>
      <c r="C2170" s="794"/>
    </row>
    <row r="2171" spans="2:3" s="675" customFormat="1">
      <c r="B2171" s="794"/>
      <c r="C2171" s="794"/>
    </row>
    <row r="2172" spans="2:3" s="675" customFormat="1">
      <c r="B2172" s="794"/>
      <c r="C2172" s="794"/>
    </row>
    <row r="2173" spans="2:3" s="675" customFormat="1">
      <c r="B2173" s="794"/>
      <c r="C2173" s="794"/>
    </row>
    <row r="2174" spans="2:3" s="675" customFormat="1">
      <c r="B2174" s="794"/>
      <c r="C2174" s="794"/>
    </row>
    <row r="2175" spans="2:3" s="675" customFormat="1">
      <c r="B2175" s="794"/>
      <c r="C2175" s="794"/>
    </row>
    <row r="2176" spans="2:3" s="675" customFormat="1">
      <c r="B2176" s="794"/>
      <c r="C2176" s="794"/>
    </row>
    <row r="2177" spans="2:3" s="675" customFormat="1">
      <c r="B2177" s="794"/>
      <c r="C2177" s="794"/>
    </row>
    <row r="2178" spans="2:3" s="675" customFormat="1">
      <c r="B2178" s="794"/>
      <c r="C2178" s="794"/>
    </row>
    <row r="2179" spans="2:3" s="675" customFormat="1">
      <c r="B2179" s="794"/>
      <c r="C2179" s="794"/>
    </row>
    <row r="2180" spans="2:3" s="675" customFormat="1">
      <c r="B2180" s="794"/>
      <c r="C2180" s="794"/>
    </row>
    <row r="2181" spans="2:3" s="675" customFormat="1">
      <c r="B2181" s="794"/>
      <c r="C2181" s="794"/>
    </row>
    <row r="2182" spans="2:3" s="675" customFormat="1">
      <c r="B2182" s="794"/>
      <c r="C2182" s="794"/>
    </row>
    <row r="2183" spans="2:3" s="675" customFormat="1">
      <c r="B2183" s="794"/>
      <c r="C2183" s="794"/>
    </row>
    <row r="2184" spans="2:3" s="675" customFormat="1">
      <c r="B2184" s="794"/>
      <c r="C2184" s="794"/>
    </row>
    <row r="2185" spans="2:3" s="675" customFormat="1">
      <c r="B2185" s="794"/>
      <c r="C2185" s="794"/>
    </row>
    <row r="2186" spans="2:3" s="675" customFormat="1">
      <c r="B2186" s="794"/>
      <c r="C2186" s="794"/>
    </row>
    <row r="2187" spans="2:3" s="675" customFormat="1">
      <c r="B2187" s="794"/>
      <c r="C2187" s="794"/>
    </row>
    <row r="2188" spans="2:3" s="675" customFormat="1">
      <c r="B2188" s="794"/>
      <c r="C2188" s="794"/>
    </row>
    <row r="2189" spans="2:3" s="675" customFormat="1">
      <c r="B2189" s="794"/>
      <c r="C2189" s="794"/>
    </row>
    <row r="2190" spans="2:3" s="675" customFormat="1">
      <c r="B2190" s="794"/>
      <c r="C2190" s="794"/>
    </row>
    <row r="2191" spans="2:3" s="675" customFormat="1">
      <c r="B2191" s="794"/>
      <c r="C2191" s="794"/>
    </row>
    <row r="2192" spans="2:3" s="675" customFormat="1">
      <c r="B2192" s="794"/>
      <c r="C2192" s="794"/>
    </row>
    <row r="2193" spans="2:3" s="675" customFormat="1">
      <c r="B2193" s="794"/>
      <c r="C2193" s="794"/>
    </row>
    <row r="2194" spans="2:3" s="675" customFormat="1">
      <c r="B2194" s="794"/>
      <c r="C2194" s="794"/>
    </row>
    <row r="2195" spans="2:3" s="675" customFormat="1">
      <c r="B2195" s="794"/>
      <c r="C2195" s="794"/>
    </row>
    <row r="2196" spans="2:3" s="675" customFormat="1">
      <c r="B2196" s="794"/>
      <c r="C2196" s="794"/>
    </row>
    <row r="2197" spans="2:3" s="675" customFormat="1">
      <c r="B2197" s="794"/>
      <c r="C2197" s="794"/>
    </row>
    <row r="2198" spans="2:3" s="675" customFormat="1">
      <c r="B2198" s="794"/>
      <c r="C2198" s="794"/>
    </row>
    <row r="2199" spans="2:3" s="675" customFormat="1">
      <c r="B2199" s="794"/>
      <c r="C2199" s="794"/>
    </row>
    <row r="2200" spans="2:3" s="675" customFormat="1">
      <c r="B2200" s="794"/>
      <c r="C2200" s="794"/>
    </row>
    <row r="2201" spans="2:3" s="675" customFormat="1">
      <c r="B2201" s="794"/>
      <c r="C2201" s="794"/>
    </row>
    <row r="2202" spans="2:3" s="675" customFormat="1">
      <c r="B2202" s="794"/>
      <c r="C2202" s="794"/>
    </row>
    <row r="2203" spans="2:3" s="675" customFormat="1">
      <c r="B2203" s="794"/>
      <c r="C2203" s="794"/>
    </row>
    <row r="2204" spans="2:3" s="675" customFormat="1">
      <c r="B2204" s="794"/>
      <c r="C2204" s="794"/>
    </row>
    <row r="2205" spans="2:3" s="675" customFormat="1">
      <c r="B2205" s="794"/>
      <c r="C2205" s="794"/>
    </row>
    <row r="2206" spans="2:3" s="675" customFormat="1">
      <c r="B2206" s="794"/>
      <c r="C2206" s="794"/>
    </row>
    <row r="2207" spans="2:3" s="675" customFormat="1">
      <c r="B2207" s="794"/>
      <c r="C2207" s="794"/>
    </row>
    <row r="2208" spans="2:3" s="675" customFormat="1">
      <c r="B2208" s="794"/>
      <c r="C2208" s="794"/>
    </row>
    <row r="2209" spans="2:3" s="675" customFormat="1">
      <c r="B2209" s="794"/>
      <c r="C2209" s="794"/>
    </row>
    <row r="2210" spans="2:3" s="675" customFormat="1">
      <c r="B2210" s="794"/>
      <c r="C2210" s="794"/>
    </row>
    <row r="2211" spans="2:3" s="675" customFormat="1">
      <c r="B2211" s="794"/>
      <c r="C2211" s="794"/>
    </row>
    <row r="2212" spans="2:3" s="675" customFormat="1">
      <c r="B2212" s="794"/>
      <c r="C2212" s="794"/>
    </row>
    <row r="2213" spans="2:3" s="675" customFormat="1">
      <c r="B2213" s="794"/>
      <c r="C2213" s="794"/>
    </row>
    <row r="2214" spans="2:3" s="675" customFormat="1">
      <c r="B2214" s="794"/>
      <c r="C2214" s="794"/>
    </row>
    <row r="2215" spans="2:3" s="675" customFormat="1">
      <c r="B2215" s="794"/>
      <c r="C2215" s="794"/>
    </row>
    <row r="2216" spans="2:3" s="675" customFormat="1">
      <c r="B2216" s="794"/>
      <c r="C2216" s="794"/>
    </row>
    <row r="2217" spans="2:3" s="675" customFormat="1">
      <c r="B2217" s="794"/>
      <c r="C2217" s="794"/>
    </row>
    <row r="2218" spans="2:3" s="675" customFormat="1">
      <c r="B2218" s="794"/>
      <c r="C2218" s="794"/>
    </row>
    <row r="2219" spans="2:3" s="675" customFormat="1">
      <c r="B2219" s="794"/>
      <c r="C2219" s="794"/>
    </row>
    <row r="2220" spans="2:3" s="675" customFormat="1">
      <c r="B2220" s="794"/>
      <c r="C2220" s="794"/>
    </row>
    <row r="2221" spans="2:3" s="675" customFormat="1">
      <c r="B2221" s="794"/>
      <c r="C2221" s="794"/>
    </row>
    <row r="2222" spans="2:3" s="675" customFormat="1">
      <c r="B2222" s="794"/>
      <c r="C2222" s="794"/>
    </row>
    <row r="2223" spans="2:3" s="675" customFormat="1">
      <c r="B2223" s="794"/>
      <c r="C2223" s="794"/>
    </row>
  </sheetData>
  <sheetProtection password="85F4" sheet="1" objects="1" scenarios="1" formatCells="0" formatColumns="0" formatRows="0" deleteRows="0"/>
  <mergeCells count="24">
    <mergeCell ref="B34:D34"/>
    <mergeCell ref="E34:G34"/>
    <mergeCell ref="A20:A21"/>
    <mergeCell ref="B22:B24"/>
    <mergeCell ref="C22:C24"/>
    <mergeCell ref="D22:D24"/>
    <mergeCell ref="G22:G24"/>
    <mergeCell ref="A27:A29"/>
    <mergeCell ref="A34:A35"/>
    <mergeCell ref="C2:F2"/>
    <mergeCell ref="C3:F3"/>
    <mergeCell ref="F4:H4"/>
    <mergeCell ref="G2:J2"/>
    <mergeCell ref="B31:D31"/>
    <mergeCell ref="E31:G31"/>
    <mergeCell ref="B28:D28"/>
    <mergeCell ref="E28:G28"/>
    <mergeCell ref="B27:G27"/>
    <mergeCell ref="A5:B6"/>
    <mergeCell ref="E5:E6"/>
    <mergeCell ref="F5:F6"/>
    <mergeCell ref="C5:C6"/>
    <mergeCell ref="A31:A32"/>
    <mergeCell ref="D13:E13"/>
  </mergeCells>
  <phoneticPr fontId="25" type="noConversion"/>
  <conditionalFormatting sqref="B30">
    <cfRule type="cellIs" dxfId="0" priority="1" stopIfTrue="1" operator="equal">
      <formula>"#DIV/0!"</formula>
    </cfRule>
  </conditionalFormatting>
  <pageMargins left="0.75" right="0.75" top="1" bottom="1" header="0.5" footer="0.5"/>
  <pageSetup scale="36" fitToHeight="2" orientation="portrait" r:id="rId1"/>
  <headerFooter alignWithMargins="0">
    <oddHeader>&amp;A</oddHeader>
    <oddFooter>Page &amp;P&amp;RT-REX_v1.1</oddFooter>
  </headerFooter>
  <legacyDrawing r:id="rId2"/>
</worksheet>
</file>

<file path=xl/worksheets/sheet9.xml><?xml version="1.0" encoding="utf-8"?>
<worksheet xmlns="http://schemas.openxmlformats.org/spreadsheetml/2006/main" xmlns:r="http://schemas.openxmlformats.org/officeDocument/2006/relationships">
  <sheetPr codeName="Sheet8" enableFormatConditionsCalculation="0">
    <tabColor indexed="61"/>
  </sheetPr>
  <dimension ref="V2:AQ405"/>
  <sheetViews>
    <sheetView topLeftCell="B1" zoomScale="75" zoomScaleNormal="75" workbookViewId="0">
      <selection activeCell="U1" sqref="U1"/>
    </sheetView>
  </sheetViews>
  <sheetFormatPr defaultRowHeight="12.75"/>
  <cols>
    <col min="21" max="21" width="4.7109375" customWidth="1"/>
    <col min="22" max="22" width="11.28515625" customWidth="1"/>
    <col min="23" max="23" width="37.42578125" customWidth="1"/>
    <col min="24" max="24" width="6.140625" customWidth="1"/>
    <col min="25" max="25" width="14.85546875" customWidth="1"/>
    <col min="29" max="29" width="11.42578125" customWidth="1"/>
    <col min="31" max="31" width="10.85546875" customWidth="1"/>
    <col min="32" max="32" width="11.42578125" customWidth="1"/>
    <col min="36" max="36" width="10.140625" customWidth="1"/>
    <col min="43" max="43" width="14.85546875" customWidth="1"/>
  </cols>
  <sheetData>
    <row r="2" spans="22:43" ht="13.5" thickBot="1">
      <c r="AA2" s="42"/>
      <c r="AB2" s="1049" t="s">
        <v>14</v>
      </c>
      <c r="AC2" s="1050"/>
      <c r="AD2" s="1051"/>
      <c r="AE2" s="1049" t="s">
        <v>258</v>
      </c>
      <c r="AF2" s="1050"/>
      <c r="AG2" s="1051"/>
      <c r="AH2" s="1049" t="s">
        <v>258</v>
      </c>
      <c r="AI2" s="1050"/>
      <c r="AJ2" s="1051"/>
      <c r="AK2" s="1049" t="s">
        <v>262</v>
      </c>
      <c r="AL2" s="1050"/>
      <c r="AM2" s="1051"/>
      <c r="AN2" s="1049" t="s">
        <v>262</v>
      </c>
      <c r="AO2" s="1050"/>
      <c r="AP2" s="1051"/>
      <c r="AQ2" t="s">
        <v>266</v>
      </c>
    </row>
    <row r="3" spans="22:43">
      <c r="V3" s="1052" t="s">
        <v>77</v>
      </c>
      <c r="W3" s="1053"/>
      <c r="X3" s="1054"/>
      <c r="Y3" s="138" t="s">
        <v>81</v>
      </c>
      <c r="AA3" s="43" t="s">
        <v>20</v>
      </c>
      <c r="AB3" s="44" t="s">
        <v>78</v>
      </c>
      <c r="AC3" s="45" t="s">
        <v>79</v>
      </c>
      <c r="AD3" s="46" t="s">
        <v>80</v>
      </c>
      <c r="AE3" s="44" t="s">
        <v>259</v>
      </c>
      <c r="AF3" s="45" t="s">
        <v>260</v>
      </c>
      <c r="AG3" s="46" t="s">
        <v>261</v>
      </c>
      <c r="AH3" s="44" t="s">
        <v>263</v>
      </c>
      <c r="AI3" s="45" t="s">
        <v>264</v>
      </c>
      <c r="AJ3" s="46" t="s">
        <v>265</v>
      </c>
      <c r="AK3" s="44" t="s">
        <v>259</v>
      </c>
      <c r="AL3" s="45" t="s">
        <v>260</v>
      </c>
      <c r="AM3" s="46" t="s">
        <v>261</v>
      </c>
      <c r="AN3" s="44" t="s">
        <v>263</v>
      </c>
      <c r="AO3" s="45" t="s">
        <v>264</v>
      </c>
      <c r="AP3" s="46" t="s">
        <v>265</v>
      </c>
    </row>
    <row r="4" spans="22:43">
      <c r="V4" s="1055" t="s">
        <v>14</v>
      </c>
      <c r="W4" s="47" t="s">
        <v>78</v>
      </c>
      <c r="X4" s="142">
        <v>0.5</v>
      </c>
      <c r="Y4" s="139">
        <f>'upper bound Kenaga'!D16*Graphs!X4</f>
        <v>0</v>
      </c>
      <c r="AA4" s="41">
        <v>1</v>
      </c>
      <c r="AB4" s="38">
        <f>Y4</f>
        <v>0</v>
      </c>
      <c r="AC4" s="39">
        <f>Y5</f>
        <v>0</v>
      </c>
      <c r="AD4" s="40">
        <f>Y6</f>
        <v>0</v>
      </c>
      <c r="AE4" s="38">
        <f>Y7</f>
        <v>0</v>
      </c>
      <c r="AF4" s="39">
        <f>Y8</f>
        <v>0</v>
      </c>
      <c r="AG4" s="40">
        <f>Y9</f>
        <v>0</v>
      </c>
      <c r="AH4" s="40">
        <f>+Y10</f>
        <v>0</v>
      </c>
      <c r="AI4" s="40">
        <f>Y11</f>
        <v>0</v>
      </c>
      <c r="AJ4" s="40">
        <f>Y12</f>
        <v>0</v>
      </c>
      <c r="AK4" s="155">
        <f>Y13</f>
        <v>0</v>
      </c>
      <c r="AL4" s="155">
        <f>Y14</f>
        <v>0</v>
      </c>
      <c r="AM4" s="156">
        <f>Y15</f>
        <v>0</v>
      </c>
      <c r="AN4" s="156">
        <f>Y16</f>
        <v>0</v>
      </c>
      <c r="AO4" s="156">
        <f>Y17</f>
        <v>0</v>
      </c>
      <c r="AP4" s="156">
        <f>Y18</f>
        <v>0</v>
      </c>
      <c r="AQ4" s="156">
        <f>Y19</f>
        <v>0</v>
      </c>
    </row>
    <row r="5" spans="22:43">
      <c r="V5" s="1056"/>
      <c r="W5" s="47" t="s">
        <v>79</v>
      </c>
      <c r="X5" s="142">
        <v>0.1</v>
      </c>
      <c r="Y5" s="139">
        <f>'upper bound Kenaga'!D16*X5</f>
        <v>0</v>
      </c>
      <c r="AA5" s="41">
        <f>AA4+1</f>
        <v>2</v>
      </c>
      <c r="AB5" s="38">
        <f t="shared" ref="AB5:AB36" si="0">AB4</f>
        <v>0</v>
      </c>
      <c r="AC5" s="39">
        <f t="shared" ref="AC5:AC36" si="1">AC4</f>
        <v>0</v>
      </c>
      <c r="AD5" s="40">
        <f t="shared" ref="AD5:AD36" si="2">AD4</f>
        <v>0</v>
      </c>
      <c r="AE5" s="38">
        <f t="shared" ref="AE5:AE36" si="3">AE4</f>
        <v>0</v>
      </c>
      <c r="AF5" s="39">
        <f t="shared" ref="AF5:AF36" si="4">AF4</f>
        <v>0</v>
      </c>
      <c r="AG5" s="40">
        <f t="shared" ref="AG5:AG36" si="5">AG4</f>
        <v>0</v>
      </c>
      <c r="AH5" s="40">
        <f t="shared" ref="AH5:AH36" si="6">AH4</f>
        <v>0</v>
      </c>
      <c r="AI5" s="40">
        <f t="shared" ref="AI5:AI68" si="7">AI4</f>
        <v>0</v>
      </c>
      <c r="AJ5" s="40">
        <f t="shared" ref="AJ5:AJ68" si="8">AJ4</f>
        <v>0</v>
      </c>
      <c r="AK5" s="40">
        <f t="shared" ref="AK5:AK36" si="9">AK4</f>
        <v>0</v>
      </c>
      <c r="AL5" s="40">
        <f t="shared" ref="AL5:AL36" si="10">AL4</f>
        <v>0</v>
      </c>
      <c r="AM5" s="40">
        <f t="shared" ref="AM5:AM36" si="11">AM4</f>
        <v>0</v>
      </c>
      <c r="AN5" s="40">
        <f t="shared" ref="AN5:AN36" si="12">AN4</f>
        <v>0</v>
      </c>
      <c r="AO5" s="40">
        <f t="shared" ref="AO5:AO68" si="13">AO4</f>
        <v>0</v>
      </c>
      <c r="AP5" s="40">
        <f t="shared" ref="AP5:AQ68" si="14">AP4</f>
        <v>0</v>
      </c>
      <c r="AQ5" s="40">
        <f t="shared" si="14"/>
        <v>0</v>
      </c>
    </row>
    <row r="6" spans="22:43">
      <c r="V6" s="1057"/>
      <c r="W6" s="143" t="s">
        <v>80</v>
      </c>
      <c r="X6" s="144">
        <v>1</v>
      </c>
      <c r="Y6" s="140">
        <f>'upper bound Kenaga'!D18</f>
        <v>0</v>
      </c>
      <c r="AA6" s="41">
        <f t="shared" ref="AA6:AA69" si="15">AA5+1</f>
        <v>3</v>
      </c>
      <c r="AB6" s="38">
        <f t="shared" si="0"/>
        <v>0</v>
      </c>
      <c r="AC6" s="39">
        <f t="shared" si="1"/>
        <v>0</v>
      </c>
      <c r="AD6" s="40">
        <f t="shared" si="2"/>
        <v>0</v>
      </c>
      <c r="AE6" s="38">
        <f t="shared" si="3"/>
        <v>0</v>
      </c>
      <c r="AF6" s="39">
        <f t="shared" si="4"/>
        <v>0</v>
      </c>
      <c r="AG6" s="40">
        <f t="shared" si="5"/>
        <v>0</v>
      </c>
      <c r="AH6" s="40">
        <f t="shared" si="6"/>
        <v>0</v>
      </c>
      <c r="AI6" s="40">
        <f t="shared" si="7"/>
        <v>0</v>
      </c>
      <c r="AJ6" s="40">
        <f t="shared" si="8"/>
        <v>0</v>
      </c>
      <c r="AK6" s="40">
        <f t="shared" si="9"/>
        <v>0</v>
      </c>
      <c r="AL6" s="40">
        <f t="shared" si="10"/>
        <v>0</v>
      </c>
      <c r="AM6" s="40">
        <f t="shared" si="11"/>
        <v>0</v>
      </c>
      <c r="AN6" s="40">
        <f t="shared" si="12"/>
        <v>0</v>
      </c>
      <c r="AO6" s="40">
        <f t="shared" si="13"/>
        <v>0</v>
      </c>
      <c r="AP6" s="40">
        <f t="shared" si="14"/>
        <v>0</v>
      </c>
      <c r="AQ6" s="40">
        <f t="shared" si="14"/>
        <v>0</v>
      </c>
    </row>
    <row r="7" spans="22:43">
      <c r="V7" s="1058" t="s">
        <v>15</v>
      </c>
      <c r="W7" s="47" t="s">
        <v>246</v>
      </c>
      <c r="X7" s="142">
        <v>0.5</v>
      </c>
      <c r="Y7" s="139">
        <f>('upper bound Kenaga'!D105/0.95)*0.5</f>
        <v>0</v>
      </c>
      <c r="AA7" s="41">
        <f t="shared" si="15"/>
        <v>4</v>
      </c>
      <c r="AB7" s="38">
        <f t="shared" si="0"/>
        <v>0</v>
      </c>
      <c r="AC7" s="39">
        <f t="shared" si="1"/>
        <v>0</v>
      </c>
      <c r="AD7" s="40">
        <f t="shared" si="2"/>
        <v>0</v>
      </c>
      <c r="AE7" s="38">
        <f t="shared" si="3"/>
        <v>0</v>
      </c>
      <c r="AF7" s="39">
        <f t="shared" si="4"/>
        <v>0</v>
      </c>
      <c r="AG7" s="40">
        <f t="shared" si="5"/>
        <v>0</v>
      </c>
      <c r="AH7" s="40">
        <f t="shared" si="6"/>
        <v>0</v>
      </c>
      <c r="AI7" s="40">
        <f t="shared" si="7"/>
        <v>0</v>
      </c>
      <c r="AJ7" s="40">
        <f t="shared" si="8"/>
        <v>0</v>
      </c>
      <c r="AK7" s="40">
        <f t="shared" si="9"/>
        <v>0</v>
      </c>
      <c r="AL7" s="40">
        <f t="shared" si="10"/>
        <v>0</v>
      </c>
      <c r="AM7" s="40">
        <f t="shared" si="11"/>
        <v>0</v>
      </c>
      <c r="AN7" s="40">
        <f t="shared" si="12"/>
        <v>0</v>
      </c>
      <c r="AO7" s="40">
        <f t="shared" si="13"/>
        <v>0</v>
      </c>
      <c r="AP7" s="40">
        <f t="shared" si="14"/>
        <v>0</v>
      </c>
      <c r="AQ7" s="40">
        <f t="shared" si="14"/>
        <v>0</v>
      </c>
    </row>
    <row r="8" spans="22:43">
      <c r="V8" s="1056"/>
      <c r="W8" s="47" t="s">
        <v>247</v>
      </c>
      <c r="X8" s="142">
        <v>0.5</v>
      </c>
      <c r="Y8" s="139">
        <f>('upper bound Kenaga'!D106/0.66)*0.5</f>
        <v>0</v>
      </c>
      <c r="AA8" s="41">
        <f t="shared" si="15"/>
        <v>5</v>
      </c>
      <c r="AB8" s="38">
        <f t="shared" si="0"/>
        <v>0</v>
      </c>
      <c r="AC8" s="39">
        <f t="shared" si="1"/>
        <v>0</v>
      </c>
      <c r="AD8" s="40">
        <f t="shared" si="2"/>
        <v>0</v>
      </c>
      <c r="AE8" s="38">
        <f t="shared" si="3"/>
        <v>0</v>
      </c>
      <c r="AF8" s="39">
        <f t="shared" si="4"/>
        <v>0</v>
      </c>
      <c r="AG8" s="40">
        <f t="shared" si="5"/>
        <v>0</v>
      </c>
      <c r="AH8" s="40">
        <f t="shared" si="6"/>
        <v>0</v>
      </c>
      <c r="AI8" s="40">
        <f t="shared" si="7"/>
        <v>0</v>
      </c>
      <c r="AJ8" s="40">
        <f t="shared" si="8"/>
        <v>0</v>
      </c>
      <c r="AK8" s="40">
        <f t="shared" si="9"/>
        <v>0</v>
      </c>
      <c r="AL8" s="40">
        <f t="shared" si="10"/>
        <v>0</v>
      </c>
      <c r="AM8" s="40">
        <f t="shared" si="11"/>
        <v>0</v>
      </c>
      <c r="AN8" s="40">
        <f t="shared" si="12"/>
        <v>0</v>
      </c>
      <c r="AO8" s="40">
        <f t="shared" si="13"/>
        <v>0</v>
      </c>
      <c r="AP8" s="40">
        <f t="shared" si="14"/>
        <v>0</v>
      </c>
      <c r="AQ8" s="40">
        <f t="shared" si="14"/>
        <v>0</v>
      </c>
    </row>
    <row r="9" spans="22:43" ht="13.5" thickBot="1">
      <c r="V9" s="1059"/>
      <c r="W9" s="47" t="s">
        <v>250</v>
      </c>
      <c r="X9" s="142">
        <v>0.5</v>
      </c>
      <c r="Y9" s="139">
        <f>('upper bound Kenaga'!D107/0.55)*0.5</f>
        <v>0</v>
      </c>
      <c r="AA9" s="41">
        <f t="shared" si="15"/>
        <v>6</v>
      </c>
      <c r="AB9" s="38">
        <f t="shared" si="0"/>
        <v>0</v>
      </c>
      <c r="AC9" s="39">
        <f t="shared" si="1"/>
        <v>0</v>
      </c>
      <c r="AD9" s="40">
        <f t="shared" si="2"/>
        <v>0</v>
      </c>
      <c r="AE9" s="38">
        <f t="shared" si="3"/>
        <v>0</v>
      </c>
      <c r="AF9" s="39">
        <f t="shared" si="4"/>
        <v>0</v>
      </c>
      <c r="AG9" s="40">
        <f t="shared" si="5"/>
        <v>0</v>
      </c>
      <c r="AH9" s="40">
        <f t="shared" si="6"/>
        <v>0</v>
      </c>
      <c r="AI9" s="40">
        <f t="shared" si="7"/>
        <v>0</v>
      </c>
      <c r="AJ9" s="40">
        <f t="shared" si="8"/>
        <v>0</v>
      </c>
      <c r="AK9" s="40">
        <f t="shared" si="9"/>
        <v>0</v>
      </c>
      <c r="AL9" s="40">
        <f t="shared" si="10"/>
        <v>0</v>
      </c>
      <c r="AM9" s="40">
        <f t="shared" si="11"/>
        <v>0</v>
      </c>
      <c r="AN9" s="40">
        <f t="shared" si="12"/>
        <v>0</v>
      </c>
      <c r="AO9" s="40">
        <f t="shared" si="13"/>
        <v>0</v>
      </c>
      <c r="AP9" s="40">
        <f t="shared" si="14"/>
        <v>0</v>
      </c>
      <c r="AQ9" s="40">
        <f t="shared" si="14"/>
        <v>0</v>
      </c>
    </row>
    <row r="10" spans="22:43">
      <c r="W10" s="47" t="s">
        <v>248</v>
      </c>
      <c r="X10" s="142">
        <v>0.5</v>
      </c>
      <c r="Y10" s="139">
        <f>('upper bound Kenaga'!D105/0.21)*0.5</f>
        <v>0</v>
      </c>
      <c r="AA10" s="41">
        <f t="shared" si="15"/>
        <v>7</v>
      </c>
      <c r="AB10" s="38">
        <f t="shared" si="0"/>
        <v>0</v>
      </c>
      <c r="AC10" s="39">
        <f t="shared" si="1"/>
        <v>0</v>
      </c>
      <c r="AD10" s="40">
        <f t="shared" si="2"/>
        <v>0</v>
      </c>
      <c r="AE10" s="38">
        <f t="shared" si="3"/>
        <v>0</v>
      </c>
      <c r="AF10" s="39">
        <f t="shared" si="4"/>
        <v>0</v>
      </c>
      <c r="AG10" s="40">
        <f t="shared" si="5"/>
        <v>0</v>
      </c>
      <c r="AH10" s="40">
        <f t="shared" si="6"/>
        <v>0</v>
      </c>
      <c r="AI10" s="40">
        <f t="shared" si="7"/>
        <v>0</v>
      </c>
      <c r="AJ10" s="40">
        <f t="shared" si="8"/>
        <v>0</v>
      </c>
      <c r="AK10" s="40">
        <f t="shared" si="9"/>
        <v>0</v>
      </c>
      <c r="AL10" s="40">
        <f t="shared" si="10"/>
        <v>0</v>
      </c>
      <c r="AM10" s="40">
        <f t="shared" si="11"/>
        <v>0</v>
      </c>
      <c r="AN10" s="40">
        <f t="shared" si="12"/>
        <v>0</v>
      </c>
      <c r="AO10" s="40">
        <f t="shared" si="13"/>
        <v>0</v>
      </c>
      <c r="AP10" s="40">
        <f t="shared" si="14"/>
        <v>0</v>
      </c>
      <c r="AQ10" s="40">
        <f t="shared" si="14"/>
        <v>0</v>
      </c>
    </row>
    <row r="11" spans="22:43">
      <c r="W11" s="47" t="s">
        <v>249</v>
      </c>
      <c r="X11" s="142">
        <v>0.5</v>
      </c>
      <c r="Y11" s="139">
        <f>('upper bound Kenaga'!D106/0.15)*0.5</f>
        <v>0</v>
      </c>
      <c r="AA11" s="41">
        <f t="shared" si="15"/>
        <v>8</v>
      </c>
      <c r="AB11" s="38">
        <f t="shared" si="0"/>
        <v>0</v>
      </c>
      <c r="AC11" s="39">
        <f t="shared" si="1"/>
        <v>0</v>
      </c>
      <c r="AD11" s="40">
        <f t="shared" si="2"/>
        <v>0</v>
      </c>
      <c r="AE11" s="38">
        <f t="shared" si="3"/>
        <v>0</v>
      </c>
      <c r="AF11" s="39">
        <f t="shared" si="4"/>
        <v>0</v>
      </c>
      <c r="AG11" s="40">
        <f t="shared" si="5"/>
        <v>0</v>
      </c>
      <c r="AH11" s="40">
        <f t="shared" si="6"/>
        <v>0</v>
      </c>
      <c r="AI11" s="40">
        <f t="shared" si="7"/>
        <v>0</v>
      </c>
      <c r="AJ11" s="40">
        <f t="shared" si="8"/>
        <v>0</v>
      </c>
      <c r="AK11" s="40">
        <f t="shared" si="9"/>
        <v>0</v>
      </c>
      <c r="AL11" s="40">
        <f t="shared" si="10"/>
        <v>0</v>
      </c>
      <c r="AM11" s="40">
        <f t="shared" si="11"/>
        <v>0</v>
      </c>
      <c r="AN11" s="40">
        <f t="shared" si="12"/>
        <v>0</v>
      </c>
      <c r="AO11" s="40">
        <f t="shared" si="13"/>
        <v>0</v>
      </c>
      <c r="AP11" s="40">
        <f t="shared" si="14"/>
        <v>0</v>
      </c>
      <c r="AQ11" s="40">
        <f t="shared" si="14"/>
        <v>0</v>
      </c>
    </row>
    <row r="12" spans="22:43">
      <c r="W12" s="47" t="s">
        <v>251</v>
      </c>
      <c r="X12" s="142">
        <v>0.5</v>
      </c>
      <c r="Y12" s="139">
        <f>('upper bound Kenaga'!D107/0.03)*0.5</f>
        <v>0</v>
      </c>
      <c r="AA12" s="41">
        <f t="shared" si="15"/>
        <v>9</v>
      </c>
      <c r="AB12" s="38">
        <f t="shared" si="0"/>
        <v>0</v>
      </c>
      <c r="AC12" s="39">
        <f t="shared" si="1"/>
        <v>0</v>
      </c>
      <c r="AD12" s="40">
        <f t="shared" si="2"/>
        <v>0</v>
      </c>
      <c r="AE12" s="38">
        <f t="shared" si="3"/>
        <v>0</v>
      </c>
      <c r="AF12" s="39">
        <f t="shared" si="4"/>
        <v>0</v>
      </c>
      <c r="AG12" s="40">
        <f t="shared" si="5"/>
        <v>0</v>
      </c>
      <c r="AH12" s="40">
        <f t="shared" si="6"/>
        <v>0</v>
      </c>
      <c r="AI12" s="40">
        <f t="shared" si="7"/>
        <v>0</v>
      </c>
      <c r="AJ12" s="40">
        <f t="shared" si="8"/>
        <v>0</v>
      </c>
      <c r="AK12" s="40">
        <f t="shared" si="9"/>
        <v>0</v>
      </c>
      <c r="AL12" s="40">
        <f t="shared" si="10"/>
        <v>0</v>
      </c>
      <c r="AM12" s="40">
        <f t="shared" si="11"/>
        <v>0</v>
      </c>
      <c r="AN12" s="40">
        <f t="shared" si="12"/>
        <v>0</v>
      </c>
      <c r="AO12" s="40">
        <f t="shared" si="13"/>
        <v>0</v>
      </c>
      <c r="AP12" s="40">
        <f t="shared" si="14"/>
        <v>0</v>
      </c>
      <c r="AQ12" s="40">
        <f t="shared" si="14"/>
        <v>0</v>
      </c>
    </row>
    <row r="13" spans="22:43">
      <c r="W13" s="47" t="s">
        <v>252</v>
      </c>
      <c r="X13" s="142">
        <v>0.1</v>
      </c>
      <c r="Y13" s="139">
        <f>('upper bound Kenaga'!D105/0.95)*0.1</f>
        <v>0</v>
      </c>
      <c r="AA13" s="41">
        <f t="shared" si="15"/>
        <v>10</v>
      </c>
      <c r="AB13" s="38">
        <f t="shared" si="0"/>
        <v>0</v>
      </c>
      <c r="AC13" s="39">
        <f t="shared" si="1"/>
        <v>0</v>
      </c>
      <c r="AD13" s="40">
        <f t="shared" si="2"/>
        <v>0</v>
      </c>
      <c r="AE13" s="38">
        <f t="shared" si="3"/>
        <v>0</v>
      </c>
      <c r="AF13" s="39">
        <f t="shared" si="4"/>
        <v>0</v>
      </c>
      <c r="AG13" s="40">
        <f t="shared" si="5"/>
        <v>0</v>
      </c>
      <c r="AH13" s="40">
        <f t="shared" si="6"/>
        <v>0</v>
      </c>
      <c r="AI13" s="40">
        <f t="shared" si="7"/>
        <v>0</v>
      </c>
      <c r="AJ13" s="40">
        <f t="shared" si="8"/>
        <v>0</v>
      </c>
      <c r="AK13" s="40">
        <f t="shared" si="9"/>
        <v>0</v>
      </c>
      <c r="AL13" s="40">
        <f t="shared" si="10"/>
        <v>0</v>
      </c>
      <c r="AM13" s="40">
        <f t="shared" si="11"/>
        <v>0</v>
      </c>
      <c r="AN13" s="40">
        <f t="shared" si="12"/>
        <v>0</v>
      </c>
      <c r="AO13" s="40">
        <f t="shared" si="13"/>
        <v>0</v>
      </c>
      <c r="AP13" s="40">
        <f t="shared" si="14"/>
        <v>0</v>
      </c>
      <c r="AQ13" s="40">
        <f t="shared" si="14"/>
        <v>0</v>
      </c>
    </row>
    <row r="14" spans="22:43">
      <c r="W14" s="47" t="s">
        <v>253</v>
      </c>
      <c r="X14" s="142">
        <v>0.1</v>
      </c>
      <c r="Y14" s="139">
        <f>('upper bound Kenaga'!D106/0.66)*0.1</f>
        <v>0</v>
      </c>
      <c r="AA14" s="41">
        <f t="shared" si="15"/>
        <v>11</v>
      </c>
      <c r="AB14" s="38">
        <f t="shared" si="0"/>
        <v>0</v>
      </c>
      <c r="AC14" s="39">
        <f t="shared" si="1"/>
        <v>0</v>
      </c>
      <c r="AD14" s="40">
        <f t="shared" si="2"/>
        <v>0</v>
      </c>
      <c r="AE14" s="38">
        <f t="shared" si="3"/>
        <v>0</v>
      </c>
      <c r="AF14" s="39">
        <f t="shared" si="4"/>
        <v>0</v>
      </c>
      <c r="AG14" s="40">
        <f t="shared" si="5"/>
        <v>0</v>
      </c>
      <c r="AH14" s="40">
        <f t="shared" si="6"/>
        <v>0</v>
      </c>
      <c r="AI14" s="40">
        <f t="shared" si="7"/>
        <v>0</v>
      </c>
      <c r="AJ14" s="40">
        <f t="shared" si="8"/>
        <v>0</v>
      </c>
      <c r="AK14" s="40">
        <f t="shared" si="9"/>
        <v>0</v>
      </c>
      <c r="AL14" s="40">
        <f t="shared" si="10"/>
        <v>0</v>
      </c>
      <c r="AM14" s="40">
        <f t="shared" si="11"/>
        <v>0</v>
      </c>
      <c r="AN14" s="40">
        <f t="shared" si="12"/>
        <v>0</v>
      </c>
      <c r="AO14" s="40">
        <f t="shared" si="13"/>
        <v>0</v>
      </c>
      <c r="AP14" s="40">
        <f t="shared" si="14"/>
        <v>0</v>
      </c>
      <c r="AQ14" s="40">
        <f t="shared" si="14"/>
        <v>0</v>
      </c>
    </row>
    <row r="15" spans="22:43">
      <c r="W15" s="47" t="s">
        <v>254</v>
      </c>
      <c r="X15" s="142">
        <v>0.1</v>
      </c>
      <c r="Y15" s="139">
        <f>('upper bound Kenaga'!D107/0.55)*0.1</f>
        <v>0</v>
      </c>
      <c r="AA15" s="41">
        <f t="shared" si="15"/>
        <v>12</v>
      </c>
      <c r="AB15" s="38">
        <f t="shared" si="0"/>
        <v>0</v>
      </c>
      <c r="AC15" s="39">
        <f t="shared" si="1"/>
        <v>0</v>
      </c>
      <c r="AD15" s="40">
        <f t="shared" si="2"/>
        <v>0</v>
      </c>
      <c r="AE15" s="38">
        <f t="shared" si="3"/>
        <v>0</v>
      </c>
      <c r="AF15" s="39">
        <f t="shared" si="4"/>
        <v>0</v>
      </c>
      <c r="AG15" s="40">
        <f t="shared" si="5"/>
        <v>0</v>
      </c>
      <c r="AH15" s="40">
        <f t="shared" si="6"/>
        <v>0</v>
      </c>
      <c r="AI15" s="40">
        <f t="shared" si="7"/>
        <v>0</v>
      </c>
      <c r="AJ15" s="40">
        <f t="shared" si="8"/>
        <v>0</v>
      </c>
      <c r="AK15" s="40">
        <f t="shared" si="9"/>
        <v>0</v>
      </c>
      <c r="AL15" s="40">
        <f t="shared" si="10"/>
        <v>0</v>
      </c>
      <c r="AM15" s="40">
        <f t="shared" si="11"/>
        <v>0</v>
      </c>
      <c r="AN15" s="40">
        <f t="shared" si="12"/>
        <v>0</v>
      </c>
      <c r="AO15" s="40">
        <f t="shared" si="13"/>
        <v>0</v>
      </c>
      <c r="AP15" s="40">
        <f t="shared" si="14"/>
        <v>0</v>
      </c>
      <c r="AQ15" s="40">
        <f t="shared" si="14"/>
        <v>0</v>
      </c>
    </row>
    <row r="16" spans="22:43">
      <c r="W16" s="47" t="s">
        <v>255</v>
      </c>
      <c r="X16" s="142">
        <v>0.1</v>
      </c>
      <c r="Y16" s="139">
        <f>('upper bound Kenaga'!D105/0.21)*0.1</f>
        <v>0</v>
      </c>
      <c r="AA16" s="41">
        <f t="shared" si="15"/>
        <v>13</v>
      </c>
      <c r="AB16" s="38">
        <f t="shared" si="0"/>
        <v>0</v>
      </c>
      <c r="AC16" s="39">
        <f t="shared" si="1"/>
        <v>0</v>
      </c>
      <c r="AD16" s="40">
        <f t="shared" si="2"/>
        <v>0</v>
      </c>
      <c r="AE16" s="38">
        <f t="shared" si="3"/>
        <v>0</v>
      </c>
      <c r="AF16" s="39">
        <f t="shared" si="4"/>
        <v>0</v>
      </c>
      <c r="AG16" s="40">
        <f t="shared" si="5"/>
        <v>0</v>
      </c>
      <c r="AH16" s="40">
        <f t="shared" si="6"/>
        <v>0</v>
      </c>
      <c r="AI16" s="40">
        <f t="shared" si="7"/>
        <v>0</v>
      </c>
      <c r="AJ16" s="40">
        <f t="shared" si="8"/>
        <v>0</v>
      </c>
      <c r="AK16" s="40">
        <f t="shared" si="9"/>
        <v>0</v>
      </c>
      <c r="AL16" s="40">
        <f t="shared" si="10"/>
        <v>0</v>
      </c>
      <c r="AM16" s="40">
        <f t="shared" si="11"/>
        <v>0</v>
      </c>
      <c r="AN16" s="40">
        <f t="shared" si="12"/>
        <v>0</v>
      </c>
      <c r="AO16" s="40">
        <f t="shared" si="13"/>
        <v>0</v>
      </c>
      <c r="AP16" s="40">
        <f t="shared" si="14"/>
        <v>0</v>
      </c>
      <c r="AQ16" s="40">
        <f t="shared" si="14"/>
        <v>0</v>
      </c>
    </row>
    <row r="17" spans="23:43">
      <c r="W17" s="47" t="s">
        <v>256</v>
      </c>
      <c r="X17" s="142">
        <v>0.1</v>
      </c>
      <c r="Y17" s="139">
        <f>('upper bound Kenaga'!D106/0.15)*0.1</f>
        <v>0</v>
      </c>
      <c r="AA17" s="41">
        <f t="shared" si="15"/>
        <v>14</v>
      </c>
      <c r="AB17" s="38">
        <f t="shared" si="0"/>
        <v>0</v>
      </c>
      <c r="AC17" s="39">
        <f t="shared" si="1"/>
        <v>0</v>
      </c>
      <c r="AD17" s="40">
        <f t="shared" si="2"/>
        <v>0</v>
      </c>
      <c r="AE17" s="38">
        <f t="shared" si="3"/>
        <v>0</v>
      </c>
      <c r="AF17" s="39">
        <f t="shared" si="4"/>
        <v>0</v>
      </c>
      <c r="AG17" s="40">
        <f t="shared" si="5"/>
        <v>0</v>
      </c>
      <c r="AH17" s="40">
        <f t="shared" si="6"/>
        <v>0</v>
      </c>
      <c r="AI17" s="40">
        <f t="shared" si="7"/>
        <v>0</v>
      </c>
      <c r="AJ17" s="40">
        <f t="shared" si="8"/>
        <v>0</v>
      </c>
      <c r="AK17" s="40">
        <f t="shared" si="9"/>
        <v>0</v>
      </c>
      <c r="AL17" s="40">
        <f t="shared" si="10"/>
        <v>0</v>
      </c>
      <c r="AM17" s="40">
        <f t="shared" si="11"/>
        <v>0</v>
      </c>
      <c r="AN17" s="40">
        <f t="shared" si="12"/>
        <v>0</v>
      </c>
      <c r="AO17" s="40">
        <f t="shared" si="13"/>
        <v>0</v>
      </c>
      <c r="AP17" s="40">
        <f t="shared" si="14"/>
        <v>0</v>
      </c>
      <c r="AQ17" s="40">
        <f t="shared" si="14"/>
        <v>0</v>
      </c>
    </row>
    <row r="18" spans="23:43">
      <c r="W18" s="47" t="s">
        <v>257</v>
      </c>
      <c r="X18" s="142">
        <v>0.1</v>
      </c>
      <c r="Y18" s="139">
        <f>('upper bound Kenaga'!D107/0.03)*0.1</f>
        <v>0</v>
      </c>
      <c r="AA18" s="41">
        <f t="shared" si="15"/>
        <v>15</v>
      </c>
      <c r="AB18" s="38">
        <f t="shared" si="0"/>
        <v>0</v>
      </c>
      <c r="AC18" s="39">
        <f t="shared" si="1"/>
        <v>0</v>
      </c>
      <c r="AD18" s="40">
        <f t="shared" si="2"/>
        <v>0</v>
      </c>
      <c r="AE18" s="38">
        <f t="shared" si="3"/>
        <v>0</v>
      </c>
      <c r="AF18" s="39">
        <f t="shared" si="4"/>
        <v>0</v>
      </c>
      <c r="AG18" s="40">
        <f t="shared" si="5"/>
        <v>0</v>
      </c>
      <c r="AH18" s="40">
        <f t="shared" si="6"/>
        <v>0</v>
      </c>
      <c r="AI18" s="40">
        <f t="shared" si="7"/>
        <v>0</v>
      </c>
      <c r="AJ18" s="40">
        <f t="shared" si="8"/>
        <v>0</v>
      </c>
      <c r="AK18" s="40">
        <f t="shared" si="9"/>
        <v>0</v>
      </c>
      <c r="AL18" s="40">
        <f t="shared" si="10"/>
        <v>0</v>
      </c>
      <c r="AM18" s="40">
        <f t="shared" si="11"/>
        <v>0</v>
      </c>
      <c r="AN18" s="40">
        <f t="shared" si="12"/>
        <v>0</v>
      </c>
      <c r="AO18" s="40">
        <f t="shared" si="13"/>
        <v>0</v>
      </c>
      <c r="AP18" s="40">
        <f t="shared" si="14"/>
        <v>0</v>
      </c>
      <c r="AQ18" s="40">
        <f t="shared" si="14"/>
        <v>0</v>
      </c>
    </row>
    <row r="19" spans="23:43" ht="13.5" thickBot="1">
      <c r="W19" s="69" t="s">
        <v>80</v>
      </c>
      <c r="X19" s="145">
        <v>1</v>
      </c>
      <c r="Y19" s="141">
        <f>'upper bound Kenaga'!D23</f>
        <v>0</v>
      </c>
      <c r="AA19" s="41">
        <f t="shared" si="15"/>
        <v>16</v>
      </c>
      <c r="AB19" s="38">
        <f t="shared" si="0"/>
        <v>0</v>
      </c>
      <c r="AC19" s="39">
        <f t="shared" si="1"/>
        <v>0</v>
      </c>
      <c r="AD19" s="40">
        <f t="shared" si="2"/>
        <v>0</v>
      </c>
      <c r="AE19" s="38">
        <f t="shared" si="3"/>
        <v>0</v>
      </c>
      <c r="AF19" s="39">
        <f t="shared" si="4"/>
        <v>0</v>
      </c>
      <c r="AG19" s="40">
        <f t="shared" si="5"/>
        <v>0</v>
      </c>
      <c r="AH19" s="40">
        <f t="shared" si="6"/>
        <v>0</v>
      </c>
      <c r="AI19" s="40">
        <f t="shared" si="7"/>
        <v>0</v>
      </c>
      <c r="AJ19" s="40">
        <f t="shared" si="8"/>
        <v>0</v>
      </c>
      <c r="AK19" s="40">
        <f t="shared" si="9"/>
        <v>0</v>
      </c>
      <c r="AL19" s="40">
        <f t="shared" si="10"/>
        <v>0</v>
      </c>
      <c r="AM19" s="40">
        <f t="shared" si="11"/>
        <v>0</v>
      </c>
      <c r="AN19" s="40">
        <f t="shared" si="12"/>
        <v>0</v>
      </c>
      <c r="AO19" s="40">
        <f t="shared" si="13"/>
        <v>0</v>
      </c>
      <c r="AP19" s="40">
        <f t="shared" si="14"/>
        <v>0</v>
      </c>
      <c r="AQ19" s="40">
        <f t="shared" si="14"/>
        <v>0</v>
      </c>
    </row>
    <row r="20" spans="23:43">
      <c r="AA20" s="41">
        <f t="shared" si="15"/>
        <v>17</v>
      </c>
      <c r="AB20" s="38">
        <f t="shared" si="0"/>
        <v>0</v>
      </c>
      <c r="AC20" s="39">
        <f t="shared" si="1"/>
        <v>0</v>
      </c>
      <c r="AD20" s="40">
        <f t="shared" si="2"/>
        <v>0</v>
      </c>
      <c r="AE20" s="38">
        <f t="shared" si="3"/>
        <v>0</v>
      </c>
      <c r="AF20" s="39">
        <f t="shared" si="4"/>
        <v>0</v>
      </c>
      <c r="AG20" s="40">
        <f t="shared" si="5"/>
        <v>0</v>
      </c>
      <c r="AH20" s="40">
        <f t="shared" si="6"/>
        <v>0</v>
      </c>
      <c r="AI20" s="40">
        <f t="shared" si="7"/>
        <v>0</v>
      </c>
      <c r="AJ20" s="40">
        <f t="shared" si="8"/>
        <v>0</v>
      </c>
      <c r="AK20" s="40">
        <f t="shared" si="9"/>
        <v>0</v>
      </c>
      <c r="AL20" s="40">
        <f t="shared" si="10"/>
        <v>0</v>
      </c>
      <c r="AM20" s="40">
        <f t="shared" si="11"/>
        <v>0</v>
      </c>
      <c r="AN20" s="40">
        <f t="shared" si="12"/>
        <v>0</v>
      </c>
      <c r="AO20" s="40">
        <f t="shared" si="13"/>
        <v>0</v>
      </c>
      <c r="AP20" s="40">
        <f t="shared" si="14"/>
        <v>0</v>
      </c>
      <c r="AQ20" s="40">
        <f t="shared" si="14"/>
        <v>0</v>
      </c>
    </row>
    <row r="21" spans="23:43">
      <c r="AA21" s="41">
        <f t="shared" si="15"/>
        <v>18</v>
      </c>
      <c r="AB21" s="38">
        <f t="shared" si="0"/>
        <v>0</v>
      </c>
      <c r="AC21" s="39">
        <f t="shared" si="1"/>
        <v>0</v>
      </c>
      <c r="AD21" s="40">
        <f t="shared" si="2"/>
        <v>0</v>
      </c>
      <c r="AE21" s="38">
        <f t="shared" si="3"/>
        <v>0</v>
      </c>
      <c r="AF21" s="39">
        <f t="shared" si="4"/>
        <v>0</v>
      </c>
      <c r="AG21" s="40">
        <f t="shared" si="5"/>
        <v>0</v>
      </c>
      <c r="AH21" s="40">
        <f t="shared" si="6"/>
        <v>0</v>
      </c>
      <c r="AI21" s="40">
        <f t="shared" si="7"/>
        <v>0</v>
      </c>
      <c r="AJ21" s="40">
        <f t="shared" si="8"/>
        <v>0</v>
      </c>
      <c r="AK21" s="40">
        <f t="shared" si="9"/>
        <v>0</v>
      </c>
      <c r="AL21" s="40">
        <f t="shared" si="10"/>
        <v>0</v>
      </c>
      <c r="AM21" s="40">
        <f t="shared" si="11"/>
        <v>0</v>
      </c>
      <c r="AN21" s="40">
        <f t="shared" si="12"/>
        <v>0</v>
      </c>
      <c r="AO21" s="40">
        <f t="shared" si="13"/>
        <v>0</v>
      </c>
      <c r="AP21" s="40">
        <f t="shared" si="14"/>
        <v>0</v>
      </c>
      <c r="AQ21" s="40">
        <f t="shared" si="14"/>
        <v>0</v>
      </c>
    </row>
    <row r="22" spans="23:43">
      <c r="AA22" s="41">
        <f t="shared" si="15"/>
        <v>19</v>
      </c>
      <c r="AB22" s="38">
        <f t="shared" si="0"/>
        <v>0</v>
      </c>
      <c r="AC22" s="39">
        <f t="shared" si="1"/>
        <v>0</v>
      </c>
      <c r="AD22" s="40">
        <f t="shared" si="2"/>
        <v>0</v>
      </c>
      <c r="AE22" s="38">
        <f t="shared" si="3"/>
        <v>0</v>
      </c>
      <c r="AF22" s="39">
        <f t="shared" si="4"/>
        <v>0</v>
      </c>
      <c r="AG22" s="40">
        <f t="shared" si="5"/>
        <v>0</v>
      </c>
      <c r="AH22" s="40">
        <f t="shared" si="6"/>
        <v>0</v>
      </c>
      <c r="AI22" s="40">
        <f t="shared" si="7"/>
        <v>0</v>
      </c>
      <c r="AJ22" s="40">
        <f t="shared" si="8"/>
        <v>0</v>
      </c>
      <c r="AK22" s="40">
        <f t="shared" si="9"/>
        <v>0</v>
      </c>
      <c r="AL22" s="40">
        <f t="shared" si="10"/>
        <v>0</v>
      </c>
      <c r="AM22" s="40">
        <f t="shared" si="11"/>
        <v>0</v>
      </c>
      <c r="AN22" s="40">
        <f t="shared" si="12"/>
        <v>0</v>
      </c>
      <c r="AO22" s="40">
        <f t="shared" si="13"/>
        <v>0</v>
      </c>
      <c r="AP22" s="40">
        <f t="shared" si="14"/>
        <v>0</v>
      </c>
      <c r="AQ22" s="40">
        <f t="shared" si="14"/>
        <v>0</v>
      </c>
    </row>
    <row r="23" spans="23:43">
      <c r="AA23" s="41">
        <f t="shared" si="15"/>
        <v>20</v>
      </c>
      <c r="AB23" s="38">
        <f t="shared" si="0"/>
        <v>0</v>
      </c>
      <c r="AC23" s="39">
        <f t="shared" si="1"/>
        <v>0</v>
      </c>
      <c r="AD23" s="40">
        <f t="shared" si="2"/>
        <v>0</v>
      </c>
      <c r="AE23" s="38">
        <f t="shared" si="3"/>
        <v>0</v>
      </c>
      <c r="AF23" s="39">
        <f t="shared" si="4"/>
        <v>0</v>
      </c>
      <c r="AG23" s="40">
        <f t="shared" si="5"/>
        <v>0</v>
      </c>
      <c r="AH23" s="40">
        <f t="shared" si="6"/>
        <v>0</v>
      </c>
      <c r="AI23" s="40">
        <f t="shared" si="7"/>
        <v>0</v>
      </c>
      <c r="AJ23" s="40">
        <f t="shared" si="8"/>
        <v>0</v>
      </c>
      <c r="AK23" s="40">
        <f t="shared" si="9"/>
        <v>0</v>
      </c>
      <c r="AL23" s="40">
        <f t="shared" si="10"/>
        <v>0</v>
      </c>
      <c r="AM23" s="40">
        <f t="shared" si="11"/>
        <v>0</v>
      </c>
      <c r="AN23" s="40">
        <f t="shared" si="12"/>
        <v>0</v>
      </c>
      <c r="AO23" s="40">
        <f t="shared" si="13"/>
        <v>0</v>
      </c>
      <c r="AP23" s="40">
        <f t="shared" si="14"/>
        <v>0</v>
      </c>
      <c r="AQ23" s="40">
        <f t="shared" si="14"/>
        <v>0</v>
      </c>
    </row>
    <row r="24" spans="23:43">
      <c r="AA24" s="41">
        <f t="shared" si="15"/>
        <v>21</v>
      </c>
      <c r="AB24" s="38">
        <f t="shared" si="0"/>
        <v>0</v>
      </c>
      <c r="AC24" s="39">
        <f t="shared" si="1"/>
        <v>0</v>
      </c>
      <c r="AD24" s="40">
        <f t="shared" si="2"/>
        <v>0</v>
      </c>
      <c r="AE24" s="38">
        <f t="shared" si="3"/>
        <v>0</v>
      </c>
      <c r="AF24" s="39">
        <f t="shared" si="4"/>
        <v>0</v>
      </c>
      <c r="AG24" s="40">
        <f t="shared" si="5"/>
        <v>0</v>
      </c>
      <c r="AH24" s="40">
        <f t="shared" si="6"/>
        <v>0</v>
      </c>
      <c r="AI24" s="40">
        <f t="shared" si="7"/>
        <v>0</v>
      </c>
      <c r="AJ24" s="40">
        <f t="shared" si="8"/>
        <v>0</v>
      </c>
      <c r="AK24" s="40">
        <f t="shared" si="9"/>
        <v>0</v>
      </c>
      <c r="AL24" s="40">
        <f t="shared" si="10"/>
        <v>0</v>
      </c>
      <c r="AM24" s="40">
        <f t="shared" si="11"/>
        <v>0</v>
      </c>
      <c r="AN24" s="40">
        <f t="shared" si="12"/>
        <v>0</v>
      </c>
      <c r="AO24" s="40">
        <f t="shared" si="13"/>
        <v>0</v>
      </c>
      <c r="AP24" s="40">
        <f t="shared" si="14"/>
        <v>0</v>
      </c>
      <c r="AQ24" s="40">
        <f t="shared" si="14"/>
        <v>0</v>
      </c>
    </row>
    <row r="25" spans="23:43">
      <c r="AA25" s="41">
        <f t="shared" si="15"/>
        <v>22</v>
      </c>
      <c r="AB25" s="38">
        <f t="shared" si="0"/>
        <v>0</v>
      </c>
      <c r="AC25" s="39">
        <f t="shared" si="1"/>
        <v>0</v>
      </c>
      <c r="AD25" s="40">
        <f t="shared" si="2"/>
        <v>0</v>
      </c>
      <c r="AE25" s="38">
        <f t="shared" si="3"/>
        <v>0</v>
      </c>
      <c r="AF25" s="39">
        <f t="shared" si="4"/>
        <v>0</v>
      </c>
      <c r="AG25" s="40">
        <f t="shared" si="5"/>
        <v>0</v>
      </c>
      <c r="AH25" s="40">
        <f t="shared" si="6"/>
        <v>0</v>
      </c>
      <c r="AI25" s="40">
        <f t="shared" si="7"/>
        <v>0</v>
      </c>
      <c r="AJ25" s="40">
        <f t="shared" si="8"/>
        <v>0</v>
      </c>
      <c r="AK25" s="40">
        <f t="shared" si="9"/>
        <v>0</v>
      </c>
      <c r="AL25" s="40">
        <f t="shared" si="10"/>
        <v>0</v>
      </c>
      <c r="AM25" s="40">
        <f t="shared" si="11"/>
        <v>0</v>
      </c>
      <c r="AN25" s="40">
        <f t="shared" si="12"/>
        <v>0</v>
      </c>
      <c r="AO25" s="40">
        <f t="shared" si="13"/>
        <v>0</v>
      </c>
      <c r="AP25" s="40">
        <f t="shared" si="14"/>
        <v>0</v>
      </c>
      <c r="AQ25" s="40">
        <f t="shared" si="14"/>
        <v>0</v>
      </c>
    </row>
    <row r="26" spans="23:43">
      <c r="AA26" s="41">
        <f t="shared" si="15"/>
        <v>23</v>
      </c>
      <c r="AB26" s="38">
        <f t="shared" si="0"/>
        <v>0</v>
      </c>
      <c r="AC26" s="39">
        <f t="shared" si="1"/>
        <v>0</v>
      </c>
      <c r="AD26" s="40">
        <f t="shared" si="2"/>
        <v>0</v>
      </c>
      <c r="AE26" s="38">
        <f t="shared" si="3"/>
        <v>0</v>
      </c>
      <c r="AF26" s="39">
        <f t="shared" si="4"/>
        <v>0</v>
      </c>
      <c r="AG26" s="40">
        <f t="shared" si="5"/>
        <v>0</v>
      </c>
      <c r="AH26" s="40">
        <f t="shared" si="6"/>
        <v>0</v>
      </c>
      <c r="AI26" s="40">
        <f t="shared" si="7"/>
        <v>0</v>
      </c>
      <c r="AJ26" s="40">
        <f t="shared" si="8"/>
        <v>0</v>
      </c>
      <c r="AK26" s="40">
        <f t="shared" si="9"/>
        <v>0</v>
      </c>
      <c r="AL26" s="40">
        <f t="shared" si="10"/>
        <v>0</v>
      </c>
      <c r="AM26" s="40">
        <f t="shared" si="11"/>
        <v>0</v>
      </c>
      <c r="AN26" s="40">
        <f t="shared" si="12"/>
        <v>0</v>
      </c>
      <c r="AO26" s="40">
        <f t="shared" si="13"/>
        <v>0</v>
      </c>
      <c r="AP26" s="40">
        <f t="shared" si="14"/>
        <v>0</v>
      </c>
      <c r="AQ26" s="40">
        <f t="shared" si="14"/>
        <v>0</v>
      </c>
    </row>
    <row r="27" spans="23:43">
      <c r="AA27" s="41">
        <f t="shared" si="15"/>
        <v>24</v>
      </c>
      <c r="AB27" s="38">
        <f t="shared" si="0"/>
        <v>0</v>
      </c>
      <c r="AC27" s="39">
        <f t="shared" si="1"/>
        <v>0</v>
      </c>
      <c r="AD27" s="40">
        <f t="shared" si="2"/>
        <v>0</v>
      </c>
      <c r="AE27" s="38">
        <f t="shared" si="3"/>
        <v>0</v>
      </c>
      <c r="AF27" s="39">
        <f t="shared" si="4"/>
        <v>0</v>
      </c>
      <c r="AG27" s="40">
        <f t="shared" si="5"/>
        <v>0</v>
      </c>
      <c r="AH27" s="40">
        <f t="shared" si="6"/>
        <v>0</v>
      </c>
      <c r="AI27" s="40">
        <f t="shared" si="7"/>
        <v>0</v>
      </c>
      <c r="AJ27" s="40">
        <f t="shared" si="8"/>
        <v>0</v>
      </c>
      <c r="AK27" s="40">
        <f t="shared" si="9"/>
        <v>0</v>
      </c>
      <c r="AL27" s="40">
        <f t="shared" si="10"/>
        <v>0</v>
      </c>
      <c r="AM27" s="40">
        <f t="shared" si="11"/>
        <v>0</v>
      </c>
      <c r="AN27" s="40">
        <f t="shared" si="12"/>
        <v>0</v>
      </c>
      <c r="AO27" s="40">
        <f t="shared" si="13"/>
        <v>0</v>
      </c>
      <c r="AP27" s="40">
        <f t="shared" si="14"/>
        <v>0</v>
      </c>
      <c r="AQ27" s="40">
        <f t="shared" si="14"/>
        <v>0</v>
      </c>
    </row>
    <row r="28" spans="23:43">
      <c r="AA28" s="41">
        <f t="shared" si="15"/>
        <v>25</v>
      </c>
      <c r="AB28" s="38">
        <f t="shared" si="0"/>
        <v>0</v>
      </c>
      <c r="AC28" s="39">
        <f t="shared" si="1"/>
        <v>0</v>
      </c>
      <c r="AD28" s="40">
        <f t="shared" si="2"/>
        <v>0</v>
      </c>
      <c r="AE28" s="38">
        <f t="shared" si="3"/>
        <v>0</v>
      </c>
      <c r="AF28" s="39">
        <f t="shared" si="4"/>
        <v>0</v>
      </c>
      <c r="AG28" s="40">
        <f t="shared" si="5"/>
        <v>0</v>
      </c>
      <c r="AH28" s="40">
        <f t="shared" si="6"/>
        <v>0</v>
      </c>
      <c r="AI28" s="40">
        <f t="shared" si="7"/>
        <v>0</v>
      </c>
      <c r="AJ28" s="40">
        <f t="shared" si="8"/>
        <v>0</v>
      </c>
      <c r="AK28" s="40">
        <f t="shared" si="9"/>
        <v>0</v>
      </c>
      <c r="AL28" s="40">
        <f t="shared" si="10"/>
        <v>0</v>
      </c>
      <c r="AM28" s="40">
        <f t="shared" si="11"/>
        <v>0</v>
      </c>
      <c r="AN28" s="40">
        <f t="shared" si="12"/>
        <v>0</v>
      </c>
      <c r="AO28" s="40">
        <f t="shared" si="13"/>
        <v>0</v>
      </c>
      <c r="AP28" s="40">
        <f t="shared" si="14"/>
        <v>0</v>
      </c>
      <c r="AQ28" s="40">
        <f t="shared" si="14"/>
        <v>0</v>
      </c>
    </row>
    <row r="29" spans="23:43">
      <c r="AA29" s="41">
        <f t="shared" si="15"/>
        <v>26</v>
      </c>
      <c r="AB29" s="38">
        <f t="shared" si="0"/>
        <v>0</v>
      </c>
      <c r="AC29" s="39">
        <f t="shared" si="1"/>
        <v>0</v>
      </c>
      <c r="AD29" s="40">
        <f t="shared" si="2"/>
        <v>0</v>
      </c>
      <c r="AE29" s="38">
        <f t="shared" si="3"/>
        <v>0</v>
      </c>
      <c r="AF29" s="39">
        <f t="shared" si="4"/>
        <v>0</v>
      </c>
      <c r="AG29" s="40">
        <f t="shared" si="5"/>
        <v>0</v>
      </c>
      <c r="AH29" s="40">
        <f t="shared" si="6"/>
        <v>0</v>
      </c>
      <c r="AI29" s="40">
        <f t="shared" si="7"/>
        <v>0</v>
      </c>
      <c r="AJ29" s="40">
        <f t="shared" si="8"/>
        <v>0</v>
      </c>
      <c r="AK29" s="40">
        <f t="shared" si="9"/>
        <v>0</v>
      </c>
      <c r="AL29" s="40">
        <f t="shared" si="10"/>
        <v>0</v>
      </c>
      <c r="AM29" s="40">
        <f t="shared" si="11"/>
        <v>0</v>
      </c>
      <c r="AN29" s="40">
        <f t="shared" si="12"/>
        <v>0</v>
      </c>
      <c r="AO29" s="40">
        <f t="shared" si="13"/>
        <v>0</v>
      </c>
      <c r="AP29" s="40">
        <f t="shared" si="14"/>
        <v>0</v>
      </c>
      <c r="AQ29" s="40">
        <f t="shared" si="14"/>
        <v>0</v>
      </c>
    </row>
    <row r="30" spans="23:43">
      <c r="AA30" s="41">
        <f t="shared" si="15"/>
        <v>27</v>
      </c>
      <c r="AB30" s="38">
        <f t="shared" si="0"/>
        <v>0</v>
      </c>
      <c r="AC30" s="39">
        <f t="shared" si="1"/>
        <v>0</v>
      </c>
      <c r="AD30" s="40">
        <f t="shared" si="2"/>
        <v>0</v>
      </c>
      <c r="AE30" s="38">
        <f t="shared" si="3"/>
        <v>0</v>
      </c>
      <c r="AF30" s="39">
        <f t="shared" si="4"/>
        <v>0</v>
      </c>
      <c r="AG30" s="40">
        <f t="shared" si="5"/>
        <v>0</v>
      </c>
      <c r="AH30" s="40">
        <f t="shared" si="6"/>
        <v>0</v>
      </c>
      <c r="AI30" s="40">
        <f t="shared" si="7"/>
        <v>0</v>
      </c>
      <c r="AJ30" s="40">
        <f t="shared" si="8"/>
        <v>0</v>
      </c>
      <c r="AK30" s="40">
        <f t="shared" si="9"/>
        <v>0</v>
      </c>
      <c r="AL30" s="40">
        <f t="shared" si="10"/>
        <v>0</v>
      </c>
      <c r="AM30" s="40">
        <f t="shared" si="11"/>
        <v>0</v>
      </c>
      <c r="AN30" s="40">
        <f t="shared" si="12"/>
        <v>0</v>
      </c>
      <c r="AO30" s="40">
        <f t="shared" si="13"/>
        <v>0</v>
      </c>
      <c r="AP30" s="40">
        <f t="shared" si="14"/>
        <v>0</v>
      </c>
      <c r="AQ30" s="40">
        <f t="shared" si="14"/>
        <v>0</v>
      </c>
    </row>
    <row r="31" spans="23:43">
      <c r="AA31" s="41">
        <f t="shared" si="15"/>
        <v>28</v>
      </c>
      <c r="AB31" s="38">
        <f t="shared" si="0"/>
        <v>0</v>
      </c>
      <c r="AC31" s="39">
        <f t="shared" si="1"/>
        <v>0</v>
      </c>
      <c r="AD31" s="40">
        <f t="shared" si="2"/>
        <v>0</v>
      </c>
      <c r="AE31" s="38">
        <f t="shared" si="3"/>
        <v>0</v>
      </c>
      <c r="AF31" s="39">
        <f t="shared" si="4"/>
        <v>0</v>
      </c>
      <c r="AG31" s="40">
        <f t="shared" si="5"/>
        <v>0</v>
      </c>
      <c r="AH31" s="40">
        <f t="shared" si="6"/>
        <v>0</v>
      </c>
      <c r="AI31" s="40">
        <f t="shared" si="7"/>
        <v>0</v>
      </c>
      <c r="AJ31" s="40">
        <f t="shared" si="8"/>
        <v>0</v>
      </c>
      <c r="AK31" s="40">
        <f t="shared" si="9"/>
        <v>0</v>
      </c>
      <c r="AL31" s="40">
        <f t="shared" si="10"/>
        <v>0</v>
      </c>
      <c r="AM31" s="40">
        <f t="shared" si="11"/>
        <v>0</v>
      </c>
      <c r="AN31" s="40">
        <f t="shared" si="12"/>
        <v>0</v>
      </c>
      <c r="AO31" s="40">
        <f t="shared" si="13"/>
        <v>0</v>
      </c>
      <c r="AP31" s="40">
        <f t="shared" si="14"/>
        <v>0</v>
      </c>
      <c r="AQ31" s="40">
        <f t="shared" si="14"/>
        <v>0</v>
      </c>
    </row>
    <row r="32" spans="23:43">
      <c r="AA32" s="41">
        <f t="shared" si="15"/>
        <v>29</v>
      </c>
      <c r="AB32" s="38">
        <f t="shared" si="0"/>
        <v>0</v>
      </c>
      <c r="AC32" s="39">
        <f t="shared" si="1"/>
        <v>0</v>
      </c>
      <c r="AD32" s="40">
        <f t="shared" si="2"/>
        <v>0</v>
      </c>
      <c r="AE32" s="38">
        <f t="shared" si="3"/>
        <v>0</v>
      </c>
      <c r="AF32" s="39">
        <f t="shared" si="4"/>
        <v>0</v>
      </c>
      <c r="AG32" s="40">
        <f t="shared" si="5"/>
        <v>0</v>
      </c>
      <c r="AH32" s="40">
        <f t="shared" si="6"/>
        <v>0</v>
      </c>
      <c r="AI32" s="40">
        <f t="shared" si="7"/>
        <v>0</v>
      </c>
      <c r="AJ32" s="40">
        <f t="shared" si="8"/>
        <v>0</v>
      </c>
      <c r="AK32" s="40">
        <f t="shared" si="9"/>
        <v>0</v>
      </c>
      <c r="AL32" s="40">
        <f t="shared" si="10"/>
        <v>0</v>
      </c>
      <c r="AM32" s="40">
        <f t="shared" si="11"/>
        <v>0</v>
      </c>
      <c r="AN32" s="40">
        <f t="shared" si="12"/>
        <v>0</v>
      </c>
      <c r="AO32" s="40">
        <f t="shared" si="13"/>
        <v>0</v>
      </c>
      <c r="AP32" s="40">
        <f t="shared" si="14"/>
        <v>0</v>
      </c>
      <c r="AQ32" s="40">
        <f t="shared" si="14"/>
        <v>0</v>
      </c>
    </row>
    <row r="33" spans="27:43">
      <c r="AA33" s="41">
        <f t="shared" si="15"/>
        <v>30</v>
      </c>
      <c r="AB33" s="38">
        <f t="shared" si="0"/>
        <v>0</v>
      </c>
      <c r="AC33" s="39">
        <f t="shared" si="1"/>
        <v>0</v>
      </c>
      <c r="AD33" s="40">
        <f t="shared" si="2"/>
        <v>0</v>
      </c>
      <c r="AE33" s="38">
        <f t="shared" si="3"/>
        <v>0</v>
      </c>
      <c r="AF33" s="39">
        <f t="shared" si="4"/>
        <v>0</v>
      </c>
      <c r="AG33" s="40">
        <f t="shared" si="5"/>
        <v>0</v>
      </c>
      <c r="AH33" s="40">
        <f t="shared" si="6"/>
        <v>0</v>
      </c>
      <c r="AI33" s="40">
        <f t="shared" si="7"/>
        <v>0</v>
      </c>
      <c r="AJ33" s="40">
        <f t="shared" si="8"/>
        <v>0</v>
      </c>
      <c r="AK33" s="40">
        <f t="shared" si="9"/>
        <v>0</v>
      </c>
      <c r="AL33" s="40">
        <f t="shared" si="10"/>
        <v>0</v>
      </c>
      <c r="AM33" s="40">
        <f t="shared" si="11"/>
        <v>0</v>
      </c>
      <c r="AN33" s="40">
        <f t="shared" si="12"/>
        <v>0</v>
      </c>
      <c r="AO33" s="40">
        <f t="shared" si="13"/>
        <v>0</v>
      </c>
      <c r="AP33" s="40">
        <f t="shared" si="14"/>
        <v>0</v>
      </c>
      <c r="AQ33" s="40">
        <f t="shared" si="14"/>
        <v>0</v>
      </c>
    </row>
    <row r="34" spans="27:43">
      <c r="AA34" s="41">
        <f t="shared" si="15"/>
        <v>31</v>
      </c>
      <c r="AB34" s="38">
        <f t="shared" si="0"/>
        <v>0</v>
      </c>
      <c r="AC34" s="39">
        <f t="shared" si="1"/>
        <v>0</v>
      </c>
      <c r="AD34" s="40">
        <f t="shared" si="2"/>
        <v>0</v>
      </c>
      <c r="AE34" s="38">
        <f t="shared" si="3"/>
        <v>0</v>
      </c>
      <c r="AF34" s="39">
        <f t="shared" si="4"/>
        <v>0</v>
      </c>
      <c r="AG34" s="40">
        <f t="shared" si="5"/>
        <v>0</v>
      </c>
      <c r="AH34" s="40">
        <f t="shared" si="6"/>
        <v>0</v>
      </c>
      <c r="AI34" s="40">
        <f t="shared" si="7"/>
        <v>0</v>
      </c>
      <c r="AJ34" s="40">
        <f t="shared" si="8"/>
        <v>0</v>
      </c>
      <c r="AK34" s="40">
        <f t="shared" si="9"/>
        <v>0</v>
      </c>
      <c r="AL34" s="40">
        <f t="shared" si="10"/>
        <v>0</v>
      </c>
      <c r="AM34" s="40">
        <f t="shared" si="11"/>
        <v>0</v>
      </c>
      <c r="AN34" s="40">
        <f t="shared" si="12"/>
        <v>0</v>
      </c>
      <c r="AO34" s="40">
        <f t="shared" si="13"/>
        <v>0</v>
      </c>
      <c r="AP34" s="40">
        <f t="shared" si="14"/>
        <v>0</v>
      </c>
      <c r="AQ34" s="40">
        <f t="shared" si="14"/>
        <v>0</v>
      </c>
    </row>
    <row r="35" spans="27:43">
      <c r="AA35" s="41">
        <f t="shared" si="15"/>
        <v>32</v>
      </c>
      <c r="AB35" s="38">
        <f t="shared" si="0"/>
        <v>0</v>
      </c>
      <c r="AC35" s="39">
        <f t="shared" si="1"/>
        <v>0</v>
      </c>
      <c r="AD35" s="40">
        <f t="shared" si="2"/>
        <v>0</v>
      </c>
      <c r="AE35" s="38">
        <f t="shared" si="3"/>
        <v>0</v>
      </c>
      <c r="AF35" s="39">
        <f t="shared" si="4"/>
        <v>0</v>
      </c>
      <c r="AG35" s="40">
        <f t="shared" si="5"/>
        <v>0</v>
      </c>
      <c r="AH35" s="40">
        <f t="shared" si="6"/>
        <v>0</v>
      </c>
      <c r="AI35" s="40">
        <f t="shared" si="7"/>
        <v>0</v>
      </c>
      <c r="AJ35" s="40">
        <f t="shared" si="8"/>
        <v>0</v>
      </c>
      <c r="AK35" s="40">
        <f t="shared" si="9"/>
        <v>0</v>
      </c>
      <c r="AL35" s="40">
        <f t="shared" si="10"/>
        <v>0</v>
      </c>
      <c r="AM35" s="40">
        <f t="shared" si="11"/>
        <v>0</v>
      </c>
      <c r="AN35" s="40">
        <f t="shared" si="12"/>
        <v>0</v>
      </c>
      <c r="AO35" s="40">
        <f t="shared" si="13"/>
        <v>0</v>
      </c>
      <c r="AP35" s="40">
        <f t="shared" si="14"/>
        <v>0</v>
      </c>
      <c r="AQ35" s="40">
        <f t="shared" si="14"/>
        <v>0</v>
      </c>
    </row>
    <row r="36" spans="27:43">
      <c r="AA36" s="41">
        <f t="shared" si="15"/>
        <v>33</v>
      </c>
      <c r="AB36" s="38">
        <f t="shared" si="0"/>
        <v>0</v>
      </c>
      <c r="AC36" s="39">
        <f t="shared" si="1"/>
        <v>0</v>
      </c>
      <c r="AD36" s="40">
        <f t="shared" si="2"/>
        <v>0</v>
      </c>
      <c r="AE36" s="38">
        <f t="shared" si="3"/>
        <v>0</v>
      </c>
      <c r="AF36" s="39">
        <f t="shared" si="4"/>
        <v>0</v>
      </c>
      <c r="AG36" s="40">
        <f t="shared" si="5"/>
        <v>0</v>
      </c>
      <c r="AH36" s="40">
        <f t="shared" si="6"/>
        <v>0</v>
      </c>
      <c r="AI36" s="40">
        <f t="shared" si="7"/>
        <v>0</v>
      </c>
      <c r="AJ36" s="40">
        <f t="shared" si="8"/>
        <v>0</v>
      </c>
      <c r="AK36" s="40">
        <f t="shared" si="9"/>
        <v>0</v>
      </c>
      <c r="AL36" s="40">
        <f t="shared" si="10"/>
        <v>0</v>
      </c>
      <c r="AM36" s="40">
        <f t="shared" si="11"/>
        <v>0</v>
      </c>
      <c r="AN36" s="40">
        <f t="shared" si="12"/>
        <v>0</v>
      </c>
      <c r="AO36" s="40">
        <f t="shared" si="13"/>
        <v>0</v>
      </c>
      <c r="AP36" s="40">
        <f t="shared" si="14"/>
        <v>0</v>
      </c>
      <c r="AQ36" s="40">
        <f t="shared" si="14"/>
        <v>0</v>
      </c>
    </row>
    <row r="37" spans="27:43">
      <c r="AA37" s="41">
        <f t="shared" si="15"/>
        <v>34</v>
      </c>
      <c r="AB37" s="38">
        <f t="shared" ref="AB37:AB68" si="16">AB36</f>
        <v>0</v>
      </c>
      <c r="AC37" s="39">
        <f t="shared" ref="AC37:AC68" si="17">AC36</f>
        <v>0</v>
      </c>
      <c r="AD37" s="40">
        <f t="shared" ref="AD37:AD68" si="18">AD36</f>
        <v>0</v>
      </c>
      <c r="AE37" s="38">
        <f t="shared" ref="AE37:AE68" si="19">AE36</f>
        <v>0</v>
      </c>
      <c r="AF37" s="39">
        <f t="shared" ref="AF37:AF68" si="20">AF36</f>
        <v>0</v>
      </c>
      <c r="AG37" s="40">
        <f t="shared" ref="AG37:AG68" si="21">AG36</f>
        <v>0</v>
      </c>
      <c r="AH37" s="40">
        <f t="shared" ref="AH37:AH68" si="22">AH36</f>
        <v>0</v>
      </c>
      <c r="AI37" s="40">
        <f t="shared" si="7"/>
        <v>0</v>
      </c>
      <c r="AJ37" s="40">
        <f t="shared" si="8"/>
        <v>0</v>
      </c>
      <c r="AK37" s="40">
        <f t="shared" ref="AK37:AK68" si="23">AK36</f>
        <v>0</v>
      </c>
      <c r="AL37" s="40">
        <f t="shared" ref="AL37:AL68" si="24">AL36</f>
        <v>0</v>
      </c>
      <c r="AM37" s="40">
        <f t="shared" ref="AM37:AM68" si="25">AM36</f>
        <v>0</v>
      </c>
      <c r="AN37" s="40">
        <f t="shared" ref="AN37:AN68" si="26">AN36</f>
        <v>0</v>
      </c>
      <c r="AO37" s="40">
        <f t="shared" si="13"/>
        <v>0</v>
      </c>
      <c r="AP37" s="40">
        <f t="shared" si="14"/>
        <v>0</v>
      </c>
      <c r="AQ37" s="40">
        <f t="shared" si="14"/>
        <v>0</v>
      </c>
    </row>
    <row r="38" spans="27:43">
      <c r="AA38" s="41">
        <f t="shared" si="15"/>
        <v>35</v>
      </c>
      <c r="AB38" s="38">
        <f t="shared" si="16"/>
        <v>0</v>
      </c>
      <c r="AC38" s="39">
        <f t="shared" si="17"/>
        <v>0</v>
      </c>
      <c r="AD38" s="40">
        <f t="shared" si="18"/>
        <v>0</v>
      </c>
      <c r="AE38" s="38">
        <f t="shared" si="19"/>
        <v>0</v>
      </c>
      <c r="AF38" s="39">
        <f t="shared" si="20"/>
        <v>0</v>
      </c>
      <c r="AG38" s="40">
        <f t="shared" si="21"/>
        <v>0</v>
      </c>
      <c r="AH38" s="40">
        <f t="shared" si="22"/>
        <v>0</v>
      </c>
      <c r="AI38" s="40">
        <f t="shared" si="7"/>
        <v>0</v>
      </c>
      <c r="AJ38" s="40">
        <f t="shared" si="8"/>
        <v>0</v>
      </c>
      <c r="AK38" s="40">
        <f t="shared" si="23"/>
        <v>0</v>
      </c>
      <c r="AL38" s="40">
        <f t="shared" si="24"/>
        <v>0</v>
      </c>
      <c r="AM38" s="40">
        <f t="shared" si="25"/>
        <v>0</v>
      </c>
      <c r="AN38" s="40">
        <f t="shared" si="26"/>
        <v>0</v>
      </c>
      <c r="AO38" s="40">
        <f t="shared" si="13"/>
        <v>0</v>
      </c>
      <c r="AP38" s="40">
        <f t="shared" si="14"/>
        <v>0</v>
      </c>
      <c r="AQ38" s="40">
        <f t="shared" si="14"/>
        <v>0</v>
      </c>
    </row>
    <row r="39" spans="27:43">
      <c r="AA39" s="41">
        <f t="shared" si="15"/>
        <v>36</v>
      </c>
      <c r="AB39" s="38">
        <f t="shared" si="16"/>
        <v>0</v>
      </c>
      <c r="AC39" s="39">
        <f t="shared" si="17"/>
        <v>0</v>
      </c>
      <c r="AD39" s="40">
        <f t="shared" si="18"/>
        <v>0</v>
      </c>
      <c r="AE39" s="38">
        <f t="shared" si="19"/>
        <v>0</v>
      </c>
      <c r="AF39" s="39">
        <f t="shared" si="20"/>
        <v>0</v>
      </c>
      <c r="AG39" s="40">
        <f t="shared" si="21"/>
        <v>0</v>
      </c>
      <c r="AH39" s="40">
        <f t="shared" si="22"/>
        <v>0</v>
      </c>
      <c r="AI39" s="40">
        <f t="shared" si="7"/>
        <v>0</v>
      </c>
      <c r="AJ39" s="40">
        <f t="shared" si="8"/>
        <v>0</v>
      </c>
      <c r="AK39" s="40">
        <f t="shared" si="23"/>
        <v>0</v>
      </c>
      <c r="AL39" s="40">
        <f t="shared" si="24"/>
        <v>0</v>
      </c>
      <c r="AM39" s="40">
        <f t="shared" si="25"/>
        <v>0</v>
      </c>
      <c r="AN39" s="40">
        <f t="shared" si="26"/>
        <v>0</v>
      </c>
      <c r="AO39" s="40">
        <f t="shared" si="13"/>
        <v>0</v>
      </c>
      <c r="AP39" s="40">
        <f t="shared" si="14"/>
        <v>0</v>
      </c>
      <c r="AQ39" s="40">
        <f t="shared" si="14"/>
        <v>0</v>
      </c>
    </row>
    <row r="40" spans="27:43">
      <c r="AA40" s="41">
        <f t="shared" si="15"/>
        <v>37</v>
      </c>
      <c r="AB40" s="38">
        <f t="shared" si="16"/>
        <v>0</v>
      </c>
      <c r="AC40" s="39">
        <f t="shared" si="17"/>
        <v>0</v>
      </c>
      <c r="AD40" s="40">
        <f t="shared" si="18"/>
        <v>0</v>
      </c>
      <c r="AE40" s="38">
        <f t="shared" si="19"/>
        <v>0</v>
      </c>
      <c r="AF40" s="39">
        <f t="shared" si="20"/>
        <v>0</v>
      </c>
      <c r="AG40" s="40">
        <f t="shared" si="21"/>
        <v>0</v>
      </c>
      <c r="AH40" s="40">
        <f t="shared" si="22"/>
        <v>0</v>
      </c>
      <c r="AI40" s="40">
        <f t="shared" si="7"/>
        <v>0</v>
      </c>
      <c r="AJ40" s="40">
        <f t="shared" si="8"/>
        <v>0</v>
      </c>
      <c r="AK40" s="40">
        <f t="shared" si="23"/>
        <v>0</v>
      </c>
      <c r="AL40" s="40">
        <f t="shared" si="24"/>
        <v>0</v>
      </c>
      <c r="AM40" s="40">
        <f t="shared" si="25"/>
        <v>0</v>
      </c>
      <c r="AN40" s="40">
        <f t="shared" si="26"/>
        <v>0</v>
      </c>
      <c r="AO40" s="40">
        <f t="shared" si="13"/>
        <v>0</v>
      </c>
      <c r="AP40" s="40">
        <f t="shared" si="14"/>
        <v>0</v>
      </c>
      <c r="AQ40" s="40">
        <f t="shared" si="14"/>
        <v>0</v>
      </c>
    </row>
    <row r="41" spans="27:43">
      <c r="AA41" s="41">
        <f t="shared" si="15"/>
        <v>38</v>
      </c>
      <c r="AB41" s="38">
        <f t="shared" si="16"/>
        <v>0</v>
      </c>
      <c r="AC41" s="39">
        <f t="shared" si="17"/>
        <v>0</v>
      </c>
      <c r="AD41" s="40">
        <f t="shared" si="18"/>
        <v>0</v>
      </c>
      <c r="AE41" s="38">
        <f t="shared" si="19"/>
        <v>0</v>
      </c>
      <c r="AF41" s="39">
        <f t="shared" si="20"/>
        <v>0</v>
      </c>
      <c r="AG41" s="40">
        <f t="shared" si="21"/>
        <v>0</v>
      </c>
      <c r="AH41" s="40">
        <f t="shared" si="22"/>
        <v>0</v>
      </c>
      <c r="AI41" s="40">
        <f t="shared" si="7"/>
        <v>0</v>
      </c>
      <c r="AJ41" s="40">
        <f t="shared" si="8"/>
        <v>0</v>
      </c>
      <c r="AK41" s="40">
        <f t="shared" si="23"/>
        <v>0</v>
      </c>
      <c r="AL41" s="40">
        <f t="shared" si="24"/>
        <v>0</v>
      </c>
      <c r="AM41" s="40">
        <f t="shared" si="25"/>
        <v>0</v>
      </c>
      <c r="AN41" s="40">
        <f t="shared" si="26"/>
        <v>0</v>
      </c>
      <c r="AO41" s="40">
        <f t="shared" si="13"/>
        <v>0</v>
      </c>
      <c r="AP41" s="40">
        <f t="shared" si="14"/>
        <v>0</v>
      </c>
      <c r="AQ41" s="40">
        <f t="shared" si="14"/>
        <v>0</v>
      </c>
    </row>
    <row r="42" spans="27:43">
      <c r="AA42" s="41">
        <f t="shared" si="15"/>
        <v>39</v>
      </c>
      <c r="AB42" s="38">
        <f t="shared" si="16"/>
        <v>0</v>
      </c>
      <c r="AC42" s="39">
        <f t="shared" si="17"/>
        <v>0</v>
      </c>
      <c r="AD42" s="40">
        <f t="shared" si="18"/>
        <v>0</v>
      </c>
      <c r="AE42" s="38">
        <f t="shared" si="19"/>
        <v>0</v>
      </c>
      <c r="AF42" s="39">
        <f t="shared" si="20"/>
        <v>0</v>
      </c>
      <c r="AG42" s="40">
        <f t="shared" si="21"/>
        <v>0</v>
      </c>
      <c r="AH42" s="40">
        <f t="shared" si="22"/>
        <v>0</v>
      </c>
      <c r="AI42" s="40">
        <f t="shared" si="7"/>
        <v>0</v>
      </c>
      <c r="AJ42" s="40">
        <f t="shared" si="8"/>
        <v>0</v>
      </c>
      <c r="AK42" s="40">
        <f t="shared" si="23"/>
        <v>0</v>
      </c>
      <c r="AL42" s="40">
        <f t="shared" si="24"/>
        <v>0</v>
      </c>
      <c r="AM42" s="40">
        <f t="shared" si="25"/>
        <v>0</v>
      </c>
      <c r="AN42" s="40">
        <f t="shared" si="26"/>
        <v>0</v>
      </c>
      <c r="AO42" s="40">
        <f t="shared" si="13"/>
        <v>0</v>
      </c>
      <c r="AP42" s="40">
        <f t="shared" si="14"/>
        <v>0</v>
      </c>
      <c r="AQ42" s="40">
        <f t="shared" si="14"/>
        <v>0</v>
      </c>
    </row>
    <row r="43" spans="27:43">
      <c r="AA43" s="41">
        <f t="shared" si="15"/>
        <v>40</v>
      </c>
      <c r="AB43" s="38">
        <f t="shared" si="16"/>
        <v>0</v>
      </c>
      <c r="AC43" s="39">
        <f t="shared" si="17"/>
        <v>0</v>
      </c>
      <c r="AD43" s="40">
        <f t="shared" si="18"/>
        <v>0</v>
      </c>
      <c r="AE43" s="38">
        <f t="shared" si="19"/>
        <v>0</v>
      </c>
      <c r="AF43" s="39">
        <f t="shared" si="20"/>
        <v>0</v>
      </c>
      <c r="AG43" s="40">
        <f t="shared" si="21"/>
        <v>0</v>
      </c>
      <c r="AH43" s="40">
        <f t="shared" si="22"/>
        <v>0</v>
      </c>
      <c r="AI43" s="40">
        <f t="shared" si="7"/>
        <v>0</v>
      </c>
      <c r="AJ43" s="40">
        <f t="shared" si="8"/>
        <v>0</v>
      </c>
      <c r="AK43" s="40">
        <f t="shared" si="23"/>
        <v>0</v>
      </c>
      <c r="AL43" s="40">
        <f t="shared" si="24"/>
        <v>0</v>
      </c>
      <c r="AM43" s="40">
        <f t="shared" si="25"/>
        <v>0</v>
      </c>
      <c r="AN43" s="40">
        <f t="shared" si="26"/>
        <v>0</v>
      </c>
      <c r="AO43" s="40">
        <f t="shared" si="13"/>
        <v>0</v>
      </c>
      <c r="AP43" s="40">
        <f t="shared" si="14"/>
        <v>0</v>
      </c>
      <c r="AQ43" s="40">
        <f t="shared" si="14"/>
        <v>0</v>
      </c>
    </row>
    <row r="44" spans="27:43">
      <c r="AA44" s="41">
        <f t="shared" si="15"/>
        <v>41</v>
      </c>
      <c r="AB44" s="38">
        <f t="shared" si="16"/>
        <v>0</v>
      </c>
      <c r="AC44" s="39">
        <f t="shared" si="17"/>
        <v>0</v>
      </c>
      <c r="AD44" s="40">
        <f t="shared" si="18"/>
        <v>0</v>
      </c>
      <c r="AE44" s="38">
        <f t="shared" si="19"/>
        <v>0</v>
      </c>
      <c r="AF44" s="39">
        <f t="shared" si="20"/>
        <v>0</v>
      </c>
      <c r="AG44" s="40">
        <f t="shared" si="21"/>
        <v>0</v>
      </c>
      <c r="AH44" s="40">
        <f t="shared" si="22"/>
        <v>0</v>
      </c>
      <c r="AI44" s="40">
        <f t="shared" si="7"/>
        <v>0</v>
      </c>
      <c r="AJ44" s="40">
        <f t="shared" si="8"/>
        <v>0</v>
      </c>
      <c r="AK44" s="40">
        <f t="shared" si="23"/>
        <v>0</v>
      </c>
      <c r="AL44" s="40">
        <f t="shared" si="24"/>
        <v>0</v>
      </c>
      <c r="AM44" s="40">
        <f t="shared" si="25"/>
        <v>0</v>
      </c>
      <c r="AN44" s="40">
        <f t="shared" si="26"/>
        <v>0</v>
      </c>
      <c r="AO44" s="40">
        <f t="shared" si="13"/>
        <v>0</v>
      </c>
      <c r="AP44" s="40">
        <f t="shared" si="14"/>
        <v>0</v>
      </c>
      <c r="AQ44" s="40">
        <f t="shared" si="14"/>
        <v>0</v>
      </c>
    </row>
    <row r="45" spans="27:43">
      <c r="AA45" s="41">
        <f t="shared" si="15"/>
        <v>42</v>
      </c>
      <c r="AB45" s="38">
        <f t="shared" si="16"/>
        <v>0</v>
      </c>
      <c r="AC45" s="39">
        <f t="shared" si="17"/>
        <v>0</v>
      </c>
      <c r="AD45" s="40">
        <f t="shared" si="18"/>
        <v>0</v>
      </c>
      <c r="AE45" s="38">
        <f t="shared" si="19"/>
        <v>0</v>
      </c>
      <c r="AF45" s="39">
        <f t="shared" si="20"/>
        <v>0</v>
      </c>
      <c r="AG45" s="40">
        <f t="shared" si="21"/>
        <v>0</v>
      </c>
      <c r="AH45" s="40">
        <f t="shared" si="22"/>
        <v>0</v>
      </c>
      <c r="AI45" s="40">
        <f t="shared" si="7"/>
        <v>0</v>
      </c>
      <c r="AJ45" s="40">
        <f t="shared" si="8"/>
        <v>0</v>
      </c>
      <c r="AK45" s="40">
        <f t="shared" si="23"/>
        <v>0</v>
      </c>
      <c r="AL45" s="40">
        <f t="shared" si="24"/>
        <v>0</v>
      </c>
      <c r="AM45" s="40">
        <f t="shared" si="25"/>
        <v>0</v>
      </c>
      <c r="AN45" s="40">
        <f t="shared" si="26"/>
        <v>0</v>
      </c>
      <c r="AO45" s="40">
        <f t="shared" si="13"/>
        <v>0</v>
      </c>
      <c r="AP45" s="40">
        <f t="shared" si="14"/>
        <v>0</v>
      </c>
      <c r="AQ45" s="40">
        <f t="shared" si="14"/>
        <v>0</v>
      </c>
    </row>
    <row r="46" spans="27:43">
      <c r="AA46" s="41">
        <f t="shared" si="15"/>
        <v>43</v>
      </c>
      <c r="AB46" s="38">
        <f t="shared" si="16"/>
        <v>0</v>
      </c>
      <c r="AC46" s="39">
        <f t="shared" si="17"/>
        <v>0</v>
      </c>
      <c r="AD46" s="40">
        <f t="shared" si="18"/>
        <v>0</v>
      </c>
      <c r="AE46" s="38">
        <f t="shared" si="19"/>
        <v>0</v>
      </c>
      <c r="AF46" s="39">
        <f t="shared" si="20"/>
        <v>0</v>
      </c>
      <c r="AG46" s="40">
        <f t="shared" si="21"/>
        <v>0</v>
      </c>
      <c r="AH46" s="40">
        <f t="shared" si="22"/>
        <v>0</v>
      </c>
      <c r="AI46" s="40">
        <f t="shared" si="7"/>
        <v>0</v>
      </c>
      <c r="AJ46" s="40">
        <f t="shared" si="8"/>
        <v>0</v>
      </c>
      <c r="AK46" s="40">
        <f t="shared" si="23"/>
        <v>0</v>
      </c>
      <c r="AL46" s="40">
        <f t="shared" si="24"/>
        <v>0</v>
      </c>
      <c r="AM46" s="40">
        <f t="shared" si="25"/>
        <v>0</v>
      </c>
      <c r="AN46" s="40">
        <f t="shared" si="26"/>
        <v>0</v>
      </c>
      <c r="AO46" s="40">
        <f t="shared" si="13"/>
        <v>0</v>
      </c>
      <c r="AP46" s="40">
        <f t="shared" si="14"/>
        <v>0</v>
      </c>
      <c r="AQ46" s="40">
        <f t="shared" si="14"/>
        <v>0</v>
      </c>
    </row>
    <row r="47" spans="27:43">
      <c r="AA47" s="41">
        <f t="shared" si="15"/>
        <v>44</v>
      </c>
      <c r="AB47" s="38">
        <f t="shared" si="16"/>
        <v>0</v>
      </c>
      <c r="AC47" s="39">
        <f t="shared" si="17"/>
        <v>0</v>
      </c>
      <c r="AD47" s="40">
        <f t="shared" si="18"/>
        <v>0</v>
      </c>
      <c r="AE47" s="38">
        <f t="shared" si="19"/>
        <v>0</v>
      </c>
      <c r="AF47" s="39">
        <f t="shared" si="20"/>
        <v>0</v>
      </c>
      <c r="AG47" s="40">
        <f t="shared" si="21"/>
        <v>0</v>
      </c>
      <c r="AH47" s="40">
        <f t="shared" si="22"/>
        <v>0</v>
      </c>
      <c r="AI47" s="40">
        <f t="shared" si="7"/>
        <v>0</v>
      </c>
      <c r="AJ47" s="40">
        <f t="shared" si="8"/>
        <v>0</v>
      </c>
      <c r="AK47" s="40">
        <f t="shared" si="23"/>
        <v>0</v>
      </c>
      <c r="AL47" s="40">
        <f t="shared" si="24"/>
        <v>0</v>
      </c>
      <c r="AM47" s="40">
        <f t="shared" si="25"/>
        <v>0</v>
      </c>
      <c r="AN47" s="40">
        <f t="shared" si="26"/>
        <v>0</v>
      </c>
      <c r="AO47" s="40">
        <f t="shared" si="13"/>
        <v>0</v>
      </c>
      <c r="AP47" s="40">
        <f t="shared" si="14"/>
        <v>0</v>
      </c>
      <c r="AQ47" s="40">
        <f t="shared" si="14"/>
        <v>0</v>
      </c>
    </row>
    <row r="48" spans="27:43">
      <c r="AA48" s="41">
        <f t="shared" si="15"/>
        <v>45</v>
      </c>
      <c r="AB48" s="38">
        <f t="shared" si="16"/>
        <v>0</v>
      </c>
      <c r="AC48" s="39">
        <f t="shared" si="17"/>
        <v>0</v>
      </c>
      <c r="AD48" s="40">
        <f t="shared" si="18"/>
        <v>0</v>
      </c>
      <c r="AE48" s="38">
        <f t="shared" si="19"/>
        <v>0</v>
      </c>
      <c r="AF48" s="39">
        <f t="shared" si="20"/>
        <v>0</v>
      </c>
      <c r="AG48" s="40">
        <f t="shared" si="21"/>
        <v>0</v>
      </c>
      <c r="AH48" s="40">
        <f t="shared" si="22"/>
        <v>0</v>
      </c>
      <c r="AI48" s="40">
        <f t="shared" si="7"/>
        <v>0</v>
      </c>
      <c r="AJ48" s="40">
        <f t="shared" si="8"/>
        <v>0</v>
      </c>
      <c r="AK48" s="40">
        <f t="shared" si="23"/>
        <v>0</v>
      </c>
      <c r="AL48" s="40">
        <f t="shared" si="24"/>
        <v>0</v>
      </c>
      <c r="AM48" s="40">
        <f t="shared" si="25"/>
        <v>0</v>
      </c>
      <c r="AN48" s="40">
        <f t="shared" si="26"/>
        <v>0</v>
      </c>
      <c r="AO48" s="40">
        <f t="shared" si="13"/>
        <v>0</v>
      </c>
      <c r="AP48" s="40">
        <f t="shared" si="14"/>
        <v>0</v>
      </c>
      <c r="AQ48" s="40">
        <f t="shared" si="14"/>
        <v>0</v>
      </c>
    </row>
    <row r="49" spans="27:43">
      <c r="AA49" s="41">
        <f t="shared" si="15"/>
        <v>46</v>
      </c>
      <c r="AB49" s="38">
        <f t="shared" si="16"/>
        <v>0</v>
      </c>
      <c r="AC49" s="39">
        <f t="shared" si="17"/>
        <v>0</v>
      </c>
      <c r="AD49" s="40">
        <f t="shared" si="18"/>
        <v>0</v>
      </c>
      <c r="AE49" s="38">
        <f t="shared" si="19"/>
        <v>0</v>
      </c>
      <c r="AF49" s="39">
        <f t="shared" si="20"/>
        <v>0</v>
      </c>
      <c r="AG49" s="40">
        <f t="shared" si="21"/>
        <v>0</v>
      </c>
      <c r="AH49" s="40">
        <f t="shared" si="22"/>
        <v>0</v>
      </c>
      <c r="AI49" s="40">
        <f t="shared" si="7"/>
        <v>0</v>
      </c>
      <c r="AJ49" s="40">
        <f t="shared" si="8"/>
        <v>0</v>
      </c>
      <c r="AK49" s="40">
        <f t="shared" si="23"/>
        <v>0</v>
      </c>
      <c r="AL49" s="40">
        <f t="shared" si="24"/>
        <v>0</v>
      </c>
      <c r="AM49" s="40">
        <f t="shared" si="25"/>
        <v>0</v>
      </c>
      <c r="AN49" s="40">
        <f t="shared" si="26"/>
        <v>0</v>
      </c>
      <c r="AO49" s="40">
        <f t="shared" si="13"/>
        <v>0</v>
      </c>
      <c r="AP49" s="40">
        <f t="shared" si="14"/>
        <v>0</v>
      </c>
      <c r="AQ49" s="40">
        <f t="shared" si="14"/>
        <v>0</v>
      </c>
    </row>
    <row r="50" spans="27:43">
      <c r="AA50" s="41">
        <f t="shared" si="15"/>
        <v>47</v>
      </c>
      <c r="AB50" s="38">
        <f t="shared" si="16"/>
        <v>0</v>
      </c>
      <c r="AC50" s="39">
        <f t="shared" si="17"/>
        <v>0</v>
      </c>
      <c r="AD50" s="40">
        <f t="shared" si="18"/>
        <v>0</v>
      </c>
      <c r="AE50" s="38">
        <f t="shared" si="19"/>
        <v>0</v>
      </c>
      <c r="AF50" s="39">
        <f t="shared" si="20"/>
        <v>0</v>
      </c>
      <c r="AG50" s="40">
        <f t="shared" si="21"/>
        <v>0</v>
      </c>
      <c r="AH50" s="40">
        <f t="shared" si="22"/>
        <v>0</v>
      </c>
      <c r="AI50" s="40">
        <f t="shared" si="7"/>
        <v>0</v>
      </c>
      <c r="AJ50" s="40">
        <f t="shared" si="8"/>
        <v>0</v>
      </c>
      <c r="AK50" s="40">
        <f t="shared" si="23"/>
        <v>0</v>
      </c>
      <c r="AL50" s="40">
        <f t="shared" si="24"/>
        <v>0</v>
      </c>
      <c r="AM50" s="40">
        <f t="shared" si="25"/>
        <v>0</v>
      </c>
      <c r="AN50" s="40">
        <f t="shared" si="26"/>
        <v>0</v>
      </c>
      <c r="AO50" s="40">
        <f t="shared" si="13"/>
        <v>0</v>
      </c>
      <c r="AP50" s="40">
        <f t="shared" si="14"/>
        <v>0</v>
      </c>
      <c r="AQ50" s="40">
        <f t="shared" si="14"/>
        <v>0</v>
      </c>
    </row>
    <row r="51" spans="27:43">
      <c r="AA51" s="41">
        <f t="shared" si="15"/>
        <v>48</v>
      </c>
      <c r="AB51" s="38">
        <f t="shared" si="16"/>
        <v>0</v>
      </c>
      <c r="AC51" s="39">
        <f t="shared" si="17"/>
        <v>0</v>
      </c>
      <c r="AD51" s="40">
        <f t="shared" si="18"/>
        <v>0</v>
      </c>
      <c r="AE51" s="38">
        <f t="shared" si="19"/>
        <v>0</v>
      </c>
      <c r="AF51" s="39">
        <f t="shared" si="20"/>
        <v>0</v>
      </c>
      <c r="AG51" s="40">
        <f t="shared" si="21"/>
        <v>0</v>
      </c>
      <c r="AH51" s="40">
        <f t="shared" si="22"/>
        <v>0</v>
      </c>
      <c r="AI51" s="40">
        <f t="shared" si="7"/>
        <v>0</v>
      </c>
      <c r="AJ51" s="40">
        <f t="shared" si="8"/>
        <v>0</v>
      </c>
      <c r="AK51" s="40">
        <f t="shared" si="23"/>
        <v>0</v>
      </c>
      <c r="AL51" s="40">
        <f t="shared" si="24"/>
        <v>0</v>
      </c>
      <c r="AM51" s="40">
        <f t="shared" si="25"/>
        <v>0</v>
      </c>
      <c r="AN51" s="40">
        <f t="shared" si="26"/>
        <v>0</v>
      </c>
      <c r="AO51" s="40">
        <f t="shared" si="13"/>
        <v>0</v>
      </c>
      <c r="AP51" s="40">
        <f t="shared" si="14"/>
        <v>0</v>
      </c>
      <c r="AQ51" s="40">
        <f t="shared" si="14"/>
        <v>0</v>
      </c>
    </row>
    <row r="52" spans="27:43">
      <c r="AA52" s="41">
        <f t="shared" si="15"/>
        <v>49</v>
      </c>
      <c r="AB52" s="38">
        <f t="shared" si="16"/>
        <v>0</v>
      </c>
      <c r="AC52" s="39">
        <f t="shared" si="17"/>
        <v>0</v>
      </c>
      <c r="AD52" s="40">
        <f t="shared" si="18"/>
        <v>0</v>
      </c>
      <c r="AE52" s="38">
        <f t="shared" si="19"/>
        <v>0</v>
      </c>
      <c r="AF52" s="39">
        <f t="shared" si="20"/>
        <v>0</v>
      </c>
      <c r="AG52" s="40">
        <f t="shared" si="21"/>
        <v>0</v>
      </c>
      <c r="AH52" s="40">
        <f t="shared" si="22"/>
        <v>0</v>
      </c>
      <c r="AI52" s="40">
        <f t="shared" si="7"/>
        <v>0</v>
      </c>
      <c r="AJ52" s="40">
        <f t="shared" si="8"/>
        <v>0</v>
      </c>
      <c r="AK52" s="40">
        <f t="shared" si="23"/>
        <v>0</v>
      </c>
      <c r="AL52" s="40">
        <f t="shared" si="24"/>
        <v>0</v>
      </c>
      <c r="AM52" s="40">
        <f t="shared" si="25"/>
        <v>0</v>
      </c>
      <c r="AN52" s="40">
        <f t="shared" si="26"/>
        <v>0</v>
      </c>
      <c r="AO52" s="40">
        <f t="shared" si="13"/>
        <v>0</v>
      </c>
      <c r="AP52" s="40">
        <f t="shared" si="14"/>
        <v>0</v>
      </c>
      <c r="AQ52" s="40">
        <f t="shared" si="14"/>
        <v>0</v>
      </c>
    </row>
    <row r="53" spans="27:43">
      <c r="AA53" s="41">
        <f t="shared" si="15"/>
        <v>50</v>
      </c>
      <c r="AB53" s="38">
        <f t="shared" si="16"/>
        <v>0</v>
      </c>
      <c r="AC53" s="39">
        <f t="shared" si="17"/>
        <v>0</v>
      </c>
      <c r="AD53" s="40">
        <f t="shared" si="18"/>
        <v>0</v>
      </c>
      <c r="AE53" s="38">
        <f t="shared" si="19"/>
        <v>0</v>
      </c>
      <c r="AF53" s="39">
        <f t="shared" si="20"/>
        <v>0</v>
      </c>
      <c r="AG53" s="40">
        <f t="shared" si="21"/>
        <v>0</v>
      </c>
      <c r="AH53" s="40">
        <f t="shared" si="22"/>
        <v>0</v>
      </c>
      <c r="AI53" s="40">
        <f t="shared" si="7"/>
        <v>0</v>
      </c>
      <c r="AJ53" s="40">
        <f t="shared" si="8"/>
        <v>0</v>
      </c>
      <c r="AK53" s="40">
        <f t="shared" si="23"/>
        <v>0</v>
      </c>
      <c r="AL53" s="40">
        <f t="shared" si="24"/>
        <v>0</v>
      </c>
      <c r="AM53" s="40">
        <f t="shared" si="25"/>
        <v>0</v>
      </c>
      <c r="AN53" s="40">
        <f t="shared" si="26"/>
        <v>0</v>
      </c>
      <c r="AO53" s="40">
        <f t="shared" si="13"/>
        <v>0</v>
      </c>
      <c r="AP53" s="40">
        <f t="shared" si="14"/>
        <v>0</v>
      </c>
      <c r="AQ53" s="40">
        <f t="shared" si="14"/>
        <v>0</v>
      </c>
    </row>
    <row r="54" spans="27:43">
      <c r="AA54" s="41">
        <f t="shared" si="15"/>
        <v>51</v>
      </c>
      <c r="AB54" s="38">
        <f t="shared" si="16"/>
        <v>0</v>
      </c>
      <c r="AC54" s="39">
        <f t="shared" si="17"/>
        <v>0</v>
      </c>
      <c r="AD54" s="40">
        <f t="shared" si="18"/>
        <v>0</v>
      </c>
      <c r="AE54" s="38">
        <f t="shared" si="19"/>
        <v>0</v>
      </c>
      <c r="AF54" s="39">
        <f t="shared" si="20"/>
        <v>0</v>
      </c>
      <c r="AG54" s="40">
        <f t="shared" si="21"/>
        <v>0</v>
      </c>
      <c r="AH54" s="40">
        <f t="shared" si="22"/>
        <v>0</v>
      </c>
      <c r="AI54" s="40">
        <f t="shared" si="7"/>
        <v>0</v>
      </c>
      <c r="AJ54" s="40">
        <f t="shared" si="8"/>
        <v>0</v>
      </c>
      <c r="AK54" s="40">
        <f t="shared" si="23"/>
        <v>0</v>
      </c>
      <c r="AL54" s="40">
        <f t="shared" si="24"/>
        <v>0</v>
      </c>
      <c r="AM54" s="40">
        <f t="shared" si="25"/>
        <v>0</v>
      </c>
      <c r="AN54" s="40">
        <f t="shared" si="26"/>
        <v>0</v>
      </c>
      <c r="AO54" s="40">
        <f t="shared" si="13"/>
        <v>0</v>
      </c>
      <c r="AP54" s="40">
        <f t="shared" si="14"/>
        <v>0</v>
      </c>
      <c r="AQ54" s="40">
        <f t="shared" si="14"/>
        <v>0</v>
      </c>
    </row>
    <row r="55" spans="27:43">
      <c r="AA55" s="41">
        <f t="shared" si="15"/>
        <v>52</v>
      </c>
      <c r="AB55" s="38">
        <f t="shared" si="16"/>
        <v>0</v>
      </c>
      <c r="AC55" s="39">
        <f t="shared" si="17"/>
        <v>0</v>
      </c>
      <c r="AD55" s="40">
        <f t="shared" si="18"/>
        <v>0</v>
      </c>
      <c r="AE55" s="38">
        <f t="shared" si="19"/>
        <v>0</v>
      </c>
      <c r="AF55" s="39">
        <f t="shared" si="20"/>
        <v>0</v>
      </c>
      <c r="AG55" s="40">
        <f t="shared" si="21"/>
        <v>0</v>
      </c>
      <c r="AH55" s="40">
        <f t="shared" si="22"/>
        <v>0</v>
      </c>
      <c r="AI55" s="40">
        <f t="shared" si="7"/>
        <v>0</v>
      </c>
      <c r="AJ55" s="40">
        <f t="shared" si="8"/>
        <v>0</v>
      </c>
      <c r="AK55" s="40">
        <f t="shared" si="23"/>
        <v>0</v>
      </c>
      <c r="AL55" s="40">
        <f t="shared" si="24"/>
        <v>0</v>
      </c>
      <c r="AM55" s="40">
        <f t="shared" si="25"/>
        <v>0</v>
      </c>
      <c r="AN55" s="40">
        <f t="shared" si="26"/>
        <v>0</v>
      </c>
      <c r="AO55" s="40">
        <f t="shared" si="13"/>
        <v>0</v>
      </c>
      <c r="AP55" s="40">
        <f t="shared" si="14"/>
        <v>0</v>
      </c>
      <c r="AQ55" s="40">
        <f t="shared" si="14"/>
        <v>0</v>
      </c>
    </row>
    <row r="56" spans="27:43">
      <c r="AA56" s="41">
        <f t="shared" si="15"/>
        <v>53</v>
      </c>
      <c r="AB56" s="38">
        <f t="shared" si="16"/>
        <v>0</v>
      </c>
      <c r="AC56" s="39">
        <f t="shared" si="17"/>
        <v>0</v>
      </c>
      <c r="AD56" s="40">
        <f t="shared" si="18"/>
        <v>0</v>
      </c>
      <c r="AE56" s="38">
        <f t="shared" si="19"/>
        <v>0</v>
      </c>
      <c r="AF56" s="39">
        <f t="shared" si="20"/>
        <v>0</v>
      </c>
      <c r="AG56" s="40">
        <f t="shared" si="21"/>
        <v>0</v>
      </c>
      <c r="AH56" s="40">
        <f t="shared" si="22"/>
        <v>0</v>
      </c>
      <c r="AI56" s="40">
        <f t="shared" si="7"/>
        <v>0</v>
      </c>
      <c r="AJ56" s="40">
        <f t="shared" si="8"/>
        <v>0</v>
      </c>
      <c r="AK56" s="40">
        <f t="shared" si="23"/>
        <v>0</v>
      </c>
      <c r="AL56" s="40">
        <f t="shared" si="24"/>
        <v>0</v>
      </c>
      <c r="AM56" s="40">
        <f t="shared" si="25"/>
        <v>0</v>
      </c>
      <c r="AN56" s="40">
        <f t="shared" si="26"/>
        <v>0</v>
      </c>
      <c r="AO56" s="40">
        <f t="shared" si="13"/>
        <v>0</v>
      </c>
      <c r="AP56" s="40">
        <f t="shared" si="14"/>
        <v>0</v>
      </c>
      <c r="AQ56" s="40">
        <f t="shared" si="14"/>
        <v>0</v>
      </c>
    </row>
    <row r="57" spans="27:43">
      <c r="AA57" s="41">
        <f t="shared" si="15"/>
        <v>54</v>
      </c>
      <c r="AB57" s="38">
        <f t="shared" si="16"/>
        <v>0</v>
      </c>
      <c r="AC57" s="39">
        <f t="shared" si="17"/>
        <v>0</v>
      </c>
      <c r="AD57" s="40">
        <f t="shared" si="18"/>
        <v>0</v>
      </c>
      <c r="AE57" s="38">
        <f t="shared" si="19"/>
        <v>0</v>
      </c>
      <c r="AF57" s="39">
        <f t="shared" si="20"/>
        <v>0</v>
      </c>
      <c r="AG57" s="40">
        <f t="shared" si="21"/>
        <v>0</v>
      </c>
      <c r="AH57" s="40">
        <f t="shared" si="22"/>
        <v>0</v>
      </c>
      <c r="AI57" s="40">
        <f t="shared" si="7"/>
        <v>0</v>
      </c>
      <c r="AJ57" s="40">
        <f t="shared" si="8"/>
        <v>0</v>
      </c>
      <c r="AK57" s="40">
        <f t="shared" si="23"/>
        <v>0</v>
      </c>
      <c r="AL57" s="40">
        <f t="shared" si="24"/>
        <v>0</v>
      </c>
      <c r="AM57" s="40">
        <f t="shared" si="25"/>
        <v>0</v>
      </c>
      <c r="AN57" s="40">
        <f t="shared" si="26"/>
        <v>0</v>
      </c>
      <c r="AO57" s="40">
        <f t="shared" si="13"/>
        <v>0</v>
      </c>
      <c r="AP57" s="40">
        <f t="shared" si="14"/>
        <v>0</v>
      </c>
      <c r="AQ57" s="40">
        <f t="shared" si="14"/>
        <v>0</v>
      </c>
    </row>
    <row r="58" spans="27:43">
      <c r="AA58" s="41">
        <f t="shared" si="15"/>
        <v>55</v>
      </c>
      <c r="AB58" s="38">
        <f t="shared" si="16"/>
        <v>0</v>
      </c>
      <c r="AC58" s="39">
        <f t="shared" si="17"/>
        <v>0</v>
      </c>
      <c r="AD58" s="40">
        <f t="shared" si="18"/>
        <v>0</v>
      </c>
      <c r="AE58" s="38">
        <f t="shared" si="19"/>
        <v>0</v>
      </c>
      <c r="AF58" s="39">
        <f t="shared" si="20"/>
        <v>0</v>
      </c>
      <c r="AG58" s="40">
        <f t="shared" si="21"/>
        <v>0</v>
      </c>
      <c r="AH58" s="40">
        <f t="shared" si="22"/>
        <v>0</v>
      </c>
      <c r="AI58" s="40">
        <f t="shared" si="7"/>
        <v>0</v>
      </c>
      <c r="AJ58" s="40">
        <f t="shared" si="8"/>
        <v>0</v>
      </c>
      <c r="AK58" s="40">
        <f t="shared" si="23"/>
        <v>0</v>
      </c>
      <c r="AL58" s="40">
        <f t="shared" si="24"/>
        <v>0</v>
      </c>
      <c r="AM58" s="40">
        <f t="shared" si="25"/>
        <v>0</v>
      </c>
      <c r="AN58" s="40">
        <f t="shared" si="26"/>
        <v>0</v>
      </c>
      <c r="AO58" s="40">
        <f t="shared" si="13"/>
        <v>0</v>
      </c>
      <c r="AP58" s="40">
        <f t="shared" si="14"/>
        <v>0</v>
      </c>
      <c r="AQ58" s="40">
        <f t="shared" si="14"/>
        <v>0</v>
      </c>
    </row>
    <row r="59" spans="27:43">
      <c r="AA59" s="41">
        <f t="shared" si="15"/>
        <v>56</v>
      </c>
      <c r="AB59" s="38">
        <f t="shared" si="16"/>
        <v>0</v>
      </c>
      <c r="AC59" s="39">
        <f t="shared" si="17"/>
        <v>0</v>
      </c>
      <c r="AD59" s="40">
        <f t="shared" si="18"/>
        <v>0</v>
      </c>
      <c r="AE59" s="38">
        <f t="shared" si="19"/>
        <v>0</v>
      </c>
      <c r="AF59" s="39">
        <f t="shared" si="20"/>
        <v>0</v>
      </c>
      <c r="AG59" s="40">
        <f t="shared" si="21"/>
        <v>0</v>
      </c>
      <c r="AH59" s="40">
        <f t="shared" si="22"/>
        <v>0</v>
      </c>
      <c r="AI59" s="40">
        <f t="shared" si="7"/>
        <v>0</v>
      </c>
      <c r="AJ59" s="40">
        <f t="shared" si="8"/>
        <v>0</v>
      </c>
      <c r="AK59" s="40">
        <f t="shared" si="23"/>
        <v>0</v>
      </c>
      <c r="AL59" s="40">
        <f t="shared" si="24"/>
        <v>0</v>
      </c>
      <c r="AM59" s="40">
        <f t="shared" si="25"/>
        <v>0</v>
      </c>
      <c r="AN59" s="40">
        <f t="shared" si="26"/>
        <v>0</v>
      </c>
      <c r="AO59" s="40">
        <f t="shared" si="13"/>
        <v>0</v>
      </c>
      <c r="AP59" s="40">
        <f t="shared" si="14"/>
        <v>0</v>
      </c>
      <c r="AQ59" s="40">
        <f t="shared" si="14"/>
        <v>0</v>
      </c>
    </row>
    <row r="60" spans="27:43">
      <c r="AA60" s="41">
        <f t="shared" si="15"/>
        <v>57</v>
      </c>
      <c r="AB60" s="38">
        <f t="shared" si="16"/>
        <v>0</v>
      </c>
      <c r="AC60" s="39">
        <f t="shared" si="17"/>
        <v>0</v>
      </c>
      <c r="AD60" s="40">
        <f t="shared" si="18"/>
        <v>0</v>
      </c>
      <c r="AE60" s="38">
        <f t="shared" si="19"/>
        <v>0</v>
      </c>
      <c r="AF60" s="39">
        <f t="shared" si="20"/>
        <v>0</v>
      </c>
      <c r="AG60" s="40">
        <f t="shared" si="21"/>
        <v>0</v>
      </c>
      <c r="AH60" s="40">
        <f t="shared" si="22"/>
        <v>0</v>
      </c>
      <c r="AI60" s="40">
        <f t="shared" si="7"/>
        <v>0</v>
      </c>
      <c r="AJ60" s="40">
        <f t="shared" si="8"/>
        <v>0</v>
      </c>
      <c r="AK60" s="40">
        <f t="shared" si="23"/>
        <v>0</v>
      </c>
      <c r="AL60" s="40">
        <f t="shared" si="24"/>
        <v>0</v>
      </c>
      <c r="AM60" s="40">
        <f t="shared" si="25"/>
        <v>0</v>
      </c>
      <c r="AN60" s="40">
        <f t="shared" si="26"/>
        <v>0</v>
      </c>
      <c r="AO60" s="40">
        <f t="shared" si="13"/>
        <v>0</v>
      </c>
      <c r="AP60" s="40">
        <f t="shared" si="14"/>
        <v>0</v>
      </c>
      <c r="AQ60" s="40">
        <f t="shared" si="14"/>
        <v>0</v>
      </c>
    </row>
    <row r="61" spans="27:43">
      <c r="AA61" s="41">
        <f t="shared" si="15"/>
        <v>58</v>
      </c>
      <c r="AB61" s="38">
        <f t="shared" si="16"/>
        <v>0</v>
      </c>
      <c r="AC61" s="39">
        <f t="shared" si="17"/>
        <v>0</v>
      </c>
      <c r="AD61" s="40">
        <f t="shared" si="18"/>
        <v>0</v>
      </c>
      <c r="AE61" s="38">
        <f t="shared" si="19"/>
        <v>0</v>
      </c>
      <c r="AF61" s="39">
        <f t="shared" si="20"/>
        <v>0</v>
      </c>
      <c r="AG61" s="40">
        <f t="shared" si="21"/>
        <v>0</v>
      </c>
      <c r="AH61" s="40">
        <f t="shared" si="22"/>
        <v>0</v>
      </c>
      <c r="AI61" s="40">
        <f t="shared" si="7"/>
        <v>0</v>
      </c>
      <c r="AJ61" s="40">
        <f t="shared" si="8"/>
        <v>0</v>
      </c>
      <c r="AK61" s="40">
        <f t="shared" si="23"/>
        <v>0</v>
      </c>
      <c r="AL61" s="40">
        <f t="shared" si="24"/>
        <v>0</v>
      </c>
      <c r="AM61" s="40">
        <f t="shared" si="25"/>
        <v>0</v>
      </c>
      <c r="AN61" s="40">
        <f t="shared" si="26"/>
        <v>0</v>
      </c>
      <c r="AO61" s="40">
        <f t="shared" si="13"/>
        <v>0</v>
      </c>
      <c r="AP61" s="40">
        <f t="shared" si="14"/>
        <v>0</v>
      </c>
      <c r="AQ61" s="40">
        <f t="shared" si="14"/>
        <v>0</v>
      </c>
    </row>
    <row r="62" spans="27:43">
      <c r="AA62" s="41">
        <f t="shared" si="15"/>
        <v>59</v>
      </c>
      <c r="AB62" s="38">
        <f t="shared" si="16"/>
        <v>0</v>
      </c>
      <c r="AC62" s="39">
        <f t="shared" si="17"/>
        <v>0</v>
      </c>
      <c r="AD62" s="40">
        <f t="shared" si="18"/>
        <v>0</v>
      </c>
      <c r="AE62" s="38">
        <f t="shared" si="19"/>
        <v>0</v>
      </c>
      <c r="AF62" s="39">
        <f t="shared" si="20"/>
        <v>0</v>
      </c>
      <c r="AG62" s="40">
        <f t="shared" si="21"/>
        <v>0</v>
      </c>
      <c r="AH62" s="40">
        <f t="shared" si="22"/>
        <v>0</v>
      </c>
      <c r="AI62" s="40">
        <f t="shared" si="7"/>
        <v>0</v>
      </c>
      <c r="AJ62" s="40">
        <f t="shared" si="8"/>
        <v>0</v>
      </c>
      <c r="AK62" s="40">
        <f t="shared" si="23"/>
        <v>0</v>
      </c>
      <c r="AL62" s="40">
        <f t="shared" si="24"/>
        <v>0</v>
      </c>
      <c r="AM62" s="40">
        <f t="shared" si="25"/>
        <v>0</v>
      </c>
      <c r="AN62" s="40">
        <f t="shared" si="26"/>
        <v>0</v>
      </c>
      <c r="AO62" s="40">
        <f t="shared" si="13"/>
        <v>0</v>
      </c>
      <c r="AP62" s="40">
        <f t="shared" si="14"/>
        <v>0</v>
      </c>
      <c r="AQ62" s="40">
        <f t="shared" si="14"/>
        <v>0</v>
      </c>
    </row>
    <row r="63" spans="27:43">
      <c r="AA63" s="41">
        <f t="shared" si="15"/>
        <v>60</v>
      </c>
      <c r="AB63" s="38">
        <f t="shared" si="16"/>
        <v>0</v>
      </c>
      <c r="AC63" s="39">
        <f t="shared" si="17"/>
        <v>0</v>
      </c>
      <c r="AD63" s="40">
        <f t="shared" si="18"/>
        <v>0</v>
      </c>
      <c r="AE63" s="38">
        <f t="shared" si="19"/>
        <v>0</v>
      </c>
      <c r="AF63" s="39">
        <f t="shared" si="20"/>
        <v>0</v>
      </c>
      <c r="AG63" s="40">
        <f t="shared" si="21"/>
        <v>0</v>
      </c>
      <c r="AH63" s="40">
        <f t="shared" si="22"/>
        <v>0</v>
      </c>
      <c r="AI63" s="40">
        <f t="shared" si="7"/>
        <v>0</v>
      </c>
      <c r="AJ63" s="40">
        <f t="shared" si="8"/>
        <v>0</v>
      </c>
      <c r="AK63" s="40">
        <f t="shared" si="23"/>
        <v>0</v>
      </c>
      <c r="AL63" s="40">
        <f t="shared" si="24"/>
        <v>0</v>
      </c>
      <c r="AM63" s="40">
        <f t="shared" si="25"/>
        <v>0</v>
      </c>
      <c r="AN63" s="40">
        <f t="shared" si="26"/>
        <v>0</v>
      </c>
      <c r="AO63" s="40">
        <f t="shared" si="13"/>
        <v>0</v>
      </c>
      <c r="AP63" s="40">
        <f t="shared" si="14"/>
        <v>0</v>
      </c>
      <c r="AQ63" s="40">
        <f t="shared" si="14"/>
        <v>0</v>
      </c>
    </row>
    <row r="64" spans="27:43">
      <c r="AA64" s="41">
        <f t="shared" si="15"/>
        <v>61</v>
      </c>
      <c r="AB64" s="38">
        <f t="shared" si="16"/>
        <v>0</v>
      </c>
      <c r="AC64" s="39">
        <f t="shared" si="17"/>
        <v>0</v>
      </c>
      <c r="AD64" s="40">
        <f t="shared" si="18"/>
        <v>0</v>
      </c>
      <c r="AE64" s="38">
        <f t="shared" si="19"/>
        <v>0</v>
      </c>
      <c r="AF64" s="39">
        <f t="shared" si="20"/>
        <v>0</v>
      </c>
      <c r="AG64" s="40">
        <f t="shared" si="21"/>
        <v>0</v>
      </c>
      <c r="AH64" s="40">
        <f t="shared" si="22"/>
        <v>0</v>
      </c>
      <c r="AI64" s="40">
        <f t="shared" si="7"/>
        <v>0</v>
      </c>
      <c r="AJ64" s="40">
        <f t="shared" si="8"/>
        <v>0</v>
      </c>
      <c r="AK64" s="40">
        <f t="shared" si="23"/>
        <v>0</v>
      </c>
      <c r="AL64" s="40">
        <f t="shared" si="24"/>
        <v>0</v>
      </c>
      <c r="AM64" s="40">
        <f t="shared" si="25"/>
        <v>0</v>
      </c>
      <c r="AN64" s="40">
        <f t="shared" si="26"/>
        <v>0</v>
      </c>
      <c r="AO64" s="40">
        <f t="shared" si="13"/>
        <v>0</v>
      </c>
      <c r="AP64" s="40">
        <f t="shared" si="14"/>
        <v>0</v>
      </c>
      <c r="AQ64" s="40">
        <f t="shared" si="14"/>
        <v>0</v>
      </c>
    </row>
    <row r="65" spans="27:43">
      <c r="AA65" s="41">
        <f t="shared" si="15"/>
        <v>62</v>
      </c>
      <c r="AB65" s="38">
        <f t="shared" si="16"/>
        <v>0</v>
      </c>
      <c r="AC65" s="39">
        <f t="shared" si="17"/>
        <v>0</v>
      </c>
      <c r="AD65" s="40">
        <f t="shared" si="18"/>
        <v>0</v>
      </c>
      <c r="AE65" s="38">
        <f t="shared" si="19"/>
        <v>0</v>
      </c>
      <c r="AF65" s="39">
        <f t="shared" si="20"/>
        <v>0</v>
      </c>
      <c r="AG65" s="40">
        <f t="shared" si="21"/>
        <v>0</v>
      </c>
      <c r="AH65" s="40">
        <f t="shared" si="22"/>
        <v>0</v>
      </c>
      <c r="AI65" s="40">
        <f t="shared" si="7"/>
        <v>0</v>
      </c>
      <c r="AJ65" s="40">
        <f t="shared" si="8"/>
        <v>0</v>
      </c>
      <c r="AK65" s="40">
        <f t="shared" si="23"/>
        <v>0</v>
      </c>
      <c r="AL65" s="40">
        <f t="shared" si="24"/>
        <v>0</v>
      </c>
      <c r="AM65" s="40">
        <f t="shared" si="25"/>
        <v>0</v>
      </c>
      <c r="AN65" s="40">
        <f t="shared" si="26"/>
        <v>0</v>
      </c>
      <c r="AO65" s="40">
        <f t="shared" si="13"/>
        <v>0</v>
      </c>
      <c r="AP65" s="40">
        <f t="shared" si="14"/>
        <v>0</v>
      </c>
      <c r="AQ65" s="40">
        <f t="shared" si="14"/>
        <v>0</v>
      </c>
    </row>
    <row r="66" spans="27:43">
      <c r="AA66" s="41">
        <f t="shared" si="15"/>
        <v>63</v>
      </c>
      <c r="AB66" s="38">
        <f t="shared" si="16"/>
        <v>0</v>
      </c>
      <c r="AC66" s="39">
        <f t="shared" si="17"/>
        <v>0</v>
      </c>
      <c r="AD66" s="40">
        <f t="shared" si="18"/>
        <v>0</v>
      </c>
      <c r="AE66" s="38">
        <f t="shared" si="19"/>
        <v>0</v>
      </c>
      <c r="AF66" s="39">
        <f t="shared" si="20"/>
        <v>0</v>
      </c>
      <c r="AG66" s="40">
        <f t="shared" si="21"/>
        <v>0</v>
      </c>
      <c r="AH66" s="40">
        <f t="shared" si="22"/>
        <v>0</v>
      </c>
      <c r="AI66" s="40">
        <f t="shared" si="7"/>
        <v>0</v>
      </c>
      <c r="AJ66" s="40">
        <f t="shared" si="8"/>
        <v>0</v>
      </c>
      <c r="AK66" s="40">
        <f t="shared" si="23"/>
        <v>0</v>
      </c>
      <c r="AL66" s="40">
        <f t="shared" si="24"/>
        <v>0</v>
      </c>
      <c r="AM66" s="40">
        <f t="shared" si="25"/>
        <v>0</v>
      </c>
      <c r="AN66" s="40">
        <f t="shared" si="26"/>
        <v>0</v>
      </c>
      <c r="AO66" s="40">
        <f t="shared" si="13"/>
        <v>0</v>
      </c>
      <c r="AP66" s="40">
        <f t="shared" si="14"/>
        <v>0</v>
      </c>
      <c r="AQ66" s="40">
        <f t="shared" si="14"/>
        <v>0</v>
      </c>
    </row>
    <row r="67" spans="27:43">
      <c r="AA67" s="41">
        <f t="shared" si="15"/>
        <v>64</v>
      </c>
      <c r="AB67" s="38">
        <f t="shared" si="16"/>
        <v>0</v>
      </c>
      <c r="AC67" s="39">
        <f t="shared" si="17"/>
        <v>0</v>
      </c>
      <c r="AD67" s="40">
        <f t="shared" si="18"/>
        <v>0</v>
      </c>
      <c r="AE67" s="38">
        <f t="shared" si="19"/>
        <v>0</v>
      </c>
      <c r="AF67" s="39">
        <f t="shared" si="20"/>
        <v>0</v>
      </c>
      <c r="AG67" s="40">
        <f t="shared" si="21"/>
        <v>0</v>
      </c>
      <c r="AH67" s="40">
        <f t="shared" si="22"/>
        <v>0</v>
      </c>
      <c r="AI67" s="40">
        <f t="shared" si="7"/>
        <v>0</v>
      </c>
      <c r="AJ67" s="40">
        <f t="shared" si="8"/>
        <v>0</v>
      </c>
      <c r="AK67" s="40">
        <f t="shared" si="23"/>
        <v>0</v>
      </c>
      <c r="AL67" s="40">
        <f t="shared" si="24"/>
        <v>0</v>
      </c>
      <c r="AM67" s="40">
        <f t="shared" si="25"/>
        <v>0</v>
      </c>
      <c r="AN67" s="40">
        <f t="shared" si="26"/>
        <v>0</v>
      </c>
      <c r="AO67" s="40">
        <f t="shared" si="13"/>
        <v>0</v>
      </c>
      <c r="AP67" s="40">
        <f t="shared" si="14"/>
        <v>0</v>
      </c>
      <c r="AQ67" s="40">
        <f t="shared" si="14"/>
        <v>0</v>
      </c>
    </row>
    <row r="68" spans="27:43">
      <c r="AA68" s="41">
        <f t="shared" si="15"/>
        <v>65</v>
      </c>
      <c r="AB68" s="38">
        <f t="shared" si="16"/>
        <v>0</v>
      </c>
      <c r="AC68" s="39">
        <f t="shared" si="17"/>
        <v>0</v>
      </c>
      <c r="AD68" s="40">
        <f t="shared" si="18"/>
        <v>0</v>
      </c>
      <c r="AE68" s="38">
        <f t="shared" si="19"/>
        <v>0</v>
      </c>
      <c r="AF68" s="39">
        <f t="shared" si="20"/>
        <v>0</v>
      </c>
      <c r="AG68" s="40">
        <f t="shared" si="21"/>
        <v>0</v>
      </c>
      <c r="AH68" s="40">
        <f t="shared" si="22"/>
        <v>0</v>
      </c>
      <c r="AI68" s="40">
        <f t="shared" si="7"/>
        <v>0</v>
      </c>
      <c r="AJ68" s="40">
        <f t="shared" si="8"/>
        <v>0</v>
      </c>
      <c r="AK68" s="40">
        <f t="shared" si="23"/>
        <v>0</v>
      </c>
      <c r="AL68" s="40">
        <f t="shared" si="24"/>
        <v>0</v>
      </c>
      <c r="AM68" s="40">
        <f t="shared" si="25"/>
        <v>0</v>
      </c>
      <c r="AN68" s="40">
        <f t="shared" si="26"/>
        <v>0</v>
      </c>
      <c r="AO68" s="40">
        <f t="shared" si="13"/>
        <v>0</v>
      </c>
      <c r="AP68" s="40">
        <f t="shared" si="14"/>
        <v>0</v>
      </c>
      <c r="AQ68" s="40">
        <f t="shared" si="14"/>
        <v>0</v>
      </c>
    </row>
    <row r="69" spans="27:43">
      <c r="AA69" s="41">
        <f t="shared" si="15"/>
        <v>66</v>
      </c>
      <c r="AB69" s="38">
        <f t="shared" ref="AB69:AB132" si="27">AB68</f>
        <v>0</v>
      </c>
      <c r="AC69" s="39">
        <f t="shared" ref="AC69:AC132" si="28">AC68</f>
        <v>0</v>
      </c>
      <c r="AD69" s="40">
        <f t="shared" ref="AD69:AD132" si="29">AD68</f>
        <v>0</v>
      </c>
      <c r="AE69" s="38">
        <f t="shared" ref="AE69:AE132" si="30">AE68</f>
        <v>0</v>
      </c>
      <c r="AF69" s="39">
        <f t="shared" ref="AF69:AF132" si="31">AF68</f>
        <v>0</v>
      </c>
      <c r="AG69" s="40">
        <f t="shared" ref="AG69:AG132" si="32">AG68</f>
        <v>0</v>
      </c>
      <c r="AH69" s="40">
        <f t="shared" ref="AH69:AH132" si="33">AH68</f>
        <v>0</v>
      </c>
      <c r="AI69" s="40">
        <f t="shared" ref="AI69:AI132" si="34">AI68</f>
        <v>0</v>
      </c>
      <c r="AJ69" s="40">
        <f t="shared" ref="AJ69:AJ132" si="35">AJ68</f>
        <v>0</v>
      </c>
      <c r="AK69" s="40">
        <f t="shared" ref="AK69:AK132" si="36">AK68</f>
        <v>0</v>
      </c>
      <c r="AL69" s="40">
        <f t="shared" ref="AL69:AL132" si="37">AL68</f>
        <v>0</v>
      </c>
      <c r="AM69" s="40">
        <f t="shared" ref="AM69:AM132" si="38">AM68</f>
        <v>0</v>
      </c>
      <c r="AN69" s="40">
        <f t="shared" ref="AN69:AN132" si="39">AN68</f>
        <v>0</v>
      </c>
      <c r="AO69" s="40">
        <f t="shared" ref="AO69:AQ132" si="40">AO68</f>
        <v>0</v>
      </c>
      <c r="AP69" s="40">
        <f t="shared" ref="AP69:AQ103" si="41">AP68</f>
        <v>0</v>
      </c>
      <c r="AQ69" s="40">
        <f t="shared" si="41"/>
        <v>0</v>
      </c>
    </row>
    <row r="70" spans="27:43">
      <c r="AA70" s="41">
        <f t="shared" ref="AA70:AA133" si="42">AA69+1</f>
        <v>67</v>
      </c>
      <c r="AB70" s="38">
        <f t="shared" si="27"/>
        <v>0</v>
      </c>
      <c r="AC70" s="39">
        <f t="shared" si="28"/>
        <v>0</v>
      </c>
      <c r="AD70" s="40">
        <f t="shared" si="29"/>
        <v>0</v>
      </c>
      <c r="AE70" s="38">
        <f t="shared" si="30"/>
        <v>0</v>
      </c>
      <c r="AF70" s="39">
        <f t="shared" si="31"/>
        <v>0</v>
      </c>
      <c r="AG70" s="40">
        <f t="shared" si="32"/>
        <v>0</v>
      </c>
      <c r="AH70" s="40">
        <f t="shared" si="33"/>
        <v>0</v>
      </c>
      <c r="AI70" s="40">
        <f t="shared" si="34"/>
        <v>0</v>
      </c>
      <c r="AJ70" s="40">
        <f t="shared" si="35"/>
        <v>0</v>
      </c>
      <c r="AK70" s="40">
        <f t="shared" si="36"/>
        <v>0</v>
      </c>
      <c r="AL70" s="40">
        <f t="shared" si="37"/>
        <v>0</v>
      </c>
      <c r="AM70" s="40">
        <f t="shared" si="38"/>
        <v>0</v>
      </c>
      <c r="AN70" s="40">
        <f t="shared" si="39"/>
        <v>0</v>
      </c>
      <c r="AO70" s="40">
        <f t="shared" si="40"/>
        <v>0</v>
      </c>
      <c r="AP70" s="40">
        <f t="shared" si="41"/>
        <v>0</v>
      </c>
      <c r="AQ70" s="40">
        <f t="shared" si="41"/>
        <v>0</v>
      </c>
    </row>
    <row r="71" spans="27:43">
      <c r="AA71" s="41">
        <f t="shared" si="42"/>
        <v>68</v>
      </c>
      <c r="AB71" s="38">
        <f t="shared" si="27"/>
        <v>0</v>
      </c>
      <c r="AC71" s="39">
        <f t="shared" si="28"/>
        <v>0</v>
      </c>
      <c r="AD71" s="40">
        <f t="shared" si="29"/>
        <v>0</v>
      </c>
      <c r="AE71" s="38">
        <f t="shared" si="30"/>
        <v>0</v>
      </c>
      <c r="AF71" s="39">
        <f t="shared" si="31"/>
        <v>0</v>
      </c>
      <c r="AG71" s="40">
        <f t="shared" si="32"/>
        <v>0</v>
      </c>
      <c r="AH71" s="40">
        <f t="shared" si="33"/>
        <v>0</v>
      </c>
      <c r="AI71" s="40">
        <f t="shared" si="34"/>
        <v>0</v>
      </c>
      <c r="AJ71" s="40">
        <f t="shared" si="35"/>
        <v>0</v>
      </c>
      <c r="AK71" s="40">
        <f t="shared" si="36"/>
        <v>0</v>
      </c>
      <c r="AL71" s="40">
        <f t="shared" si="37"/>
        <v>0</v>
      </c>
      <c r="AM71" s="40">
        <f t="shared" si="38"/>
        <v>0</v>
      </c>
      <c r="AN71" s="40">
        <f t="shared" si="39"/>
        <v>0</v>
      </c>
      <c r="AO71" s="40">
        <f t="shared" si="40"/>
        <v>0</v>
      </c>
      <c r="AP71" s="40">
        <f t="shared" si="41"/>
        <v>0</v>
      </c>
      <c r="AQ71" s="40">
        <f t="shared" si="41"/>
        <v>0</v>
      </c>
    </row>
    <row r="72" spans="27:43">
      <c r="AA72" s="41">
        <f t="shared" si="42"/>
        <v>69</v>
      </c>
      <c r="AB72" s="38">
        <f t="shared" si="27"/>
        <v>0</v>
      </c>
      <c r="AC72" s="39">
        <f t="shared" si="28"/>
        <v>0</v>
      </c>
      <c r="AD72" s="40">
        <f t="shared" si="29"/>
        <v>0</v>
      </c>
      <c r="AE72" s="38">
        <f t="shared" si="30"/>
        <v>0</v>
      </c>
      <c r="AF72" s="39">
        <f t="shared" si="31"/>
        <v>0</v>
      </c>
      <c r="AG72" s="40">
        <f t="shared" si="32"/>
        <v>0</v>
      </c>
      <c r="AH72" s="40">
        <f t="shared" si="33"/>
        <v>0</v>
      </c>
      <c r="AI72" s="40">
        <f t="shared" si="34"/>
        <v>0</v>
      </c>
      <c r="AJ72" s="40">
        <f t="shared" si="35"/>
        <v>0</v>
      </c>
      <c r="AK72" s="40">
        <f t="shared" si="36"/>
        <v>0</v>
      </c>
      <c r="AL72" s="40">
        <f t="shared" si="37"/>
        <v>0</v>
      </c>
      <c r="AM72" s="40">
        <f t="shared" si="38"/>
        <v>0</v>
      </c>
      <c r="AN72" s="40">
        <f t="shared" si="39"/>
        <v>0</v>
      </c>
      <c r="AO72" s="40">
        <f t="shared" si="40"/>
        <v>0</v>
      </c>
      <c r="AP72" s="40">
        <f t="shared" si="41"/>
        <v>0</v>
      </c>
      <c r="AQ72" s="40">
        <f t="shared" si="41"/>
        <v>0</v>
      </c>
    </row>
    <row r="73" spans="27:43">
      <c r="AA73" s="41">
        <f t="shared" si="42"/>
        <v>70</v>
      </c>
      <c r="AB73" s="38">
        <f t="shared" si="27"/>
        <v>0</v>
      </c>
      <c r="AC73" s="39">
        <f t="shared" si="28"/>
        <v>0</v>
      </c>
      <c r="AD73" s="40">
        <f t="shared" si="29"/>
        <v>0</v>
      </c>
      <c r="AE73" s="38">
        <f t="shared" si="30"/>
        <v>0</v>
      </c>
      <c r="AF73" s="39">
        <f t="shared" si="31"/>
        <v>0</v>
      </c>
      <c r="AG73" s="40">
        <f t="shared" si="32"/>
        <v>0</v>
      </c>
      <c r="AH73" s="40">
        <f t="shared" si="33"/>
        <v>0</v>
      </c>
      <c r="AI73" s="40">
        <f t="shared" si="34"/>
        <v>0</v>
      </c>
      <c r="AJ73" s="40">
        <f t="shared" si="35"/>
        <v>0</v>
      </c>
      <c r="AK73" s="40">
        <f t="shared" si="36"/>
        <v>0</v>
      </c>
      <c r="AL73" s="40">
        <f t="shared" si="37"/>
        <v>0</v>
      </c>
      <c r="AM73" s="40">
        <f t="shared" si="38"/>
        <v>0</v>
      </c>
      <c r="AN73" s="40">
        <f t="shared" si="39"/>
        <v>0</v>
      </c>
      <c r="AO73" s="40">
        <f t="shared" si="40"/>
        <v>0</v>
      </c>
      <c r="AP73" s="40">
        <f t="shared" si="41"/>
        <v>0</v>
      </c>
      <c r="AQ73" s="40">
        <f t="shared" si="41"/>
        <v>0</v>
      </c>
    </row>
    <row r="74" spans="27:43">
      <c r="AA74" s="41">
        <f t="shared" si="42"/>
        <v>71</v>
      </c>
      <c r="AB74" s="38">
        <f t="shared" si="27"/>
        <v>0</v>
      </c>
      <c r="AC74" s="39">
        <f t="shared" si="28"/>
        <v>0</v>
      </c>
      <c r="AD74" s="40">
        <f t="shared" si="29"/>
        <v>0</v>
      </c>
      <c r="AE74" s="38">
        <f t="shared" si="30"/>
        <v>0</v>
      </c>
      <c r="AF74" s="39">
        <f t="shared" si="31"/>
        <v>0</v>
      </c>
      <c r="AG74" s="40">
        <f t="shared" si="32"/>
        <v>0</v>
      </c>
      <c r="AH74" s="40">
        <f t="shared" si="33"/>
        <v>0</v>
      </c>
      <c r="AI74" s="40">
        <f t="shared" si="34"/>
        <v>0</v>
      </c>
      <c r="AJ74" s="40">
        <f t="shared" si="35"/>
        <v>0</v>
      </c>
      <c r="AK74" s="40">
        <f t="shared" si="36"/>
        <v>0</v>
      </c>
      <c r="AL74" s="40">
        <f t="shared" si="37"/>
        <v>0</v>
      </c>
      <c r="AM74" s="40">
        <f t="shared" si="38"/>
        <v>0</v>
      </c>
      <c r="AN74" s="40">
        <f t="shared" si="39"/>
        <v>0</v>
      </c>
      <c r="AO74" s="40">
        <f t="shared" si="40"/>
        <v>0</v>
      </c>
      <c r="AP74" s="40">
        <f t="shared" si="41"/>
        <v>0</v>
      </c>
      <c r="AQ74" s="40">
        <f t="shared" si="41"/>
        <v>0</v>
      </c>
    </row>
    <row r="75" spans="27:43">
      <c r="AA75" s="41">
        <f t="shared" si="42"/>
        <v>72</v>
      </c>
      <c r="AB75" s="38">
        <f t="shared" si="27"/>
        <v>0</v>
      </c>
      <c r="AC75" s="39">
        <f t="shared" si="28"/>
        <v>0</v>
      </c>
      <c r="AD75" s="40">
        <f t="shared" si="29"/>
        <v>0</v>
      </c>
      <c r="AE75" s="38">
        <f t="shared" si="30"/>
        <v>0</v>
      </c>
      <c r="AF75" s="39">
        <f t="shared" si="31"/>
        <v>0</v>
      </c>
      <c r="AG75" s="40">
        <f t="shared" si="32"/>
        <v>0</v>
      </c>
      <c r="AH75" s="40">
        <f t="shared" si="33"/>
        <v>0</v>
      </c>
      <c r="AI75" s="40">
        <f t="shared" si="34"/>
        <v>0</v>
      </c>
      <c r="AJ75" s="40">
        <f t="shared" si="35"/>
        <v>0</v>
      </c>
      <c r="AK75" s="40">
        <f t="shared" si="36"/>
        <v>0</v>
      </c>
      <c r="AL75" s="40">
        <f t="shared" si="37"/>
        <v>0</v>
      </c>
      <c r="AM75" s="40">
        <f t="shared" si="38"/>
        <v>0</v>
      </c>
      <c r="AN75" s="40">
        <f t="shared" si="39"/>
        <v>0</v>
      </c>
      <c r="AO75" s="40">
        <f t="shared" si="40"/>
        <v>0</v>
      </c>
      <c r="AP75" s="40">
        <f t="shared" si="41"/>
        <v>0</v>
      </c>
      <c r="AQ75" s="40">
        <f t="shared" si="41"/>
        <v>0</v>
      </c>
    </row>
    <row r="76" spans="27:43">
      <c r="AA76" s="41">
        <f t="shared" si="42"/>
        <v>73</v>
      </c>
      <c r="AB76" s="38">
        <f t="shared" si="27"/>
        <v>0</v>
      </c>
      <c r="AC76" s="39">
        <f t="shared" si="28"/>
        <v>0</v>
      </c>
      <c r="AD76" s="40">
        <f t="shared" si="29"/>
        <v>0</v>
      </c>
      <c r="AE76" s="38">
        <f t="shared" si="30"/>
        <v>0</v>
      </c>
      <c r="AF76" s="39">
        <f t="shared" si="31"/>
        <v>0</v>
      </c>
      <c r="AG76" s="40">
        <f t="shared" si="32"/>
        <v>0</v>
      </c>
      <c r="AH76" s="40">
        <f t="shared" si="33"/>
        <v>0</v>
      </c>
      <c r="AI76" s="40">
        <f t="shared" si="34"/>
        <v>0</v>
      </c>
      <c r="AJ76" s="40">
        <f t="shared" si="35"/>
        <v>0</v>
      </c>
      <c r="AK76" s="40">
        <f t="shared" si="36"/>
        <v>0</v>
      </c>
      <c r="AL76" s="40">
        <f t="shared" si="37"/>
        <v>0</v>
      </c>
      <c r="AM76" s="40">
        <f t="shared" si="38"/>
        <v>0</v>
      </c>
      <c r="AN76" s="40">
        <f t="shared" si="39"/>
        <v>0</v>
      </c>
      <c r="AO76" s="40">
        <f t="shared" si="40"/>
        <v>0</v>
      </c>
      <c r="AP76" s="40">
        <f t="shared" si="41"/>
        <v>0</v>
      </c>
      <c r="AQ76" s="40">
        <f t="shared" si="41"/>
        <v>0</v>
      </c>
    </row>
    <row r="77" spans="27:43">
      <c r="AA77" s="41">
        <f t="shared" si="42"/>
        <v>74</v>
      </c>
      <c r="AB77" s="38">
        <f t="shared" si="27"/>
        <v>0</v>
      </c>
      <c r="AC77" s="39">
        <f t="shared" si="28"/>
        <v>0</v>
      </c>
      <c r="AD77" s="40">
        <f t="shared" si="29"/>
        <v>0</v>
      </c>
      <c r="AE77" s="38">
        <f t="shared" si="30"/>
        <v>0</v>
      </c>
      <c r="AF77" s="39">
        <f t="shared" si="31"/>
        <v>0</v>
      </c>
      <c r="AG77" s="40">
        <f t="shared" si="32"/>
        <v>0</v>
      </c>
      <c r="AH77" s="40">
        <f t="shared" si="33"/>
        <v>0</v>
      </c>
      <c r="AI77" s="40">
        <f t="shared" si="34"/>
        <v>0</v>
      </c>
      <c r="AJ77" s="40">
        <f t="shared" si="35"/>
        <v>0</v>
      </c>
      <c r="AK77" s="40">
        <f t="shared" si="36"/>
        <v>0</v>
      </c>
      <c r="AL77" s="40">
        <f t="shared" si="37"/>
        <v>0</v>
      </c>
      <c r="AM77" s="40">
        <f t="shared" si="38"/>
        <v>0</v>
      </c>
      <c r="AN77" s="40">
        <f t="shared" si="39"/>
        <v>0</v>
      </c>
      <c r="AO77" s="40">
        <f t="shared" si="40"/>
        <v>0</v>
      </c>
      <c r="AP77" s="40">
        <f t="shared" si="41"/>
        <v>0</v>
      </c>
      <c r="AQ77" s="40">
        <f t="shared" si="41"/>
        <v>0</v>
      </c>
    </row>
    <row r="78" spans="27:43">
      <c r="AA78" s="41">
        <f t="shared" si="42"/>
        <v>75</v>
      </c>
      <c r="AB78" s="38">
        <f t="shared" si="27"/>
        <v>0</v>
      </c>
      <c r="AC78" s="39">
        <f t="shared" si="28"/>
        <v>0</v>
      </c>
      <c r="AD78" s="40">
        <f t="shared" si="29"/>
        <v>0</v>
      </c>
      <c r="AE78" s="38">
        <f t="shared" si="30"/>
        <v>0</v>
      </c>
      <c r="AF78" s="39">
        <f t="shared" si="31"/>
        <v>0</v>
      </c>
      <c r="AG78" s="40">
        <f t="shared" si="32"/>
        <v>0</v>
      </c>
      <c r="AH78" s="40">
        <f t="shared" si="33"/>
        <v>0</v>
      </c>
      <c r="AI78" s="40">
        <f t="shared" si="34"/>
        <v>0</v>
      </c>
      <c r="AJ78" s="40">
        <f t="shared" si="35"/>
        <v>0</v>
      </c>
      <c r="AK78" s="40">
        <f t="shared" si="36"/>
        <v>0</v>
      </c>
      <c r="AL78" s="40">
        <f t="shared" si="37"/>
        <v>0</v>
      </c>
      <c r="AM78" s="40">
        <f t="shared" si="38"/>
        <v>0</v>
      </c>
      <c r="AN78" s="40">
        <f t="shared" si="39"/>
        <v>0</v>
      </c>
      <c r="AO78" s="40">
        <f t="shared" si="40"/>
        <v>0</v>
      </c>
      <c r="AP78" s="40">
        <f t="shared" si="41"/>
        <v>0</v>
      </c>
      <c r="AQ78" s="40">
        <f t="shared" si="41"/>
        <v>0</v>
      </c>
    </row>
    <row r="79" spans="27:43">
      <c r="AA79" s="41">
        <f t="shared" si="42"/>
        <v>76</v>
      </c>
      <c r="AB79" s="38">
        <f t="shared" si="27"/>
        <v>0</v>
      </c>
      <c r="AC79" s="39">
        <f t="shared" si="28"/>
        <v>0</v>
      </c>
      <c r="AD79" s="40">
        <f t="shared" si="29"/>
        <v>0</v>
      </c>
      <c r="AE79" s="38">
        <f t="shared" si="30"/>
        <v>0</v>
      </c>
      <c r="AF79" s="39">
        <f t="shared" si="31"/>
        <v>0</v>
      </c>
      <c r="AG79" s="40">
        <f t="shared" si="32"/>
        <v>0</v>
      </c>
      <c r="AH79" s="40">
        <f t="shared" si="33"/>
        <v>0</v>
      </c>
      <c r="AI79" s="40">
        <f t="shared" si="34"/>
        <v>0</v>
      </c>
      <c r="AJ79" s="40">
        <f t="shared" si="35"/>
        <v>0</v>
      </c>
      <c r="AK79" s="40">
        <f t="shared" si="36"/>
        <v>0</v>
      </c>
      <c r="AL79" s="40">
        <f t="shared" si="37"/>
        <v>0</v>
      </c>
      <c r="AM79" s="40">
        <f t="shared" si="38"/>
        <v>0</v>
      </c>
      <c r="AN79" s="40">
        <f t="shared" si="39"/>
        <v>0</v>
      </c>
      <c r="AO79" s="40">
        <f t="shared" si="40"/>
        <v>0</v>
      </c>
      <c r="AP79" s="40">
        <f t="shared" si="41"/>
        <v>0</v>
      </c>
      <c r="AQ79" s="40">
        <f t="shared" si="41"/>
        <v>0</v>
      </c>
    </row>
    <row r="80" spans="27:43">
      <c r="AA80" s="41">
        <f t="shared" si="42"/>
        <v>77</v>
      </c>
      <c r="AB80" s="38">
        <f t="shared" si="27"/>
        <v>0</v>
      </c>
      <c r="AC80" s="39">
        <f t="shared" si="28"/>
        <v>0</v>
      </c>
      <c r="AD80" s="40">
        <f t="shared" si="29"/>
        <v>0</v>
      </c>
      <c r="AE80" s="38">
        <f t="shared" si="30"/>
        <v>0</v>
      </c>
      <c r="AF80" s="39">
        <f t="shared" si="31"/>
        <v>0</v>
      </c>
      <c r="AG80" s="40">
        <f t="shared" si="32"/>
        <v>0</v>
      </c>
      <c r="AH80" s="40">
        <f t="shared" si="33"/>
        <v>0</v>
      </c>
      <c r="AI80" s="40">
        <f t="shared" si="34"/>
        <v>0</v>
      </c>
      <c r="AJ80" s="40">
        <f t="shared" si="35"/>
        <v>0</v>
      </c>
      <c r="AK80" s="40">
        <f t="shared" si="36"/>
        <v>0</v>
      </c>
      <c r="AL80" s="40">
        <f t="shared" si="37"/>
        <v>0</v>
      </c>
      <c r="AM80" s="40">
        <f t="shared" si="38"/>
        <v>0</v>
      </c>
      <c r="AN80" s="40">
        <f t="shared" si="39"/>
        <v>0</v>
      </c>
      <c r="AO80" s="40">
        <f t="shared" si="40"/>
        <v>0</v>
      </c>
      <c r="AP80" s="40">
        <f t="shared" si="41"/>
        <v>0</v>
      </c>
      <c r="AQ80" s="40">
        <f t="shared" si="41"/>
        <v>0</v>
      </c>
    </row>
    <row r="81" spans="27:43">
      <c r="AA81" s="41">
        <f t="shared" si="42"/>
        <v>78</v>
      </c>
      <c r="AB81" s="38">
        <f t="shared" si="27"/>
        <v>0</v>
      </c>
      <c r="AC81" s="39">
        <f t="shared" si="28"/>
        <v>0</v>
      </c>
      <c r="AD81" s="40">
        <f t="shared" si="29"/>
        <v>0</v>
      </c>
      <c r="AE81" s="38">
        <f t="shared" si="30"/>
        <v>0</v>
      </c>
      <c r="AF81" s="39">
        <f t="shared" si="31"/>
        <v>0</v>
      </c>
      <c r="AG81" s="40">
        <f t="shared" si="32"/>
        <v>0</v>
      </c>
      <c r="AH81" s="40">
        <f t="shared" si="33"/>
        <v>0</v>
      </c>
      <c r="AI81" s="40">
        <f t="shared" si="34"/>
        <v>0</v>
      </c>
      <c r="AJ81" s="40">
        <f t="shared" si="35"/>
        <v>0</v>
      </c>
      <c r="AK81" s="40">
        <f t="shared" si="36"/>
        <v>0</v>
      </c>
      <c r="AL81" s="40">
        <f t="shared" si="37"/>
        <v>0</v>
      </c>
      <c r="AM81" s="40">
        <f t="shared" si="38"/>
        <v>0</v>
      </c>
      <c r="AN81" s="40">
        <f t="shared" si="39"/>
        <v>0</v>
      </c>
      <c r="AO81" s="40">
        <f t="shared" si="40"/>
        <v>0</v>
      </c>
      <c r="AP81" s="40">
        <f t="shared" si="41"/>
        <v>0</v>
      </c>
      <c r="AQ81" s="40">
        <f t="shared" si="41"/>
        <v>0</v>
      </c>
    </row>
    <row r="82" spans="27:43">
      <c r="AA82" s="41">
        <f t="shared" si="42"/>
        <v>79</v>
      </c>
      <c r="AB82" s="38">
        <f t="shared" si="27"/>
        <v>0</v>
      </c>
      <c r="AC82" s="39">
        <f t="shared" si="28"/>
        <v>0</v>
      </c>
      <c r="AD82" s="40">
        <f t="shared" si="29"/>
        <v>0</v>
      </c>
      <c r="AE82" s="38">
        <f t="shared" si="30"/>
        <v>0</v>
      </c>
      <c r="AF82" s="39">
        <f t="shared" si="31"/>
        <v>0</v>
      </c>
      <c r="AG82" s="40">
        <f t="shared" si="32"/>
        <v>0</v>
      </c>
      <c r="AH82" s="40">
        <f t="shared" si="33"/>
        <v>0</v>
      </c>
      <c r="AI82" s="40">
        <f t="shared" si="34"/>
        <v>0</v>
      </c>
      <c r="AJ82" s="40">
        <f t="shared" si="35"/>
        <v>0</v>
      </c>
      <c r="AK82" s="40">
        <f t="shared" si="36"/>
        <v>0</v>
      </c>
      <c r="AL82" s="40">
        <f t="shared" si="37"/>
        <v>0</v>
      </c>
      <c r="AM82" s="40">
        <f t="shared" si="38"/>
        <v>0</v>
      </c>
      <c r="AN82" s="40">
        <f t="shared" si="39"/>
        <v>0</v>
      </c>
      <c r="AO82" s="40">
        <f t="shared" si="40"/>
        <v>0</v>
      </c>
      <c r="AP82" s="40">
        <f t="shared" si="41"/>
        <v>0</v>
      </c>
      <c r="AQ82" s="40">
        <f t="shared" si="41"/>
        <v>0</v>
      </c>
    </row>
    <row r="83" spans="27:43">
      <c r="AA83" s="41">
        <f t="shared" si="42"/>
        <v>80</v>
      </c>
      <c r="AB83" s="38">
        <f t="shared" si="27"/>
        <v>0</v>
      </c>
      <c r="AC83" s="39">
        <f t="shared" si="28"/>
        <v>0</v>
      </c>
      <c r="AD83" s="40">
        <f t="shared" si="29"/>
        <v>0</v>
      </c>
      <c r="AE83" s="38">
        <f t="shared" si="30"/>
        <v>0</v>
      </c>
      <c r="AF83" s="39">
        <f t="shared" si="31"/>
        <v>0</v>
      </c>
      <c r="AG83" s="40">
        <f t="shared" si="32"/>
        <v>0</v>
      </c>
      <c r="AH83" s="40">
        <f t="shared" si="33"/>
        <v>0</v>
      </c>
      <c r="AI83" s="40">
        <f t="shared" si="34"/>
        <v>0</v>
      </c>
      <c r="AJ83" s="40">
        <f t="shared" si="35"/>
        <v>0</v>
      </c>
      <c r="AK83" s="40">
        <f t="shared" si="36"/>
        <v>0</v>
      </c>
      <c r="AL83" s="40">
        <f t="shared" si="37"/>
        <v>0</v>
      </c>
      <c r="AM83" s="40">
        <f t="shared" si="38"/>
        <v>0</v>
      </c>
      <c r="AN83" s="40">
        <f t="shared" si="39"/>
        <v>0</v>
      </c>
      <c r="AO83" s="40">
        <f t="shared" si="40"/>
        <v>0</v>
      </c>
      <c r="AP83" s="40">
        <f t="shared" si="41"/>
        <v>0</v>
      </c>
      <c r="AQ83" s="40">
        <f t="shared" si="41"/>
        <v>0</v>
      </c>
    </row>
    <row r="84" spans="27:43">
      <c r="AA84" s="41">
        <f t="shared" si="42"/>
        <v>81</v>
      </c>
      <c r="AB84" s="38">
        <f t="shared" si="27"/>
        <v>0</v>
      </c>
      <c r="AC84" s="39">
        <f t="shared" si="28"/>
        <v>0</v>
      </c>
      <c r="AD84" s="40">
        <f t="shared" si="29"/>
        <v>0</v>
      </c>
      <c r="AE84" s="38">
        <f t="shared" si="30"/>
        <v>0</v>
      </c>
      <c r="AF84" s="39">
        <f t="shared" si="31"/>
        <v>0</v>
      </c>
      <c r="AG84" s="40">
        <f t="shared" si="32"/>
        <v>0</v>
      </c>
      <c r="AH84" s="40">
        <f t="shared" si="33"/>
        <v>0</v>
      </c>
      <c r="AI84" s="40">
        <f t="shared" si="34"/>
        <v>0</v>
      </c>
      <c r="AJ84" s="40">
        <f t="shared" si="35"/>
        <v>0</v>
      </c>
      <c r="AK84" s="40">
        <f t="shared" si="36"/>
        <v>0</v>
      </c>
      <c r="AL84" s="40">
        <f t="shared" si="37"/>
        <v>0</v>
      </c>
      <c r="AM84" s="40">
        <f t="shared" si="38"/>
        <v>0</v>
      </c>
      <c r="AN84" s="40">
        <f t="shared" si="39"/>
        <v>0</v>
      </c>
      <c r="AO84" s="40">
        <f t="shared" si="40"/>
        <v>0</v>
      </c>
      <c r="AP84" s="40">
        <f t="shared" si="41"/>
        <v>0</v>
      </c>
      <c r="AQ84" s="40">
        <f t="shared" si="41"/>
        <v>0</v>
      </c>
    </row>
    <row r="85" spans="27:43">
      <c r="AA85" s="41">
        <f t="shared" si="42"/>
        <v>82</v>
      </c>
      <c r="AB85" s="38">
        <f t="shared" si="27"/>
        <v>0</v>
      </c>
      <c r="AC85" s="39">
        <f t="shared" si="28"/>
        <v>0</v>
      </c>
      <c r="AD85" s="40">
        <f t="shared" si="29"/>
        <v>0</v>
      </c>
      <c r="AE85" s="38">
        <f t="shared" si="30"/>
        <v>0</v>
      </c>
      <c r="AF85" s="39">
        <f t="shared" si="31"/>
        <v>0</v>
      </c>
      <c r="AG85" s="40">
        <f t="shared" si="32"/>
        <v>0</v>
      </c>
      <c r="AH85" s="40">
        <f t="shared" si="33"/>
        <v>0</v>
      </c>
      <c r="AI85" s="40">
        <f t="shared" si="34"/>
        <v>0</v>
      </c>
      <c r="AJ85" s="40">
        <f t="shared" si="35"/>
        <v>0</v>
      </c>
      <c r="AK85" s="40">
        <f t="shared" si="36"/>
        <v>0</v>
      </c>
      <c r="AL85" s="40">
        <f t="shared" si="37"/>
        <v>0</v>
      </c>
      <c r="AM85" s="40">
        <f t="shared" si="38"/>
        <v>0</v>
      </c>
      <c r="AN85" s="40">
        <f t="shared" si="39"/>
        <v>0</v>
      </c>
      <c r="AO85" s="40">
        <f t="shared" si="40"/>
        <v>0</v>
      </c>
      <c r="AP85" s="40">
        <f t="shared" si="41"/>
        <v>0</v>
      </c>
      <c r="AQ85" s="40">
        <f t="shared" si="41"/>
        <v>0</v>
      </c>
    </row>
    <row r="86" spans="27:43">
      <c r="AA86" s="41">
        <f t="shared" si="42"/>
        <v>83</v>
      </c>
      <c r="AB86" s="38">
        <f t="shared" si="27"/>
        <v>0</v>
      </c>
      <c r="AC86" s="39">
        <f t="shared" si="28"/>
        <v>0</v>
      </c>
      <c r="AD86" s="40">
        <f t="shared" si="29"/>
        <v>0</v>
      </c>
      <c r="AE86" s="38">
        <f t="shared" si="30"/>
        <v>0</v>
      </c>
      <c r="AF86" s="39">
        <f t="shared" si="31"/>
        <v>0</v>
      </c>
      <c r="AG86" s="40">
        <f t="shared" si="32"/>
        <v>0</v>
      </c>
      <c r="AH86" s="40">
        <f t="shared" si="33"/>
        <v>0</v>
      </c>
      <c r="AI86" s="40">
        <f t="shared" si="34"/>
        <v>0</v>
      </c>
      <c r="AJ86" s="40">
        <f t="shared" si="35"/>
        <v>0</v>
      </c>
      <c r="AK86" s="40">
        <f t="shared" si="36"/>
        <v>0</v>
      </c>
      <c r="AL86" s="40">
        <f t="shared" si="37"/>
        <v>0</v>
      </c>
      <c r="AM86" s="40">
        <f t="shared" si="38"/>
        <v>0</v>
      </c>
      <c r="AN86" s="40">
        <f t="shared" si="39"/>
        <v>0</v>
      </c>
      <c r="AO86" s="40">
        <f t="shared" si="40"/>
        <v>0</v>
      </c>
      <c r="AP86" s="40">
        <f t="shared" si="41"/>
        <v>0</v>
      </c>
      <c r="AQ86" s="40">
        <f t="shared" si="41"/>
        <v>0</v>
      </c>
    </row>
    <row r="87" spans="27:43">
      <c r="AA87" s="41">
        <f t="shared" si="42"/>
        <v>84</v>
      </c>
      <c r="AB87" s="38">
        <f t="shared" si="27"/>
        <v>0</v>
      </c>
      <c r="AC87" s="39">
        <f t="shared" si="28"/>
        <v>0</v>
      </c>
      <c r="AD87" s="40">
        <f t="shared" si="29"/>
        <v>0</v>
      </c>
      <c r="AE87" s="38">
        <f t="shared" si="30"/>
        <v>0</v>
      </c>
      <c r="AF87" s="39">
        <f t="shared" si="31"/>
        <v>0</v>
      </c>
      <c r="AG87" s="40">
        <f t="shared" si="32"/>
        <v>0</v>
      </c>
      <c r="AH87" s="40">
        <f t="shared" si="33"/>
        <v>0</v>
      </c>
      <c r="AI87" s="40">
        <f t="shared" si="34"/>
        <v>0</v>
      </c>
      <c r="AJ87" s="40">
        <f t="shared" si="35"/>
        <v>0</v>
      </c>
      <c r="AK87" s="40">
        <f t="shared" si="36"/>
        <v>0</v>
      </c>
      <c r="AL87" s="40">
        <f t="shared" si="37"/>
        <v>0</v>
      </c>
      <c r="AM87" s="40">
        <f t="shared" si="38"/>
        <v>0</v>
      </c>
      <c r="AN87" s="40">
        <f t="shared" si="39"/>
        <v>0</v>
      </c>
      <c r="AO87" s="40">
        <f t="shared" si="40"/>
        <v>0</v>
      </c>
      <c r="AP87" s="40">
        <f t="shared" si="41"/>
        <v>0</v>
      </c>
      <c r="AQ87" s="40">
        <f t="shared" si="41"/>
        <v>0</v>
      </c>
    </row>
    <row r="88" spans="27:43">
      <c r="AA88" s="41">
        <f t="shared" si="42"/>
        <v>85</v>
      </c>
      <c r="AB88" s="38">
        <f t="shared" si="27"/>
        <v>0</v>
      </c>
      <c r="AC88" s="39">
        <f t="shared" si="28"/>
        <v>0</v>
      </c>
      <c r="AD88" s="40">
        <f t="shared" si="29"/>
        <v>0</v>
      </c>
      <c r="AE88" s="38">
        <f t="shared" si="30"/>
        <v>0</v>
      </c>
      <c r="AF88" s="39">
        <f t="shared" si="31"/>
        <v>0</v>
      </c>
      <c r="AG88" s="40">
        <f t="shared" si="32"/>
        <v>0</v>
      </c>
      <c r="AH88" s="40">
        <f t="shared" si="33"/>
        <v>0</v>
      </c>
      <c r="AI88" s="40">
        <f t="shared" si="34"/>
        <v>0</v>
      </c>
      <c r="AJ88" s="40">
        <f t="shared" si="35"/>
        <v>0</v>
      </c>
      <c r="AK88" s="40">
        <f t="shared" si="36"/>
        <v>0</v>
      </c>
      <c r="AL88" s="40">
        <f t="shared" si="37"/>
        <v>0</v>
      </c>
      <c r="AM88" s="40">
        <f t="shared" si="38"/>
        <v>0</v>
      </c>
      <c r="AN88" s="40">
        <f t="shared" si="39"/>
        <v>0</v>
      </c>
      <c r="AO88" s="40">
        <f t="shared" si="40"/>
        <v>0</v>
      </c>
      <c r="AP88" s="40">
        <f t="shared" si="41"/>
        <v>0</v>
      </c>
      <c r="AQ88" s="40">
        <f t="shared" si="41"/>
        <v>0</v>
      </c>
    </row>
    <row r="89" spans="27:43">
      <c r="AA89" s="41">
        <f t="shared" si="42"/>
        <v>86</v>
      </c>
      <c r="AB89" s="38">
        <f t="shared" si="27"/>
        <v>0</v>
      </c>
      <c r="AC89" s="39">
        <f t="shared" si="28"/>
        <v>0</v>
      </c>
      <c r="AD89" s="40">
        <f t="shared" si="29"/>
        <v>0</v>
      </c>
      <c r="AE89" s="38">
        <f t="shared" si="30"/>
        <v>0</v>
      </c>
      <c r="AF89" s="39">
        <f t="shared" si="31"/>
        <v>0</v>
      </c>
      <c r="AG89" s="40">
        <f t="shared" si="32"/>
        <v>0</v>
      </c>
      <c r="AH89" s="40">
        <f t="shared" si="33"/>
        <v>0</v>
      </c>
      <c r="AI89" s="40">
        <f t="shared" si="34"/>
        <v>0</v>
      </c>
      <c r="AJ89" s="40">
        <f t="shared" si="35"/>
        <v>0</v>
      </c>
      <c r="AK89" s="40">
        <f t="shared" si="36"/>
        <v>0</v>
      </c>
      <c r="AL89" s="40">
        <f t="shared" si="37"/>
        <v>0</v>
      </c>
      <c r="AM89" s="40">
        <f t="shared" si="38"/>
        <v>0</v>
      </c>
      <c r="AN89" s="40">
        <f t="shared" si="39"/>
        <v>0</v>
      </c>
      <c r="AO89" s="40">
        <f t="shared" si="40"/>
        <v>0</v>
      </c>
      <c r="AP89" s="40">
        <f t="shared" si="41"/>
        <v>0</v>
      </c>
      <c r="AQ89" s="40">
        <f t="shared" si="41"/>
        <v>0</v>
      </c>
    </row>
    <row r="90" spans="27:43">
      <c r="AA90" s="41">
        <f t="shared" si="42"/>
        <v>87</v>
      </c>
      <c r="AB90" s="38">
        <f t="shared" si="27"/>
        <v>0</v>
      </c>
      <c r="AC90" s="39">
        <f t="shared" si="28"/>
        <v>0</v>
      </c>
      <c r="AD90" s="40">
        <f t="shared" si="29"/>
        <v>0</v>
      </c>
      <c r="AE90" s="38">
        <f t="shared" si="30"/>
        <v>0</v>
      </c>
      <c r="AF90" s="39">
        <f t="shared" si="31"/>
        <v>0</v>
      </c>
      <c r="AG90" s="40">
        <f t="shared" si="32"/>
        <v>0</v>
      </c>
      <c r="AH90" s="40">
        <f t="shared" si="33"/>
        <v>0</v>
      </c>
      <c r="AI90" s="40">
        <f t="shared" si="34"/>
        <v>0</v>
      </c>
      <c r="AJ90" s="40">
        <f t="shared" si="35"/>
        <v>0</v>
      </c>
      <c r="AK90" s="40">
        <f t="shared" si="36"/>
        <v>0</v>
      </c>
      <c r="AL90" s="40">
        <f t="shared" si="37"/>
        <v>0</v>
      </c>
      <c r="AM90" s="40">
        <f t="shared" si="38"/>
        <v>0</v>
      </c>
      <c r="AN90" s="40">
        <f t="shared" si="39"/>
        <v>0</v>
      </c>
      <c r="AO90" s="40">
        <f t="shared" si="40"/>
        <v>0</v>
      </c>
      <c r="AP90" s="40">
        <f t="shared" si="41"/>
        <v>0</v>
      </c>
      <c r="AQ90" s="40">
        <f t="shared" si="41"/>
        <v>0</v>
      </c>
    </row>
    <row r="91" spans="27:43">
      <c r="AA91" s="41">
        <f t="shared" si="42"/>
        <v>88</v>
      </c>
      <c r="AB91" s="38">
        <f t="shared" si="27"/>
        <v>0</v>
      </c>
      <c r="AC91" s="39">
        <f t="shared" si="28"/>
        <v>0</v>
      </c>
      <c r="AD91" s="40">
        <f t="shared" si="29"/>
        <v>0</v>
      </c>
      <c r="AE91" s="38">
        <f t="shared" si="30"/>
        <v>0</v>
      </c>
      <c r="AF91" s="39">
        <f t="shared" si="31"/>
        <v>0</v>
      </c>
      <c r="AG91" s="40">
        <f t="shared" si="32"/>
        <v>0</v>
      </c>
      <c r="AH91" s="40">
        <f t="shared" si="33"/>
        <v>0</v>
      </c>
      <c r="AI91" s="40">
        <f t="shared" si="34"/>
        <v>0</v>
      </c>
      <c r="AJ91" s="40">
        <f t="shared" si="35"/>
        <v>0</v>
      </c>
      <c r="AK91" s="40">
        <f t="shared" si="36"/>
        <v>0</v>
      </c>
      <c r="AL91" s="40">
        <f t="shared" si="37"/>
        <v>0</v>
      </c>
      <c r="AM91" s="40">
        <f t="shared" si="38"/>
        <v>0</v>
      </c>
      <c r="AN91" s="40">
        <f t="shared" si="39"/>
        <v>0</v>
      </c>
      <c r="AO91" s="40">
        <f t="shared" si="40"/>
        <v>0</v>
      </c>
      <c r="AP91" s="40">
        <f t="shared" si="41"/>
        <v>0</v>
      </c>
      <c r="AQ91" s="40">
        <f t="shared" si="41"/>
        <v>0</v>
      </c>
    </row>
    <row r="92" spans="27:43">
      <c r="AA92" s="41">
        <f t="shared" si="42"/>
        <v>89</v>
      </c>
      <c r="AB92" s="38">
        <f t="shared" si="27"/>
        <v>0</v>
      </c>
      <c r="AC92" s="39">
        <f t="shared" si="28"/>
        <v>0</v>
      </c>
      <c r="AD92" s="40">
        <f t="shared" si="29"/>
        <v>0</v>
      </c>
      <c r="AE92" s="38">
        <f t="shared" si="30"/>
        <v>0</v>
      </c>
      <c r="AF92" s="39">
        <f t="shared" si="31"/>
        <v>0</v>
      </c>
      <c r="AG92" s="40">
        <f t="shared" si="32"/>
        <v>0</v>
      </c>
      <c r="AH92" s="40">
        <f t="shared" si="33"/>
        <v>0</v>
      </c>
      <c r="AI92" s="40">
        <f t="shared" si="34"/>
        <v>0</v>
      </c>
      <c r="AJ92" s="40">
        <f t="shared" si="35"/>
        <v>0</v>
      </c>
      <c r="AK92" s="40">
        <f t="shared" si="36"/>
        <v>0</v>
      </c>
      <c r="AL92" s="40">
        <f t="shared" si="37"/>
        <v>0</v>
      </c>
      <c r="AM92" s="40">
        <f t="shared" si="38"/>
        <v>0</v>
      </c>
      <c r="AN92" s="40">
        <f t="shared" si="39"/>
        <v>0</v>
      </c>
      <c r="AO92" s="40">
        <f t="shared" si="40"/>
        <v>0</v>
      </c>
      <c r="AP92" s="40">
        <f t="shared" si="41"/>
        <v>0</v>
      </c>
      <c r="AQ92" s="40">
        <f t="shared" si="41"/>
        <v>0</v>
      </c>
    </row>
    <row r="93" spans="27:43">
      <c r="AA93" s="41">
        <f t="shared" si="42"/>
        <v>90</v>
      </c>
      <c r="AB93" s="38">
        <f t="shared" si="27"/>
        <v>0</v>
      </c>
      <c r="AC93" s="39">
        <f t="shared" si="28"/>
        <v>0</v>
      </c>
      <c r="AD93" s="40">
        <f t="shared" si="29"/>
        <v>0</v>
      </c>
      <c r="AE93" s="38">
        <f t="shared" si="30"/>
        <v>0</v>
      </c>
      <c r="AF93" s="39">
        <f t="shared" si="31"/>
        <v>0</v>
      </c>
      <c r="AG93" s="40">
        <f t="shared" si="32"/>
        <v>0</v>
      </c>
      <c r="AH93" s="40">
        <f t="shared" si="33"/>
        <v>0</v>
      </c>
      <c r="AI93" s="40">
        <f t="shared" si="34"/>
        <v>0</v>
      </c>
      <c r="AJ93" s="40">
        <f t="shared" si="35"/>
        <v>0</v>
      </c>
      <c r="AK93" s="40">
        <f t="shared" si="36"/>
        <v>0</v>
      </c>
      <c r="AL93" s="40">
        <f t="shared" si="37"/>
        <v>0</v>
      </c>
      <c r="AM93" s="40">
        <f t="shared" si="38"/>
        <v>0</v>
      </c>
      <c r="AN93" s="40">
        <f t="shared" si="39"/>
        <v>0</v>
      </c>
      <c r="AO93" s="40">
        <f t="shared" si="40"/>
        <v>0</v>
      </c>
      <c r="AP93" s="40">
        <f t="shared" si="41"/>
        <v>0</v>
      </c>
      <c r="AQ93" s="40">
        <f t="shared" si="41"/>
        <v>0</v>
      </c>
    </row>
    <row r="94" spans="27:43">
      <c r="AA94" s="41">
        <f t="shared" si="42"/>
        <v>91</v>
      </c>
      <c r="AB94" s="38">
        <f t="shared" si="27"/>
        <v>0</v>
      </c>
      <c r="AC94" s="39">
        <f t="shared" si="28"/>
        <v>0</v>
      </c>
      <c r="AD94" s="40">
        <f t="shared" si="29"/>
        <v>0</v>
      </c>
      <c r="AE94" s="38">
        <f t="shared" si="30"/>
        <v>0</v>
      </c>
      <c r="AF94" s="39">
        <f t="shared" si="31"/>
        <v>0</v>
      </c>
      <c r="AG94" s="40">
        <f t="shared" si="32"/>
        <v>0</v>
      </c>
      <c r="AH94" s="40">
        <f t="shared" si="33"/>
        <v>0</v>
      </c>
      <c r="AI94" s="40">
        <f t="shared" si="34"/>
        <v>0</v>
      </c>
      <c r="AJ94" s="40">
        <f t="shared" si="35"/>
        <v>0</v>
      </c>
      <c r="AK94" s="40">
        <f t="shared" si="36"/>
        <v>0</v>
      </c>
      <c r="AL94" s="40">
        <f t="shared" si="37"/>
        <v>0</v>
      </c>
      <c r="AM94" s="40">
        <f t="shared" si="38"/>
        <v>0</v>
      </c>
      <c r="AN94" s="40">
        <f t="shared" si="39"/>
        <v>0</v>
      </c>
      <c r="AO94" s="40">
        <f t="shared" si="40"/>
        <v>0</v>
      </c>
      <c r="AP94" s="40">
        <f t="shared" si="41"/>
        <v>0</v>
      </c>
      <c r="AQ94" s="40">
        <f t="shared" si="41"/>
        <v>0</v>
      </c>
    </row>
    <row r="95" spans="27:43">
      <c r="AA95" s="41">
        <f t="shared" si="42"/>
        <v>92</v>
      </c>
      <c r="AB95" s="38">
        <f t="shared" si="27"/>
        <v>0</v>
      </c>
      <c r="AC95" s="39">
        <f t="shared" si="28"/>
        <v>0</v>
      </c>
      <c r="AD95" s="40">
        <f t="shared" si="29"/>
        <v>0</v>
      </c>
      <c r="AE95" s="38">
        <f t="shared" si="30"/>
        <v>0</v>
      </c>
      <c r="AF95" s="39">
        <f t="shared" si="31"/>
        <v>0</v>
      </c>
      <c r="AG95" s="40">
        <f t="shared" si="32"/>
        <v>0</v>
      </c>
      <c r="AH95" s="40">
        <f t="shared" si="33"/>
        <v>0</v>
      </c>
      <c r="AI95" s="40">
        <f t="shared" si="34"/>
        <v>0</v>
      </c>
      <c r="AJ95" s="40">
        <f t="shared" si="35"/>
        <v>0</v>
      </c>
      <c r="AK95" s="40">
        <f t="shared" si="36"/>
        <v>0</v>
      </c>
      <c r="AL95" s="40">
        <f t="shared" si="37"/>
        <v>0</v>
      </c>
      <c r="AM95" s="40">
        <f t="shared" si="38"/>
        <v>0</v>
      </c>
      <c r="AN95" s="40">
        <f t="shared" si="39"/>
        <v>0</v>
      </c>
      <c r="AO95" s="40">
        <f t="shared" si="40"/>
        <v>0</v>
      </c>
      <c r="AP95" s="40">
        <f t="shared" si="41"/>
        <v>0</v>
      </c>
      <c r="AQ95" s="40">
        <f t="shared" si="41"/>
        <v>0</v>
      </c>
    </row>
    <row r="96" spans="27:43">
      <c r="AA96" s="41">
        <f t="shared" si="42"/>
        <v>93</v>
      </c>
      <c r="AB96" s="38">
        <f t="shared" si="27"/>
        <v>0</v>
      </c>
      <c r="AC96" s="39">
        <f t="shared" si="28"/>
        <v>0</v>
      </c>
      <c r="AD96" s="40">
        <f t="shared" si="29"/>
        <v>0</v>
      </c>
      <c r="AE96" s="38">
        <f t="shared" si="30"/>
        <v>0</v>
      </c>
      <c r="AF96" s="39">
        <f t="shared" si="31"/>
        <v>0</v>
      </c>
      <c r="AG96" s="40">
        <f t="shared" si="32"/>
        <v>0</v>
      </c>
      <c r="AH96" s="40">
        <f t="shared" si="33"/>
        <v>0</v>
      </c>
      <c r="AI96" s="40">
        <f t="shared" si="34"/>
        <v>0</v>
      </c>
      <c r="AJ96" s="40">
        <f t="shared" si="35"/>
        <v>0</v>
      </c>
      <c r="AK96" s="40">
        <f t="shared" si="36"/>
        <v>0</v>
      </c>
      <c r="AL96" s="40">
        <f t="shared" si="37"/>
        <v>0</v>
      </c>
      <c r="AM96" s="40">
        <f t="shared" si="38"/>
        <v>0</v>
      </c>
      <c r="AN96" s="40">
        <f t="shared" si="39"/>
        <v>0</v>
      </c>
      <c r="AO96" s="40">
        <f t="shared" si="40"/>
        <v>0</v>
      </c>
      <c r="AP96" s="40">
        <f t="shared" si="41"/>
        <v>0</v>
      </c>
      <c r="AQ96" s="40">
        <f t="shared" si="41"/>
        <v>0</v>
      </c>
    </row>
    <row r="97" spans="27:43">
      <c r="AA97" s="41">
        <f t="shared" si="42"/>
        <v>94</v>
      </c>
      <c r="AB97" s="38">
        <f t="shared" si="27"/>
        <v>0</v>
      </c>
      <c r="AC97" s="39">
        <f t="shared" si="28"/>
        <v>0</v>
      </c>
      <c r="AD97" s="40">
        <f t="shared" si="29"/>
        <v>0</v>
      </c>
      <c r="AE97" s="38">
        <f t="shared" si="30"/>
        <v>0</v>
      </c>
      <c r="AF97" s="39">
        <f t="shared" si="31"/>
        <v>0</v>
      </c>
      <c r="AG97" s="40">
        <f t="shared" si="32"/>
        <v>0</v>
      </c>
      <c r="AH97" s="40">
        <f t="shared" si="33"/>
        <v>0</v>
      </c>
      <c r="AI97" s="40">
        <f t="shared" si="34"/>
        <v>0</v>
      </c>
      <c r="AJ97" s="40">
        <f t="shared" si="35"/>
        <v>0</v>
      </c>
      <c r="AK97" s="40">
        <f t="shared" si="36"/>
        <v>0</v>
      </c>
      <c r="AL97" s="40">
        <f t="shared" si="37"/>
        <v>0</v>
      </c>
      <c r="AM97" s="40">
        <f t="shared" si="38"/>
        <v>0</v>
      </c>
      <c r="AN97" s="40">
        <f t="shared" si="39"/>
        <v>0</v>
      </c>
      <c r="AO97" s="40">
        <f t="shared" si="40"/>
        <v>0</v>
      </c>
      <c r="AP97" s="40">
        <f t="shared" si="41"/>
        <v>0</v>
      </c>
      <c r="AQ97" s="40">
        <f t="shared" si="41"/>
        <v>0</v>
      </c>
    </row>
    <row r="98" spans="27:43">
      <c r="AA98" s="41">
        <f t="shared" si="42"/>
        <v>95</v>
      </c>
      <c r="AB98" s="38">
        <f t="shared" si="27"/>
        <v>0</v>
      </c>
      <c r="AC98" s="39">
        <f t="shared" si="28"/>
        <v>0</v>
      </c>
      <c r="AD98" s="40">
        <f t="shared" si="29"/>
        <v>0</v>
      </c>
      <c r="AE98" s="38">
        <f t="shared" si="30"/>
        <v>0</v>
      </c>
      <c r="AF98" s="39">
        <f t="shared" si="31"/>
        <v>0</v>
      </c>
      <c r="AG98" s="40">
        <f t="shared" si="32"/>
        <v>0</v>
      </c>
      <c r="AH98" s="40">
        <f t="shared" si="33"/>
        <v>0</v>
      </c>
      <c r="AI98" s="40">
        <f t="shared" si="34"/>
        <v>0</v>
      </c>
      <c r="AJ98" s="40">
        <f t="shared" si="35"/>
        <v>0</v>
      </c>
      <c r="AK98" s="40">
        <f t="shared" si="36"/>
        <v>0</v>
      </c>
      <c r="AL98" s="40">
        <f t="shared" si="37"/>
        <v>0</v>
      </c>
      <c r="AM98" s="40">
        <f t="shared" si="38"/>
        <v>0</v>
      </c>
      <c r="AN98" s="40">
        <f t="shared" si="39"/>
        <v>0</v>
      </c>
      <c r="AO98" s="40">
        <f t="shared" si="40"/>
        <v>0</v>
      </c>
      <c r="AP98" s="40">
        <f t="shared" si="41"/>
        <v>0</v>
      </c>
      <c r="AQ98" s="40">
        <f t="shared" si="41"/>
        <v>0</v>
      </c>
    </row>
    <row r="99" spans="27:43">
      <c r="AA99" s="41">
        <f t="shared" si="42"/>
        <v>96</v>
      </c>
      <c r="AB99" s="38">
        <f t="shared" si="27"/>
        <v>0</v>
      </c>
      <c r="AC99" s="39">
        <f t="shared" si="28"/>
        <v>0</v>
      </c>
      <c r="AD99" s="40">
        <f t="shared" si="29"/>
        <v>0</v>
      </c>
      <c r="AE99" s="38">
        <f t="shared" si="30"/>
        <v>0</v>
      </c>
      <c r="AF99" s="39">
        <f t="shared" si="31"/>
        <v>0</v>
      </c>
      <c r="AG99" s="40">
        <f t="shared" si="32"/>
        <v>0</v>
      </c>
      <c r="AH99" s="40">
        <f t="shared" si="33"/>
        <v>0</v>
      </c>
      <c r="AI99" s="40">
        <f t="shared" si="34"/>
        <v>0</v>
      </c>
      <c r="AJ99" s="40">
        <f t="shared" si="35"/>
        <v>0</v>
      </c>
      <c r="AK99" s="40">
        <f t="shared" si="36"/>
        <v>0</v>
      </c>
      <c r="AL99" s="40">
        <f t="shared" si="37"/>
        <v>0</v>
      </c>
      <c r="AM99" s="40">
        <f t="shared" si="38"/>
        <v>0</v>
      </c>
      <c r="AN99" s="40">
        <f t="shared" si="39"/>
        <v>0</v>
      </c>
      <c r="AO99" s="40">
        <f t="shared" si="40"/>
        <v>0</v>
      </c>
      <c r="AP99" s="40">
        <f t="shared" si="41"/>
        <v>0</v>
      </c>
      <c r="AQ99" s="40">
        <f t="shared" si="41"/>
        <v>0</v>
      </c>
    </row>
    <row r="100" spans="27:43">
      <c r="AA100" s="41">
        <f t="shared" si="42"/>
        <v>97</v>
      </c>
      <c r="AB100" s="38">
        <f t="shared" si="27"/>
        <v>0</v>
      </c>
      <c r="AC100" s="39">
        <f t="shared" si="28"/>
        <v>0</v>
      </c>
      <c r="AD100" s="40">
        <f t="shared" si="29"/>
        <v>0</v>
      </c>
      <c r="AE100" s="38">
        <f t="shared" si="30"/>
        <v>0</v>
      </c>
      <c r="AF100" s="39">
        <f t="shared" si="31"/>
        <v>0</v>
      </c>
      <c r="AG100" s="40">
        <f t="shared" si="32"/>
        <v>0</v>
      </c>
      <c r="AH100" s="40">
        <f t="shared" si="33"/>
        <v>0</v>
      </c>
      <c r="AI100" s="40">
        <f t="shared" si="34"/>
        <v>0</v>
      </c>
      <c r="AJ100" s="40">
        <f t="shared" si="35"/>
        <v>0</v>
      </c>
      <c r="AK100" s="40">
        <f t="shared" si="36"/>
        <v>0</v>
      </c>
      <c r="AL100" s="40">
        <f t="shared" si="37"/>
        <v>0</v>
      </c>
      <c r="AM100" s="40">
        <f t="shared" si="38"/>
        <v>0</v>
      </c>
      <c r="AN100" s="40">
        <f t="shared" si="39"/>
        <v>0</v>
      </c>
      <c r="AO100" s="40">
        <f t="shared" si="40"/>
        <v>0</v>
      </c>
      <c r="AP100" s="40">
        <f t="shared" si="41"/>
        <v>0</v>
      </c>
      <c r="AQ100" s="40">
        <f t="shared" si="41"/>
        <v>0</v>
      </c>
    </row>
    <row r="101" spans="27:43">
      <c r="AA101" s="41">
        <f t="shared" si="42"/>
        <v>98</v>
      </c>
      <c r="AB101" s="38">
        <f t="shared" si="27"/>
        <v>0</v>
      </c>
      <c r="AC101" s="39">
        <f t="shared" si="28"/>
        <v>0</v>
      </c>
      <c r="AD101" s="40">
        <f t="shared" si="29"/>
        <v>0</v>
      </c>
      <c r="AE101" s="38">
        <f t="shared" si="30"/>
        <v>0</v>
      </c>
      <c r="AF101" s="39">
        <f t="shared" si="31"/>
        <v>0</v>
      </c>
      <c r="AG101" s="40">
        <f t="shared" si="32"/>
        <v>0</v>
      </c>
      <c r="AH101" s="40">
        <f t="shared" si="33"/>
        <v>0</v>
      </c>
      <c r="AI101" s="40">
        <f t="shared" si="34"/>
        <v>0</v>
      </c>
      <c r="AJ101" s="40">
        <f t="shared" si="35"/>
        <v>0</v>
      </c>
      <c r="AK101" s="40">
        <f t="shared" si="36"/>
        <v>0</v>
      </c>
      <c r="AL101" s="40">
        <f t="shared" si="37"/>
        <v>0</v>
      </c>
      <c r="AM101" s="40">
        <f t="shared" si="38"/>
        <v>0</v>
      </c>
      <c r="AN101" s="40">
        <f t="shared" si="39"/>
        <v>0</v>
      </c>
      <c r="AO101" s="40">
        <f t="shared" si="40"/>
        <v>0</v>
      </c>
      <c r="AP101" s="40">
        <f t="shared" si="41"/>
        <v>0</v>
      </c>
      <c r="AQ101" s="40">
        <f t="shared" si="41"/>
        <v>0</v>
      </c>
    </row>
    <row r="102" spans="27:43">
      <c r="AA102" s="41">
        <f t="shared" si="42"/>
        <v>99</v>
      </c>
      <c r="AB102" s="38">
        <f t="shared" si="27"/>
        <v>0</v>
      </c>
      <c r="AC102" s="39">
        <f t="shared" si="28"/>
        <v>0</v>
      </c>
      <c r="AD102" s="40">
        <f t="shared" si="29"/>
        <v>0</v>
      </c>
      <c r="AE102" s="38">
        <f t="shared" si="30"/>
        <v>0</v>
      </c>
      <c r="AF102" s="39">
        <f t="shared" si="31"/>
        <v>0</v>
      </c>
      <c r="AG102" s="40">
        <f t="shared" si="32"/>
        <v>0</v>
      </c>
      <c r="AH102" s="40">
        <f t="shared" si="33"/>
        <v>0</v>
      </c>
      <c r="AI102" s="40">
        <f t="shared" si="34"/>
        <v>0</v>
      </c>
      <c r="AJ102" s="40">
        <f t="shared" si="35"/>
        <v>0</v>
      </c>
      <c r="AK102" s="40">
        <f t="shared" si="36"/>
        <v>0</v>
      </c>
      <c r="AL102" s="40">
        <f t="shared" si="37"/>
        <v>0</v>
      </c>
      <c r="AM102" s="40">
        <f t="shared" si="38"/>
        <v>0</v>
      </c>
      <c r="AN102" s="40">
        <f t="shared" si="39"/>
        <v>0</v>
      </c>
      <c r="AO102" s="40">
        <f t="shared" si="40"/>
        <v>0</v>
      </c>
      <c r="AP102" s="40">
        <f t="shared" si="41"/>
        <v>0</v>
      </c>
      <c r="AQ102" s="40">
        <f t="shared" si="41"/>
        <v>0</v>
      </c>
    </row>
    <row r="103" spans="27:43">
      <c r="AA103" s="41">
        <f t="shared" si="42"/>
        <v>100</v>
      </c>
      <c r="AB103" s="38">
        <f t="shared" si="27"/>
        <v>0</v>
      </c>
      <c r="AC103" s="39">
        <f t="shared" si="28"/>
        <v>0</v>
      </c>
      <c r="AD103" s="40">
        <f t="shared" si="29"/>
        <v>0</v>
      </c>
      <c r="AE103" s="38">
        <f t="shared" si="30"/>
        <v>0</v>
      </c>
      <c r="AF103" s="39">
        <f t="shared" si="31"/>
        <v>0</v>
      </c>
      <c r="AG103" s="40">
        <f t="shared" si="32"/>
        <v>0</v>
      </c>
      <c r="AH103" s="40">
        <f t="shared" si="33"/>
        <v>0</v>
      </c>
      <c r="AI103" s="40">
        <f t="shared" si="34"/>
        <v>0</v>
      </c>
      <c r="AJ103" s="40">
        <f t="shared" si="35"/>
        <v>0</v>
      </c>
      <c r="AK103" s="40">
        <f t="shared" si="36"/>
        <v>0</v>
      </c>
      <c r="AL103" s="40">
        <f t="shared" si="37"/>
        <v>0</v>
      </c>
      <c r="AM103" s="40">
        <f t="shared" si="38"/>
        <v>0</v>
      </c>
      <c r="AN103" s="40">
        <f t="shared" si="39"/>
        <v>0</v>
      </c>
      <c r="AO103" s="40">
        <f t="shared" si="40"/>
        <v>0</v>
      </c>
      <c r="AP103" s="40">
        <f t="shared" si="41"/>
        <v>0</v>
      </c>
      <c r="AQ103" s="40">
        <f t="shared" si="41"/>
        <v>0</v>
      </c>
    </row>
    <row r="104" spans="27:43">
      <c r="AA104" s="41">
        <f t="shared" si="42"/>
        <v>101</v>
      </c>
      <c r="AB104" s="38">
        <f t="shared" si="27"/>
        <v>0</v>
      </c>
      <c r="AC104" s="39">
        <f t="shared" si="28"/>
        <v>0</v>
      </c>
      <c r="AD104" s="40">
        <f t="shared" si="29"/>
        <v>0</v>
      </c>
      <c r="AE104" s="38">
        <f t="shared" si="30"/>
        <v>0</v>
      </c>
      <c r="AF104" s="39">
        <f t="shared" si="31"/>
        <v>0</v>
      </c>
      <c r="AG104" s="40">
        <f t="shared" si="32"/>
        <v>0</v>
      </c>
      <c r="AH104" s="40">
        <f t="shared" si="33"/>
        <v>0</v>
      </c>
      <c r="AI104" s="40">
        <f t="shared" si="34"/>
        <v>0</v>
      </c>
      <c r="AJ104" s="40">
        <f t="shared" si="35"/>
        <v>0</v>
      </c>
      <c r="AK104" s="40">
        <f t="shared" si="36"/>
        <v>0</v>
      </c>
      <c r="AL104" s="40">
        <f t="shared" si="37"/>
        <v>0</v>
      </c>
      <c r="AM104" s="40">
        <f t="shared" si="38"/>
        <v>0</v>
      </c>
      <c r="AN104" s="40">
        <f t="shared" si="39"/>
        <v>0</v>
      </c>
      <c r="AO104" s="40">
        <f t="shared" si="40"/>
        <v>0</v>
      </c>
      <c r="AP104" s="40">
        <f t="shared" si="40"/>
        <v>0</v>
      </c>
      <c r="AQ104" s="40">
        <f t="shared" si="40"/>
        <v>0</v>
      </c>
    </row>
    <row r="105" spans="27:43">
      <c r="AA105" s="41">
        <f t="shared" si="42"/>
        <v>102</v>
      </c>
      <c r="AB105" s="38">
        <f t="shared" si="27"/>
        <v>0</v>
      </c>
      <c r="AC105" s="39">
        <f t="shared" si="28"/>
        <v>0</v>
      </c>
      <c r="AD105" s="40">
        <f t="shared" si="29"/>
        <v>0</v>
      </c>
      <c r="AE105" s="38">
        <f t="shared" si="30"/>
        <v>0</v>
      </c>
      <c r="AF105" s="39">
        <f t="shared" si="31"/>
        <v>0</v>
      </c>
      <c r="AG105" s="40">
        <f t="shared" si="32"/>
        <v>0</v>
      </c>
      <c r="AH105" s="40">
        <f t="shared" si="33"/>
        <v>0</v>
      </c>
      <c r="AI105" s="40">
        <f t="shared" si="34"/>
        <v>0</v>
      </c>
      <c r="AJ105" s="40">
        <f t="shared" si="35"/>
        <v>0</v>
      </c>
      <c r="AK105" s="40">
        <f t="shared" si="36"/>
        <v>0</v>
      </c>
      <c r="AL105" s="40">
        <f t="shared" si="37"/>
        <v>0</v>
      </c>
      <c r="AM105" s="40">
        <f t="shared" si="38"/>
        <v>0</v>
      </c>
      <c r="AN105" s="40">
        <f t="shared" si="39"/>
        <v>0</v>
      </c>
      <c r="AO105" s="40">
        <f t="shared" si="40"/>
        <v>0</v>
      </c>
      <c r="AP105" s="40">
        <f t="shared" si="40"/>
        <v>0</v>
      </c>
      <c r="AQ105" s="40">
        <f t="shared" si="40"/>
        <v>0</v>
      </c>
    </row>
    <row r="106" spans="27:43">
      <c r="AA106" s="41">
        <f t="shared" si="42"/>
        <v>103</v>
      </c>
      <c r="AB106" s="38">
        <f t="shared" si="27"/>
        <v>0</v>
      </c>
      <c r="AC106" s="39">
        <f t="shared" si="28"/>
        <v>0</v>
      </c>
      <c r="AD106" s="40">
        <f t="shared" si="29"/>
        <v>0</v>
      </c>
      <c r="AE106" s="38">
        <f t="shared" si="30"/>
        <v>0</v>
      </c>
      <c r="AF106" s="39">
        <f t="shared" si="31"/>
        <v>0</v>
      </c>
      <c r="AG106" s="40">
        <f t="shared" si="32"/>
        <v>0</v>
      </c>
      <c r="AH106" s="40">
        <f t="shared" si="33"/>
        <v>0</v>
      </c>
      <c r="AI106" s="40">
        <f t="shared" si="34"/>
        <v>0</v>
      </c>
      <c r="AJ106" s="40">
        <f t="shared" si="35"/>
        <v>0</v>
      </c>
      <c r="AK106" s="40">
        <f t="shared" si="36"/>
        <v>0</v>
      </c>
      <c r="AL106" s="40">
        <f t="shared" si="37"/>
        <v>0</v>
      </c>
      <c r="AM106" s="40">
        <f t="shared" si="38"/>
        <v>0</v>
      </c>
      <c r="AN106" s="40">
        <f t="shared" si="39"/>
        <v>0</v>
      </c>
      <c r="AO106" s="40">
        <f t="shared" si="40"/>
        <v>0</v>
      </c>
      <c r="AP106" s="40">
        <f t="shared" si="40"/>
        <v>0</v>
      </c>
      <c r="AQ106" s="40">
        <f t="shared" si="40"/>
        <v>0</v>
      </c>
    </row>
    <row r="107" spans="27:43">
      <c r="AA107" s="41">
        <f t="shared" si="42"/>
        <v>104</v>
      </c>
      <c r="AB107" s="38">
        <f t="shared" si="27"/>
        <v>0</v>
      </c>
      <c r="AC107" s="39">
        <f t="shared" si="28"/>
        <v>0</v>
      </c>
      <c r="AD107" s="40">
        <f t="shared" si="29"/>
        <v>0</v>
      </c>
      <c r="AE107" s="38">
        <f t="shared" si="30"/>
        <v>0</v>
      </c>
      <c r="AF107" s="39">
        <f t="shared" si="31"/>
        <v>0</v>
      </c>
      <c r="AG107" s="40">
        <f t="shared" si="32"/>
        <v>0</v>
      </c>
      <c r="AH107" s="40">
        <f t="shared" si="33"/>
        <v>0</v>
      </c>
      <c r="AI107" s="40">
        <f t="shared" si="34"/>
        <v>0</v>
      </c>
      <c r="AJ107" s="40">
        <f t="shared" si="35"/>
        <v>0</v>
      </c>
      <c r="AK107" s="40">
        <f t="shared" si="36"/>
        <v>0</v>
      </c>
      <c r="AL107" s="40">
        <f t="shared" si="37"/>
        <v>0</v>
      </c>
      <c r="AM107" s="40">
        <f t="shared" si="38"/>
        <v>0</v>
      </c>
      <c r="AN107" s="40">
        <f t="shared" si="39"/>
        <v>0</v>
      </c>
      <c r="AO107" s="40">
        <f t="shared" si="40"/>
        <v>0</v>
      </c>
      <c r="AP107" s="40">
        <f t="shared" si="40"/>
        <v>0</v>
      </c>
      <c r="AQ107" s="40">
        <f t="shared" si="40"/>
        <v>0</v>
      </c>
    </row>
    <row r="108" spans="27:43">
      <c r="AA108" s="41">
        <f t="shared" si="42"/>
        <v>105</v>
      </c>
      <c r="AB108" s="38">
        <f t="shared" si="27"/>
        <v>0</v>
      </c>
      <c r="AC108" s="39">
        <f t="shared" si="28"/>
        <v>0</v>
      </c>
      <c r="AD108" s="40">
        <f t="shared" si="29"/>
        <v>0</v>
      </c>
      <c r="AE108" s="38">
        <f t="shared" si="30"/>
        <v>0</v>
      </c>
      <c r="AF108" s="39">
        <f t="shared" si="31"/>
        <v>0</v>
      </c>
      <c r="AG108" s="40">
        <f t="shared" si="32"/>
        <v>0</v>
      </c>
      <c r="AH108" s="40">
        <f t="shared" si="33"/>
        <v>0</v>
      </c>
      <c r="AI108" s="40">
        <f t="shared" si="34"/>
        <v>0</v>
      </c>
      <c r="AJ108" s="40">
        <f t="shared" si="35"/>
        <v>0</v>
      </c>
      <c r="AK108" s="40">
        <f t="shared" si="36"/>
        <v>0</v>
      </c>
      <c r="AL108" s="40">
        <f t="shared" si="37"/>
        <v>0</v>
      </c>
      <c r="AM108" s="40">
        <f t="shared" si="38"/>
        <v>0</v>
      </c>
      <c r="AN108" s="40">
        <f t="shared" si="39"/>
        <v>0</v>
      </c>
      <c r="AO108" s="40">
        <f t="shared" si="40"/>
        <v>0</v>
      </c>
      <c r="AP108" s="40">
        <f t="shared" si="40"/>
        <v>0</v>
      </c>
      <c r="AQ108" s="40">
        <f t="shared" si="40"/>
        <v>0</v>
      </c>
    </row>
    <row r="109" spans="27:43">
      <c r="AA109" s="41">
        <f t="shared" si="42"/>
        <v>106</v>
      </c>
      <c r="AB109" s="38">
        <f t="shared" si="27"/>
        <v>0</v>
      </c>
      <c r="AC109" s="39">
        <f t="shared" si="28"/>
        <v>0</v>
      </c>
      <c r="AD109" s="40">
        <f t="shared" si="29"/>
        <v>0</v>
      </c>
      <c r="AE109" s="38">
        <f t="shared" si="30"/>
        <v>0</v>
      </c>
      <c r="AF109" s="39">
        <f t="shared" si="31"/>
        <v>0</v>
      </c>
      <c r="AG109" s="40">
        <f t="shared" si="32"/>
        <v>0</v>
      </c>
      <c r="AH109" s="40">
        <f t="shared" si="33"/>
        <v>0</v>
      </c>
      <c r="AI109" s="40">
        <f t="shared" si="34"/>
        <v>0</v>
      </c>
      <c r="AJ109" s="40">
        <f t="shared" si="35"/>
        <v>0</v>
      </c>
      <c r="AK109" s="40">
        <f t="shared" si="36"/>
        <v>0</v>
      </c>
      <c r="AL109" s="40">
        <f t="shared" si="37"/>
        <v>0</v>
      </c>
      <c r="AM109" s="40">
        <f t="shared" si="38"/>
        <v>0</v>
      </c>
      <c r="AN109" s="40">
        <f t="shared" si="39"/>
        <v>0</v>
      </c>
      <c r="AO109" s="40">
        <f t="shared" si="40"/>
        <v>0</v>
      </c>
      <c r="AP109" s="40">
        <f t="shared" si="40"/>
        <v>0</v>
      </c>
      <c r="AQ109" s="40">
        <f t="shared" si="40"/>
        <v>0</v>
      </c>
    </row>
    <row r="110" spans="27:43">
      <c r="AA110" s="41">
        <f t="shared" si="42"/>
        <v>107</v>
      </c>
      <c r="AB110" s="38">
        <f t="shared" si="27"/>
        <v>0</v>
      </c>
      <c r="AC110" s="39">
        <f t="shared" si="28"/>
        <v>0</v>
      </c>
      <c r="AD110" s="40">
        <f t="shared" si="29"/>
        <v>0</v>
      </c>
      <c r="AE110" s="38">
        <f t="shared" si="30"/>
        <v>0</v>
      </c>
      <c r="AF110" s="39">
        <f t="shared" si="31"/>
        <v>0</v>
      </c>
      <c r="AG110" s="40">
        <f t="shared" si="32"/>
        <v>0</v>
      </c>
      <c r="AH110" s="40">
        <f t="shared" si="33"/>
        <v>0</v>
      </c>
      <c r="AI110" s="40">
        <f t="shared" si="34"/>
        <v>0</v>
      </c>
      <c r="AJ110" s="40">
        <f t="shared" si="35"/>
        <v>0</v>
      </c>
      <c r="AK110" s="40">
        <f t="shared" si="36"/>
        <v>0</v>
      </c>
      <c r="AL110" s="40">
        <f t="shared" si="37"/>
        <v>0</v>
      </c>
      <c r="AM110" s="40">
        <f t="shared" si="38"/>
        <v>0</v>
      </c>
      <c r="AN110" s="40">
        <f t="shared" si="39"/>
        <v>0</v>
      </c>
      <c r="AO110" s="40">
        <f t="shared" si="40"/>
        <v>0</v>
      </c>
      <c r="AP110" s="40">
        <f t="shared" si="40"/>
        <v>0</v>
      </c>
      <c r="AQ110" s="40">
        <f t="shared" si="40"/>
        <v>0</v>
      </c>
    </row>
    <row r="111" spans="27:43">
      <c r="AA111" s="41">
        <f t="shared" si="42"/>
        <v>108</v>
      </c>
      <c r="AB111" s="38">
        <f t="shared" si="27"/>
        <v>0</v>
      </c>
      <c r="AC111" s="39">
        <f t="shared" si="28"/>
        <v>0</v>
      </c>
      <c r="AD111" s="40">
        <f t="shared" si="29"/>
        <v>0</v>
      </c>
      <c r="AE111" s="38">
        <f t="shared" si="30"/>
        <v>0</v>
      </c>
      <c r="AF111" s="39">
        <f t="shared" si="31"/>
        <v>0</v>
      </c>
      <c r="AG111" s="40">
        <f t="shared" si="32"/>
        <v>0</v>
      </c>
      <c r="AH111" s="40">
        <f t="shared" si="33"/>
        <v>0</v>
      </c>
      <c r="AI111" s="40">
        <f t="shared" si="34"/>
        <v>0</v>
      </c>
      <c r="AJ111" s="40">
        <f t="shared" si="35"/>
        <v>0</v>
      </c>
      <c r="AK111" s="40">
        <f t="shared" si="36"/>
        <v>0</v>
      </c>
      <c r="AL111" s="40">
        <f t="shared" si="37"/>
        <v>0</v>
      </c>
      <c r="AM111" s="40">
        <f t="shared" si="38"/>
        <v>0</v>
      </c>
      <c r="AN111" s="40">
        <f t="shared" si="39"/>
        <v>0</v>
      </c>
      <c r="AO111" s="40">
        <f t="shared" si="40"/>
        <v>0</v>
      </c>
      <c r="AP111" s="40">
        <f t="shared" si="40"/>
        <v>0</v>
      </c>
      <c r="AQ111" s="40">
        <f t="shared" si="40"/>
        <v>0</v>
      </c>
    </row>
    <row r="112" spans="27:43">
      <c r="AA112" s="41">
        <f t="shared" si="42"/>
        <v>109</v>
      </c>
      <c r="AB112" s="38">
        <f t="shared" si="27"/>
        <v>0</v>
      </c>
      <c r="AC112" s="39">
        <f t="shared" si="28"/>
        <v>0</v>
      </c>
      <c r="AD112" s="40">
        <f t="shared" si="29"/>
        <v>0</v>
      </c>
      <c r="AE112" s="38">
        <f t="shared" si="30"/>
        <v>0</v>
      </c>
      <c r="AF112" s="39">
        <f t="shared" si="31"/>
        <v>0</v>
      </c>
      <c r="AG112" s="40">
        <f t="shared" si="32"/>
        <v>0</v>
      </c>
      <c r="AH112" s="40">
        <f t="shared" si="33"/>
        <v>0</v>
      </c>
      <c r="AI112" s="40">
        <f t="shared" si="34"/>
        <v>0</v>
      </c>
      <c r="AJ112" s="40">
        <f t="shared" si="35"/>
        <v>0</v>
      </c>
      <c r="AK112" s="40">
        <f t="shared" si="36"/>
        <v>0</v>
      </c>
      <c r="AL112" s="40">
        <f t="shared" si="37"/>
        <v>0</v>
      </c>
      <c r="AM112" s="40">
        <f t="shared" si="38"/>
        <v>0</v>
      </c>
      <c r="AN112" s="40">
        <f t="shared" si="39"/>
        <v>0</v>
      </c>
      <c r="AO112" s="40">
        <f t="shared" si="40"/>
        <v>0</v>
      </c>
      <c r="AP112" s="40">
        <f t="shared" si="40"/>
        <v>0</v>
      </c>
      <c r="AQ112" s="40">
        <f t="shared" si="40"/>
        <v>0</v>
      </c>
    </row>
    <row r="113" spans="27:43">
      <c r="AA113" s="41">
        <f t="shared" si="42"/>
        <v>110</v>
      </c>
      <c r="AB113" s="38">
        <f t="shared" si="27"/>
        <v>0</v>
      </c>
      <c r="AC113" s="39">
        <f t="shared" si="28"/>
        <v>0</v>
      </c>
      <c r="AD113" s="40">
        <f t="shared" si="29"/>
        <v>0</v>
      </c>
      <c r="AE113" s="38">
        <f t="shared" si="30"/>
        <v>0</v>
      </c>
      <c r="AF113" s="39">
        <f t="shared" si="31"/>
        <v>0</v>
      </c>
      <c r="AG113" s="40">
        <f t="shared" si="32"/>
        <v>0</v>
      </c>
      <c r="AH113" s="40">
        <f t="shared" si="33"/>
        <v>0</v>
      </c>
      <c r="AI113" s="40">
        <f t="shared" si="34"/>
        <v>0</v>
      </c>
      <c r="AJ113" s="40">
        <f t="shared" si="35"/>
        <v>0</v>
      </c>
      <c r="AK113" s="40">
        <f t="shared" si="36"/>
        <v>0</v>
      </c>
      <c r="AL113" s="40">
        <f t="shared" si="37"/>
        <v>0</v>
      </c>
      <c r="AM113" s="40">
        <f t="shared" si="38"/>
        <v>0</v>
      </c>
      <c r="AN113" s="40">
        <f t="shared" si="39"/>
        <v>0</v>
      </c>
      <c r="AO113" s="40">
        <f t="shared" si="40"/>
        <v>0</v>
      </c>
      <c r="AP113" s="40">
        <f t="shared" si="40"/>
        <v>0</v>
      </c>
      <c r="AQ113" s="40">
        <f t="shared" si="40"/>
        <v>0</v>
      </c>
    </row>
    <row r="114" spans="27:43">
      <c r="AA114" s="41">
        <f t="shared" si="42"/>
        <v>111</v>
      </c>
      <c r="AB114" s="38">
        <f t="shared" si="27"/>
        <v>0</v>
      </c>
      <c r="AC114" s="39">
        <f t="shared" si="28"/>
        <v>0</v>
      </c>
      <c r="AD114" s="40">
        <f t="shared" si="29"/>
        <v>0</v>
      </c>
      <c r="AE114" s="38">
        <f t="shared" si="30"/>
        <v>0</v>
      </c>
      <c r="AF114" s="39">
        <f t="shared" si="31"/>
        <v>0</v>
      </c>
      <c r="AG114" s="40">
        <f t="shared" si="32"/>
        <v>0</v>
      </c>
      <c r="AH114" s="40">
        <f t="shared" si="33"/>
        <v>0</v>
      </c>
      <c r="AI114" s="40">
        <f t="shared" si="34"/>
        <v>0</v>
      </c>
      <c r="AJ114" s="40">
        <f t="shared" si="35"/>
        <v>0</v>
      </c>
      <c r="AK114" s="40">
        <f t="shared" si="36"/>
        <v>0</v>
      </c>
      <c r="AL114" s="40">
        <f t="shared" si="37"/>
        <v>0</v>
      </c>
      <c r="AM114" s="40">
        <f t="shared" si="38"/>
        <v>0</v>
      </c>
      <c r="AN114" s="40">
        <f t="shared" si="39"/>
        <v>0</v>
      </c>
      <c r="AO114" s="40">
        <f t="shared" si="40"/>
        <v>0</v>
      </c>
      <c r="AP114" s="40">
        <f t="shared" si="40"/>
        <v>0</v>
      </c>
      <c r="AQ114" s="40">
        <f t="shared" si="40"/>
        <v>0</v>
      </c>
    </row>
    <row r="115" spans="27:43">
      <c r="AA115" s="41">
        <f t="shared" si="42"/>
        <v>112</v>
      </c>
      <c r="AB115" s="38">
        <f t="shared" si="27"/>
        <v>0</v>
      </c>
      <c r="AC115" s="39">
        <f t="shared" si="28"/>
        <v>0</v>
      </c>
      <c r="AD115" s="40">
        <f t="shared" si="29"/>
        <v>0</v>
      </c>
      <c r="AE115" s="38">
        <f t="shared" si="30"/>
        <v>0</v>
      </c>
      <c r="AF115" s="39">
        <f t="shared" si="31"/>
        <v>0</v>
      </c>
      <c r="AG115" s="40">
        <f t="shared" si="32"/>
        <v>0</v>
      </c>
      <c r="AH115" s="40">
        <f t="shared" si="33"/>
        <v>0</v>
      </c>
      <c r="AI115" s="40">
        <f t="shared" si="34"/>
        <v>0</v>
      </c>
      <c r="AJ115" s="40">
        <f t="shared" si="35"/>
        <v>0</v>
      </c>
      <c r="AK115" s="40">
        <f t="shared" si="36"/>
        <v>0</v>
      </c>
      <c r="AL115" s="40">
        <f t="shared" si="37"/>
        <v>0</v>
      </c>
      <c r="AM115" s="40">
        <f t="shared" si="38"/>
        <v>0</v>
      </c>
      <c r="AN115" s="40">
        <f t="shared" si="39"/>
        <v>0</v>
      </c>
      <c r="AO115" s="40">
        <f t="shared" si="40"/>
        <v>0</v>
      </c>
      <c r="AP115" s="40">
        <f t="shared" si="40"/>
        <v>0</v>
      </c>
      <c r="AQ115" s="40">
        <f t="shared" si="40"/>
        <v>0</v>
      </c>
    </row>
    <row r="116" spans="27:43">
      <c r="AA116" s="41">
        <f t="shared" si="42"/>
        <v>113</v>
      </c>
      <c r="AB116" s="38">
        <f t="shared" si="27"/>
        <v>0</v>
      </c>
      <c r="AC116" s="39">
        <f t="shared" si="28"/>
        <v>0</v>
      </c>
      <c r="AD116" s="40">
        <f t="shared" si="29"/>
        <v>0</v>
      </c>
      <c r="AE116" s="38">
        <f t="shared" si="30"/>
        <v>0</v>
      </c>
      <c r="AF116" s="39">
        <f t="shared" si="31"/>
        <v>0</v>
      </c>
      <c r="AG116" s="40">
        <f t="shared" si="32"/>
        <v>0</v>
      </c>
      <c r="AH116" s="40">
        <f t="shared" si="33"/>
        <v>0</v>
      </c>
      <c r="AI116" s="40">
        <f t="shared" si="34"/>
        <v>0</v>
      </c>
      <c r="AJ116" s="40">
        <f t="shared" si="35"/>
        <v>0</v>
      </c>
      <c r="AK116" s="40">
        <f t="shared" si="36"/>
        <v>0</v>
      </c>
      <c r="AL116" s="40">
        <f t="shared" si="37"/>
        <v>0</v>
      </c>
      <c r="AM116" s="40">
        <f t="shared" si="38"/>
        <v>0</v>
      </c>
      <c r="AN116" s="40">
        <f t="shared" si="39"/>
        <v>0</v>
      </c>
      <c r="AO116" s="40">
        <f t="shared" si="40"/>
        <v>0</v>
      </c>
      <c r="AP116" s="40">
        <f t="shared" si="40"/>
        <v>0</v>
      </c>
      <c r="AQ116" s="40">
        <f t="shared" si="40"/>
        <v>0</v>
      </c>
    </row>
    <row r="117" spans="27:43">
      <c r="AA117" s="41">
        <f t="shared" si="42"/>
        <v>114</v>
      </c>
      <c r="AB117" s="38">
        <f t="shared" si="27"/>
        <v>0</v>
      </c>
      <c r="AC117" s="39">
        <f t="shared" si="28"/>
        <v>0</v>
      </c>
      <c r="AD117" s="40">
        <f t="shared" si="29"/>
        <v>0</v>
      </c>
      <c r="AE117" s="38">
        <f t="shared" si="30"/>
        <v>0</v>
      </c>
      <c r="AF117" s="39">
        <f t="shared" si="31"/>
        <v>0</v>
      </c>
      <c r="AG117" s="40">
        <f t="shared" si="32"/>
        <v>0</v>
      </c>
      <c r="AH117" s="40">
        <f t="shared" si="33"/>
        <v>0</v>
      </c>
      <c r="AI117" s="40">
        <f t="shared" si="34"/>
        <v>0</v>
      </c>
      <c r="AJ117" s="40">
        <f t="shared" si="35"/>
        <v>0</v>
      </c>
      <c r="AK117" s="40">
        <f t="shared" si="36"/>
        <v>0</v>
      </c>
      <c r="AL117" s="40">
        <f t="shared" si="37"/>
        <v>0</v>
      </c>
      <c r="AM117" s="40">
        <f t="shared" si="38"/>
        <v>0</v>
      </c>
      <c r="AN117" s="40">
        <f t="shared" si="39"/>
        <v>0</v>
      </c>
      <c r="AO117" s="40">
        <f t="shared" si="40"/>
        <v>0</v>
      </c>
      <c r="AP117" s="40">
        <f t="shared" si="40"/>
        <v>0</v>
      </c>
      <c r="AQ117" s="40">
        <f t="shared" si="40"/>
        <v>0</v>
      </c>
    </row>
    <row r="118" spans="27:43">
      <c r="AA118" s="41">
        <f t="shared" si="42"/>
        <v>115</v>
      </c>
      <c r="AB118" s="38">
        <f t="shared" si="27"/>
        <v>0</v>
      </c>
      <c r="AC118" s="39">
        <f t="shared" si="28"/>
        <v>0</v>
      </c>
      <c r="AD118" s="40">
        <f t="shared" si="29"/>
        <v>0</v>
      </c>
      <c r="AE118" s="38">
        <f t="shared" si="30"/>
        <v>0</v>
      </c>
      <c r="AF118" s="39">
        <f t="shared" si="31"/>
        <v>0</v>
      </c>
      <c r="AG118" s="40">
        <f t="shared" si="32"/>
        <v>0</v>
      </c>
      <c r="AH118" s="40">
        <f t="shared" si="33"/>
        <v>0</v>
      </c>
      <c r="AI118" s="40">
        <f t="shared" si="34"/>
        <v>0</v>
      </c>
      <c r="AJ118" s="40">
        <f t="shared" si="35"/>
        <v>0</v>
      </c>
      <c r="AK118" s="40">
        <f t="shared" si="36"/>
        <v>0</v>
      </c>
      <c r="AL118" s="40">
        <f t="shared" si="37"/>
        <v>0</v>
      </c>
      <c r="AM118" s="40">
        <f t="shared" si="38"/>
        <v>0</v>
      </c>
      <c r="AN118" s="40">
        <f t="shared" si="39"/>
        <v>0</v>
      </c>
      <c r="AO118" s="40">
        <f t="shared" si="40"/>
        <v>0</v>
      </c>
      <c r="AP118" s="40">
        <f t="shared" si="40"/>
        <v>0</v>
      </c>
      <c r="AQ118" s="40">
        <f t="shared" si="40"/>
        <v>0</v>
      </c>
    </row>
    <row r="119" spans="27:43">
      <c r="AA119" s="41">
        <f t="shared" si="42"/>
        <v>116</v>
      </c>
      <c r="AB119" s="38">
        <f t="shared" si="27"/>
        <v>0</v>
      </c>
      <c r="AC119" s="39">
        <f t="shared" si="28"/>
        <v>0</v>
      </c>
      <c r="AD119" s="40">
        <f t="shared" si="29"/>
        <v>0</v>
      </c>
      <c r="AE119" s="38">
        <f t="shared" si="30"/>
        <v>0</v>
      </c>
      <c r="AF119" s="39">
        <f t="shared" si="31"/>
        <v>0</v>
      </c>
      <c r="AG119" s="40">
        <f t="shared" si="32"/>
        <v>0</v>
      </c>
      <c r="AH119" s="40">
        <f t="shared" si="33"/>
        <v>0</v>
      </c>
      <c r="AI119" s="40">
        <f t="shared" si="34"/>
        <v>0</v>
      </c>
      <c r="AJ119" s="40">
        <f t="shared" si="35"/>
        <v>0</v>
      </c>
      <c r="AK119" s="40">
        <f t="shared" si="36"/>
        <v>0</v>
      </c>
      <c r="AL119" s="40">
        <f t="shared" si="37"/>
        <v>0</v>
      </c>
      <c r="AM119" s="40">
        <f t="shared" si="38"/>
        <v>0</v>
      </c>
      <c r="AN119" s="40">
        <f t="shared" si="39"/>
        <v>0</v>
      </c>
      <c r="AO119" s="40">
        <f t="shared" si="40"/>
        <v>0</v>
      </c>
      <c r="AP119" s="40">
        <f t="shared" si="40"/>
        <v>0</v>
      </c>
      <c r="AQ119" s="40">
        <f t="shared" si="40"/>
        <v>0</v>
      </c>
    </row>
    <row r="120" spans="27:43">
      <c r="AA120" s="41">
        <f t="shared" si="42"/>
        <v>117</v>
      </c>
      <c r="AB120" s="38">
        <f t="shared" si="27"/>
        <v>0</v>
      </c>
      <c r="AC120" s="39">
        <f t="shared" si="28"/>
        <v>0</v>
      </c>
      <c r="AD120" s="40">
        <f t="shared" si="29"/>
        <v>0</v>
      </c>
      <c r="AE120" s="38">
        <f t="shared" si="30"/>
        <v>0</v>
      </c>
      <c r="AF120" s="39">
        <f t="shared" si="31"/>
        <v>0</v>
      </c>
      <c r="AG120" s="40">
        <f t="shared" si="32"/>
        <v>0</v>
      </c>
      <c r="AH120" s="40">
        <f t="shared" si="33"/>
        <v>0</v>
      </c>
      <c r="AI120" s="40">
        <f t="shared" si="34"/>
        <v>0</v>
      </c>
      <c r="AJ120" s="40">
        <f t="shared" si="35"/>
        <v>0</v>
      </c>
      <c r="AK120" s="40">
        <f t="shared" si="36"/>
        <v>0</v>
      </c>
      <c r="AL120" s="40">
        <f t="shared" si="37"/>
        <v>0</v>
      </c>
      <c r="AM120" s="40">
        <f t="shared" si="38"/>
        <v>0</v>
      </c>
      <c r="AN120" s="40">
        <f t="shared" si="39"/>
        <v>0</v>
      </c>
      <c r="AO120" s="40">
        <f t="shared" si="40"/>
        <v>0</v>
      </c>
      <c r="AP120" s="40">
        <f t="shared" si="40"/>
        <v>0</v>
      </c>
      <c r="AQ120" s="40">
        <f t="shared" si="40"/>
        <v>0</v>
      </c>
    </row>
    <row r="121" spans="27:43">
      <c r="AA121" s="41">
        <f t="shared" si="42"/>
        <v>118</v>
      </c>
      <c r="AB121" s="38">
        <f t="shared" si="27"/>
        <v>0</v>
      </c>
      <c r="AC121" s="39">
        <f t="shared" si="28"/>
        <v>0</v>
      </c>
      <c r="AD121" s="40">
        <f t="shared" si="29"/>
        <v>0</v>
      </c>
      <c r="AE121" s="38">
        <f t="shared" si="30"/>
        <v>0</v>
      </c>
      <c r="AF121" s="39">
        <f t="shared" si="31"/>
        <v>0</v>
      </c>
      <c r="AG121" s="40">
        <f t="shared" si="32"/>
        <v>0</v>
      </c>
      <c r="AH121" s="40">
        <f t="shared" si="33"/>
        <v>0</v>
      </c>
      <c r="AI121" s="40">
        <f t="shared" si="34"/>
        <v>0</v>
      </c>
      <c r="AJ121" s="40">
        <f t="shared" si="35"/>
        <v>0</v>
      </c>
      <c r="AK121" s="40">
        <f t="shared" si="36"/>
        <v>0</v>
      </c>
      <c r="AL121" s="40">
        <f t="shared" si="37"/>
        <v>0</v>
      </c>
      <c r="AM121" s="40">
        <f t="shared" si="38"/>
        <v>0</v>
      </c>
      <c r="AN121" s="40">
        <f t="shared" si="39"/>
        <v>0</v>
      </c>
      <c r="AO121" s="40">
        <f t="shared" si="40"/>
        <v>0</v>
      </c>
      <c r="AP121" s="40">
        <f t="shared" si="40"/>
        <v>0</v>
      </c>
      <c r="AQ121" s="40">
        <f t="shared" si="40"/>
        <v>0</v>
      </c>
    </row>
    <row r="122" spans="27:43">
      <c r="AA122" s="41">
        <f t="shared" si="42"/>
        <v>119</v>
      </c>
      <c r="AB122" s="38">
        <f t="shared" si="27"/>
        <v>0</v>
      </c>
      <c r="AC122" s="39">
        <f t="shared" si="28"/>
        <v>0</v>
      </c>
      <c r="AD122" s="40">
        <f t="shared" si="29"/>
        <v>0</v>
      </c>
      <c r="AE122" s="38">
        <f t="shared" si="30"/>
        <v>0</v>
      </c>
      <c r="AF122" s="39">
        <f t="shared" si="31"/>
        <v>0</v>
      </c>
      <c r="AG122" s="40">
        <f t="shared" si="32"/>
        <v>0</v>
      </c>
      <c r="AH122" s="40">
        <f t="shared" si="33"/>
        <v>0</v>
      </c>
      <c r="AI122" s="40">
        <f t="shared" si="34"/>
        <v>0</v>
      </c>
      <c r="AJ122" s="40">
        <f t="shared" si="35"/>
        <v>0</v>
      </c>
      <c r="AK122" s="40">
        <f t="shared" si="36"/>
        <v>0</v>
      </c>
      <c r="AL122" s="40">
        <f t="shared" si="37"/>
        <v>0</v>
      </c>
      <c r="AM122" s="40">
        <f t="shared" si="38"/>
        <v>0</v>
      </c>
      <c r="AN122" s="40">
        <f t="shared" si="39"/>
        <v>0</v>
      </c>
      <c r="AO122" s="40">
        <f t="shared" si="40"/>
        <v>0</v>
      </c>
      <c r="AP122" s="40">
        <f t="shared" si="40"/>
        <v>0</v>
      </c>
      <c r="AQ122" s="40">
        <f t="shared" si="40"/>
        <v>0</v>
      </c>
    </row>
    <row r="123" spans="27:43">
      <c r="AA123" s="41">
        <f t="shared" si="42"/>
        <v>120</v>
      </c>
      <c r="AB123" s="38">
        <f t="shared" si="27"/>
        <v>0</v>
      </c>
      <c r="AC123" s="39">
        <f t="shared" si="28"/>
        <v>0</v>
      </c>
      <c r="AD123" s="40">
        <f t="shared" si="29"/>
        <v>0</v>
      </c>
      <c r="AE123" s="38">
        <f t="shared" si="30"/>
        <v>0</v>
      </c>
      <c r="AF123" s="39">
        <f t="shared" si="31"/>
        <v>0</v>
      </c>
      <c r="AG123" s="40">
        <f t="shared" si="32"/>
        <v>0</v>
      </c>
      <c r="AH123" s="40">
        <f t="shared" si="33"/>
        <v>0</v>
      </c>
      <c r="AI123" s="40">
        <f t="shared" si="34"/>
        <v>0</v>
      </c>
      <c r="AJ123" s="40">
        <f t="shared" si="35"/>
        <v>0</v>
      </c>
      <c r="AK123" s="40">
        <f t="shared" si="36"/>
        <v>0</v>
      </c>
      <c r="AL123" s="40">
        <f t="shared" si="37"/>
        <v>0</v>
      </c>
      <c r="AM123" s="40">
        <f t="shared" si="38"/>
        <v>0</v>
      </c>
      <c r="AN123" s="40">
        <f t="shared" si="39"/>
        <v>0</v>
      </c>
      <c r="AO123" s="40">
        <f t="shared" si="40"/>
        <v>0</v>
      </c>
      <c r="AP123" s="40">
        <f t="shared" si="40"/>
        <v>0</v>
      </c>
      <c r="AQ123" s="40">
        <f t="shared" si="40"/>
        <v>0</v>
      </c>
    </row>
    <row r="124" spans="27:43">
      <c r="AA124" s="41">
        <f t="shared" si="42"/>
        <v>121</v>
      </c>
      <c r="AB124" s="38">
        <f t="shared" si="27"/>
        <v>0</v>
      </c>
      <c r="AC124" s="39">
        <f t="shared" si="28"/>
        <v>0</v>
      </c>
      <c r="AD124" s="40">
        <f t="shared" si="29"/>
        <v>0</v>
      </c>
      <c r="AE124" s="38">
        <f t="shared" si="30"/>
        <v>0</v>
      </c>
      <c r="AF124" s="39">
        <f t="shared" si="31"/>
        <v>0</v>
      </c>
      <c r="AG124" s="40">
        <f t="shared" si="32"/>
        <v>0</v>
      </c>
      <c r="AH124" s="40">
        <f t="shared" si="33"/>
        <v>0</v>
      </c>
      <c r="AI124" s="40">
        <f t="shared" si="34"/>
        <v>0</v>
      </c>
      <c r="AJ124" s="40">
        <f t="shared" si="35"/>
        <v>0</v>
      </c>
      <c r="AK124" s="40">
        <f t="shared" si="36"/>
        <v>0</v>
      </c>
      <c r="AL124" s="40">
        <f t="shared" si="37"/>
        <v>0</v>
      </c>
      <c r="AM124" s="40">
        <f t="shared" si="38"/>
        <v>0</v>
      </c>
      <c r="AN124" s="40">
        <f t="shared" si="39"/>
        <v>0</v>
      </c>
      <c r="AO124" s="40">
        <f t="shared" si="40"/>
        <v>0</v>
      </c>
      <c r="AP124" s="40">
        <f t="shared" si="40"/>
        <v>0</v>
      </c>
      <c r="AQ124" s="40">
        <f t="shared" si="40"/>
        <v>0</v>
      </c>
    </row>
    <row r="125" spans="27:43">
      <c r="AA125" s="41">
        <f t="shared" si="42"/>
        <v>122</v>
      </c>
      <c r="AB125" s="38">
        <f t="shared" si="27"/>
        <v>0</v>
      </c>
      <c r="AC125" s="39">
        <f t="shared" si="28"/>
        <v>0</v>
      </c>
      <c r="AD125" s="40">
        <f t="shared" si="29"/>
        <v>0</v>
      </c>
      <c r="AE125" s="38">
        <f t="shared" si="30"/>
        <v>0</v>
      </c>
      <c r="AF125" s="39">
        <f t="shared" si="31"/>
        <v>0</v>
      </c>
      <c r="AG125" s="40">
        <f t="shared" si="32"/>
        <v>0</v>
      </c>
      <c r="AH125" s="40">
        <f t="shared" si="33"/>
        <v>0</v>
      </c>
      <c r="AI125" s="40">
        <f t="shared" si="34"/>
        <v>0</v>
      </c>
      <c r="AJ125" s="40">
        <f t="shared" si="35"/>
        <v>0</v>
      </c>
      <c r="AK125" s="40">
        <f t="shared" si="36"/>
        <v>0</v>
      </c>
      <c r="AL125" s="40">
        <f t="shared" si="37"/>
        <v>0</v>
      </c>
      <c r="AM125" s="40">
        <f t="shared" si="38"/>
        <v>0</v>
      </c>
      <c r="AN125" s="40">
        <f t="shared" si="39"/>
        <v>0</v>
      </c>
      <c r="AO125" s="40">
        <f t="shared" si="40"/>
        <v>0</v>
      </c>
      <c r="AP125" s="40">
        <f t="shared" si="40"/>
        <v>0</v>
      </c>
      <c r="AQ125" s="40">
        <f t="shared" si="40"/>
        <v>0</v>
      </c>
    </row>
    <row r="126" spans="27:43">
      <c r="AA126" s="41">
        <f t="shared" si="42"/>
        <v>123</v>
      </c>
      <c r="AB126" s="38">
        <f t="shared" si="27"/>
        <v>0</v>
      </c>
      <c r="AC126" s="39">
        <f t="shared" si="28"/>
        <v>0</v>
      </c>
      <c r="AD126" s="40">
        <f t="shared" si="29"/>
        <v>0</v>
      </c>
      <c r="AE126" s="38">
        <f t="shared" si="30"/>
        <v>0</v>
      </c>
      <c r="AF126" s="39">
        <f t="shared" si="31"/>
        <v>0</v>
      </c>
      <c r="AG126" s="40">
        <f t="shared" si="32"/>
        <v>0</v>
      </c>
      <c r="AH126" s="40">
        <f t="shared" si="33"/>
        <v>0</v>
      </c>
      <c r="AI126" s="40">
        <f t="shared" si="34"/>
        <v>0</v>
      </c>
      <c r="AJ126" s="40">
        <f t="shared" si="35"/>
        <v>0</v>
      </c>
      <c r="AK126" s="40">
        <f t="shared" si="36"/>
        <v>0</v>
      </c>
      <c r="AL126" s="40">
        <f t="shared" si="37"/>
        <v>0</v>
      </c>
      <c r="AM126" s="40">
        <f t="shared" si="38"/>
        <v>0</v>
      </c>
      <c r="AN126" s="40">
        <f t="shared" si="39"/>
        <v>0</v>
      </c>
      <c r="AO126" s="40">
        <f t="shared" si="40"/>
        <v>0</v>
      </c>
      <c r="AP126" s="40">
        <f t="shared" si="40"/>
        <v>0</v>
      </c>
      <c r="AQ126" s="40">
        <f t="shared" si="40"/>
        <v>0</v>
      </c>
    </row>
    <row r="127" spans="27:43">
      <c r="AA127" s="41">
        <f t="shared" si="42"/>
        <v>124</v>
      </c>
      <c r="AB127" s="38">
        <f t="shared" si="27"/>
        <v>0</v>
      </c>
      <c r="AC127" s="39">
        <f t="shared" si="28"/>
        <v>0</v>
      </c>
      <c r="AD127" s="40">
        <f t="shared" si="29"/>
        <v>0</v>
      </c>
      <c r="AE127" s="38">
        <f t="shared" si="30"/>
        <v>0</v>
      </c>
      <c r="AF127" s="39">
        <f t="shared" si="31"/>
        <v>0</v>
      </c>
      <c r="AG127" s="40">
        <f t="shared" si="32"/>
        <v>0</v>
      </c>
      <c r="AH127" s="40">
        <f t="shared" si="33"/>
        <v>0</v>
      </c>
      <c r="AI127" s="40">
        <f t="shared" si="34"/>
        <v>0</v>
      </c>
      <c r="AJ127" s="40">
        <f t="shared" si="35"/>
        <v>0</v>
      </c>
      <c r="AK127" s="40">
        <f t="shared" si="36"/>
        <v>0</v>
      </c>
      <c r="AL127" s="40">
        <f t="shared" si="37"/>
        <v>0</v>
      </c>
      <c r="AM127" s="40">
        <f t="shared" si="38"/>
        <v>0</v>
      </c>
      <c r="AN127" s="40">
        <f t="shared" si="39"/>
        <v>0</v>
      </c>
      <c r="AO127" s="40">
        <f t="shared" si="40"/>
        <v>0</v>
      </c>
      <c r="AP127" s="40">
        <f t="shared" si="40"/>
        <v>0</v>
      </c>
      <c r="AQ127" s="40">
        <f t="shared" si="40"/>
        <v>0</v>
      </c>
    </row>
    <row r="128" spans="27:43">
      <c r="AA128" s="41">
        <f t="shared" si="42"/>
        <v>125</v>
      </c>
      <c r="AB128" s="38">
        <f t="shared" si="27"/>
        <v>0</v>
      </c>
      <c r="AC128" s="39">
        <f t="shared" si="28"/>
        <v>0</v>
      </c>
      <c r="AD128" s="40">
        <f t="shared" si="29"/>
        <v>0</v>
      </c>
      <c r="AE128" s="38">
        <f t="shared" si="30"/>
        <v>0</v>
      </c>
      <c r="AF128" s="39">
        <f t="shared" si="31"/>
        <v>0</v>
      </c>
      <c r="AG128" s="40">
        <f t="shared" si="32"/>
        <v>0</v>
      </c>
      <c r="AH128" s="40">
        <f t="shared" si="33"/>
        <v>0</v>
      </c>
      <c r="AI128" s="40">
        <f t="shared" si="34"/>
        <v>0</v>
      </c>
      <c r="AJ128" s="40">
        <f t="shared" si="35"/>
        <v>0</v>
      </c>
      <c r="AK128" s="40">
        <f t="shared" si="36"/>
        <v>0</v>
      </c>
      <c r="AL128" s="40">
        <f t="shared" si="37"/>
        <v>0</v>
      </c>
      <c r="AM128" s="40">
        <f t="shared" si="38"/>
        <v>0</v>
      </c>
      <c r="AN128" s="40">
        <f t="shared" si="39"/>
        <v>0</v>
      </c>
      <c r="AO128" s="40">
        <f t="shared" si="40"/>
        <v>0</v>
      </c>
      <c r="AP128" s="40">
        <f t="shared" si="40"/>
        <v>0</v>
      </c>
      <c r="AQ128" s="40">
        <f t="shared" si="40"/>
        <v>0</v>
      </c>
    </row>
    <row r="129" spans="27:43">
      <c r="AA129" s="41">
        <f t="shared" si="42"/>
        <v>126</v>
      </c>
      <c r="AB129" s="38">
        <f t="shared" si="27"/>
        <v>0</v>
      </c>
      <c r="AC129" s="39">
        <f t="shared" si="28"/>
        <v>0</v>
      </c>
      <c r="AD129" s="40">
        <f t="shared" si="29"/>
        <v>0</v>
      </c>
      <c r="AE129" s="38">
        <f t="shared" si="30"/>
        <v>0</v>
      </c>
      <c r="AF129" s="39">
        <f t="shared" si="31"/>
        <v>0</v>
      </c>
      <c r="AG129" s="40">
        <f t="shared" si="32"/>
        <v>0</v>
      </c>
      <c r="AH129" s="40">
        <f t="shared" si="33"/>
        <v>0</v>
      </c>
      <c r="AI129" s="40">
        <f t="shared" si="34"/>
        <v>0</v>
      </c>
      <c r="AJ129" s="40">
        <f t="shared" si="35"/>
        <v>0</v>
      </c>
      <c r="AK129" s="40">
        <f t="shared" si="36"/>
        <v>0</v>
      </c>
      <c r="AL129" s="40">
        <f t="shared" si="37"/>
        <v>0</v>
      </c>
      <c r="AM129" s="40">
        <f t="shared" si="38"/>
        <v>0</v>
      </c>
      <c r="AN129" s="40">
        <f t="shared" si="39"/>
        <v>0</v>
      </c>
      <c r="AO129" s="40">
        <f t="shared" si="40"/>
        <v>0</v>
      </c>
      <c r="AP129" s="40">
        <f t="shared" si="40"/>
        <v>0</v>
      </c>
      <c r="AQ129" s="40">
        <f t="shared" si="40"/>
        <v>0</v>
      </c>
    </row>
    <row r="130" spans="27:43">
      <c r="AA130" s="41">
        <f t="shared" si="42"/>
        <v>127</v>
      </c>
      <c r="AB130" s="38">
        <f t="shared" si="27"/>
        <v>0</v>
      </c>
      <c r="AC130" s="39">
        <f t="shared" si="28"/>
        <v>0</v>
      </c>
      <c r="AD130" s="40">
        <f t="shared" si="29"/>
        <v>0</v>
      </c>
      <c r="AE130" s="38">
        <f t="shared" si="30"/>
        <v>0</v>
      </c>
      <c r="AF130" s="39">
        <f t="shared" si="31"/>
        <v>0</v>
      </c>
      <c r="AG130" s="40">
        <f t="shared" si="32"/>
        <v>0</v>
      </c>
      <c r="AH130" s="40">
        <f t="shared" si="33"/>
        <v>0</v>
      </c>
      <c r="AI130" s="40">
        <f t="shared" si="34"/>
        <v>0</v>
      </c>
      <c r="AJ130" s="40">
        <f t="shared" si="35"/>
        <v>0</v>
      </c>
      <c r="AK130" s="40">
        <f t="shared" si="36"/>
        <v>0</v>
      </c>
      <c r="AL130" s="40">
        <f t="shared" si="37"/>
        <v>0</v>
      </c>
      <c r="AM130" s="40">
        <f t="shared" si="38"/>
        <v>0</v>
      </c>
      <c r="AN130" s="40">
        <f t="shared" si="39"/>
        <v>0</v>
      </c>
      <c r="AO130" s="40">
        <f t="shared" si="40"/>
        <v>0</v>
      </c>
      <c r="AP130" s="40">
        <f t="shared" si="40"/>
        <v>0</v>
      </c>
      <c r="AQ130" s="40">
        <f t="shared" si="40"/>
        <v>0</v>
      </c>
    </row>
    <row r="131" spans="27:43">
      <c r="AA131" s="41">
        <f t="shared" si="42"/>
        <v>128</v>
      </c>
      <c r="AB131" s="38">
        <f t="shared" si="27"/>
        <v>0</v>
      </c>
      <c r="AC131" s="39">
        <f t="shared" si="28"/>
        <v>0</v>
      </c>
      <c r="AD131" s="40">
        <f t="shared" si="29"/>
        <v>0</v>
      </c>
      <c r="AE131" s="38">
        <f t="shared" si="30"/>
        <v>0</v>
      </c>
      <c r="AF131" s="39">
        <f t="shared" si="31"/>
        <v>0</v>
      </c>
      <c r="AG131" s="40">
        <f t="shared" si="32"/>
        <v>0</v>
      </c>
      <c r="AH131" s="40">
        <f t="shared" si="33"/>
        <v>0</v>
      </c>
      <c r="AI131" s="40">
        <f t="shared" si="34"/>
        <v>0</v>
      </c>
      <c r="AJ131" s="40">
        <f t="shared" si="35"/>
        <v>0</v>
      </c>
      <c r="AK131" s="40">
        <f t="shared" si="36"/>
        <v>0</v>
      </c>
      <c r="AL131" s="40">
        <f t="shared" si="37"/>
        <v>0</v>
      </c>
      <c r="AM131" s="40">
        <f t="shared" si="38"/>
        <v>0</v>
      </c>
      <c r="AN131" s="40">
        <f t="shared" si="39"/>
        <v>0</v>
      </c>
      <c r="AO131" s="40">
        <f t="shared" si="40"/>
        <v>0</v>
      </c>
      <c r="AP131" s="40">
        <f t="shared" si="40"/>
        <v>0</v>
      </c>
      <c r="AQ131" s="40">
        <f t="shared" si="40"/>
        <v>0</v>
      </c>
    </row>
    <row r="132" spans="27:43">
      <c r="AA132" s="41">
        <f t="shared" si="42"/>
        <v>129</v>
      </c>
      <c r="AB132" s="38">
        <f t="shared" si="27"/>
        <v>0</v>
      </c>
      <c r="AC132" s="39">
        <f t="shared" si="28"/>
        <v>0</v>
      </c>
      <c r="AD132" s="40">
        <f t="shared" si="29"/>
        <v>0</v>
      </c>
      <c r="AE132" s="38">
        <f t="shared" si="30"/>
        <v>0</v>
      </c>
      <c r="AF132" s="39">
        <f t="shared" si="31"/>
        <v>0</v>
      </c>
      <c r="AG132" s="40">
        <f t="shared" si="32"/>
        <v>0</v>
      </c>
      <c r="AH132" s="40">
        <f t="shared" si="33"/>
        <v>0</v>
      </c>
      <c r="AI132" s="40">
        <f t="shared" si="34"/>
        <v>0</v>
      </c>
      <c r="AJ132" s="40">
        <f t="shared" si="35"/>
        <v>0</v>
      </c>
      <c r="AK132" s="40">
        <f t="shared" si="36"/>
        <v>0</v>
      </c>
      <c r="AL132" s="40">
        <f t="shared" si="37"/>
        <v>0</v>
      </c>
      <c r="AM132" s="40">
        <f t="shared" si="38"/>
        <v>0</v>
      </c>
      <c r="AN132" s="40">
        <f t="shared" si="39"/>
        <v>0</v>
      </c>
      <c r="AO132" s="40">
        <f t="shared" si="40"/>
        <v>0</v>
      </c>
      <c r="AP132" s="40">
        <f t="shared" si="40"/>
        <v>0</v>
      </c>
      <c r="AQ132" s="40">
        <f t="shared" si="40"/>
        <v>0</v>
      </c>
    </row>
    <row r="133" spans="27:43">
      <c r="AA133" s="41">
        <f t="shared" si="42"/>
        <v>130</v>
      </c>
      <c r="AB133" s="38">
        <f t="shared" ref="AB133:AE196" si="43">AB132</f>
        <v>0</v>
      </c>
      <c r="AC133" s="39">
        <f t="shared" si="43"/>
        <v>0</v>
      </c>
      <c r="AD133" s="40">
        <f t="shared" si="43"/>
        <v>0</v>
      </c>
      <c r="AE133" s="38">
        <f t="shared" si="43"/>
        <v>0</v>
      </c>
      <c r="AF133" s="39">
        <f t="shared" ref="AF133:AI196" si="44">AF132</f>
        <v>0</v>
      </c>
      <c r="AG133" s="40">
        <f t="shared" si="44"/>
        <v>0</v>
      </c>
      <c r="AH133" s="40">
        <f t="shared" si="44"/>
        <v>0</v>
      </c>
      <c r="AI133" s="40">
        <f t="shared" si="44"/>
        <v>0</v>
      </c>
      <c r="AJ133" s="40">
        <f t="shared" ref="AJ133:AM196" si="45">AJ132</f>
        <v>0</v>
      </c>
      <c r="AK133" s="40">
        <f t="shared" si="45"/>
        <v>0</v>
      </c>
      <c r="AL133" s="40">
        <f t="shared" si="45"/>
        <v>0</v>
      </c>
      <c r="AM133" s="40">
        <f t="shared" si="45"/>
        <v>0</v>
      </c>
      <c r="AN133" s="40">
        <f t="shared" ref="AN133:AQ196" si="46">AN132</f>
        <v>0</v>
      </c>
      <c r="AO133" s="40">
        <f t="shared" si="46"/>
        <v>0</v>
      </c>
      <c r="AP133" s="40">
        <f t="shared" si="46"/>
        <v>0</v>
      </c>
      <c r="AQ133" s="40">
        <f t="shared" si="46"/>
        <v>0</v>
      </c>
    </row>
    <row r="134" spans="27:43">
      <c r="AA134" s="41">
        <f t="shared" ref="AA134:AA197" si="47">AA133+1</f>
        <v>131</v>
      </c>
      <c r="AB134" s="38">
        <f t="shared" si="43"/>
        <v>0</v>
      </c>
      <c r="AC134" s="39">
        <f t="shared" si="43"/>
        <v>0</v>
      </c>
      <c r="AD134" s="40">
        <f t="shared" si="43"/>
        <v>0</v>
      </c>
      <c r="AE134" s="38">
        <f t="shared" si="43"/>
        <v>0</v>
      </c>
      <c r="AF134" s="39">
        <f t="shared" si="44"/>
        <v>0</v>
      </c>
      <c r="AG134" s="40">
        <f t="shared" si="44"/>
        <v>0</v>
      </c>
      <c r="AH134" s="40">
        <f t="shared" si="44"/>
        <v>0</v>
      </c>
      <c r="AI134" s="40">
        <f t="shared" si="44"/>
        <v>0</v>
      </c>
      <c r="AJ134" s="40">
        <f t="shared" si="45"/>
        <v>0</v>
      </c>
      <c r="AK134" s="40">
        <f t="shared" si="45"/>
        <v>0</v>
      </c>
      <c r="AL134" s="40">
        <f t="shared" si="45"/>
        <v>0</v>
      </c>
      <c r="AM134" s="40">
        <f t="shared" si="45"/>
        <v>0</v>
      </c>
      <c r="AN134" s="40">
        <f t="shared" si="46"/>
        <v>0</v>
      </c>
      <c r="AO134" s="40">
        <f t="shared" si="46"/>
        <v>0</v>
      </c>
      <c r="AP134" s="40">
        <f t="shared" si="46"/>
        <v>0</v>
      </c>
      <c r="AQ134" s="40">
        <f t="shared" si="46"/>
        <v>0</v>
      </c>
    </row>
    <row r="135" spans="27:43">
      <c r="AA135" s="41">
        <f t="shared" si="47"/>
        <v>132</v>
      </c>
      <c r="AB135" s="38">
        <f t="shared" si="43"/>
        <v>0</v>
      </c>
      <c r="AC135" s="39">
        <f t="shared" si="43"/>
        <v>0</v>
      </c>
      <c r="AD135" s="40">
        <f t="shared" si="43"/>
        <v>0</v>
      </c>
      <c r="AE135" s="38">
        <f t="shared" si="43"/>
        <v>0</v>
      </c>
      <c r="AF135" s="39">
        <f t="shared" si="44"/>
        <v>0</v>
      </c>
      <c r="AG135" s="40">
        <f t="shared" si="44"/>
        <v>0</v>
      </c>
      <c r="AH135" s="40">
        <f t="shared" si="44"/>
        <v>0</v>
      </c>
      <c r="AI135" s="40">
        <f t="shared" si="44"/>
        <v>0</v>
      </c>
      <c r="AJ135" s="40">
        <f t="shared" si="45"/>
        <v>0</v>
      </c>
      <c r="AK135" s="40">
        <f t="shared" si="45"/>
        <v>0</v>
      </c>
      <c r="AL135" s="40">
        <f t="shared" si="45"/>
        <v>0</v>
      </c>
      <c r="AM135" s="40">
        <f t="shared" si="45"/>
        <v>0</v>
      </c>
      <c r="AN135" s="40">
        <f t="shared" si="46"/>
        <v>0</v>
      </c>
      <c r="AO135" s="40">
        <f t="shared" si="46"/>
        <v>0</v>
      </c>
      <c r="AP135" s="40">
        <f t="shared" si="46"/>
        <v>0</v>
      </c>
      <c r="AQ135" s="40">
        <f t="shared" si="46"/>
        <v>0</v>
      </c>
    </row>
    <row r="136" spans="27:43">
      <c r="AA136" s="41">
        <f t="shared" si="47"/>
        <v>133</v>
      </c>
      <c r="AB136" s="38">
        <f t="shared" si="43"/>
        <v>0</v>
      </c>
      <c r="AC136" s="39">
        <f t="shared" si="43"/>
        <v>0</v>
      </c>
      <c r="AD136" s="40">
        <f t="shared" si="43"/>
        <v>0</v>
      </c>
      <c r="AE136" s="38">
        <f t="shared" si="43"/>
        <v>0</v>
      </c>
      <c r="AF136" s="39">
        <f t="shared" si="44"/>
        <v>0</v>
      </c>
      <c r="AG136" s="40">
        <f t="shared" si="44"/>
        <v>0</v>
      </c>
      <c r="AH136" s="40">
        <f t="shared" si="44"/>
        <v>0</v>
      </c>
      <c r="AI136" s="40">
        <f t="shared" si="44"/>
        <v>0</v>
      </c>
      <c r="AJ136" s="40">
        <f t="shared" si="45"/>
        <v>0</v>
      </c>
      <c r="AK136" s="40">
        <f t="shared" si="45"/>
        <v>0</v>
      </c>
      <c r="AL136" s="40">
        <f t="shared" si="45"/>
        <v>0</v>
      </c>
      <c r="AM136" s="40">
        <f t="shared" si="45"/>
        <v>0</v>
      </c>
      <c r="AN136" s="40">
        <f t="shared" si="46"/>
        <v>0</v>
      </c>
      <c r="AO136" s="40">
        <f t="shared" si="46"/>
        <v>0</v>
      </c>
      <c r="AP136" s="40">
        <f t="shared" si="46"/>
        <v>0</v>
      </c>
      <c r="AQ136" s="40">
        <f t="shared" si="46"/>
        <v>0</v>
      </c>
    </row>
    <row r="137" spans="27:43">
      <c r="AA137" s="41">
        <f t="shared" si="47"/>
        <v>134</v>
      </c>
      <c r="AB137" s="38">
        <f t="shared" si="43"/>
        <v>0</v>
      </c>
      <c r="AC137" s="39">
        <f t="shared" si="43"/>
        <v>0</v>
      </c>
      <c r="AD137" s="40">
        <f t="shared" si="43"/>
        <v>0</v>
      </c>
      <c r="AE137" s="38">
        <f t="shared" si="43"/>
        <v>0</v>
      </c>
      <c r="AF137" s="39">
        <f t="shared" si="44"/>
        <v>0</v>
      </c>
      <c r="AG137" s="40">
        <f t="shared" si="44"/>
        <v>0</v>
      </c>
      <c r="AH137" s="40">
        <f t="shared" si="44"/>
        <v>0</v>
      </c>
      <c r="AI137" s="40">
        <f t="shared" si="44"/>
        <v>0</v>
      </c>
      <c r="AJ137" s="40">
        <f t="shared" si="45"/>
        <v>0</v>
      </c>
      <c r="AK137" s="40">
        <f t="shared" si="45"/>
        <v>0</v>
      </c>
      <c r="AL137" s="40">
        <f t="shared" si="45"/>
        <v>0</v>
      </c>
      <c r="AM137" s="40">
        <f t="shared" si="45"/>
        <v>0</v>
      </c>
      <c r="AN137" s="40">
        <f t="shared" si="46"/>
        <v>0</v>
      </c>
      <c r="AO137" s="40">
        <f t="shared" si="46"/>
        <v>0</v>
      </c>
      <c r="AP137" s="40">
        <f t="shared" si="46"/>
        <v>0</v>
      </c>
      <c r="AQ137" s="40">
        <f t="shared" si="46"/>
        <v>0</v>
      </c>
    </row>
    <row r="138" spans="27:43">
      <c r="AA138" s="41">
        <f t="shared" si="47"/>
        <v>135</v>
      </c>
      <c r="AB138" s="38">
        <f t="shared" si="43"/>
        <v>0</v>
      </c>
      <c r="AC138" s="39">
        <f t="shared" si="43"/>
        <v>0</v>
      </c>
      <c r="AD138" s="40">
        <f t="shared" si="43"/>
        <v>0</v>
      </c>
      <c r="AE138" s="38">
        <f t="shared" si="43"/>
        <v>0</v>
      </c>
      <c r="AF138" s="39">
        <f t="shared" si="44"/>
        <v>0</v>
      </c>
      <c r="AG138" s="40">
        <f t="shared" si="44"/>
        <v>0</v>
      </c>
      <c r="AH138" s="40">
        <f t="shared" si="44"/>
        <v>0</v>
      </c>
      <c r="AI138" s="40">
        <f t="shared" si="44"/>
        <v>0</v>
      </c>
      <c r="AJ138" s="40">
        <f t="shared" si="45"/>
        <v>0</v>
      </c>
      <c r="AK138" s="40">
        <f t="shared" si="45"/>
        <v>0</v>
      </c>
      <c r="AL138" s="40">
        <f t="shared" si="45"/>
        <v>0</v>
      </c>
      <c r="AM138" s="40">
        <f t="shared" si="45"/>
        <v>0</v>
      </c>
      <c r="AN138" s="40">
        <f t="shared" si="46"/>
        <v>0</v>
      </c>
      <c r="AO138" s="40">
        <f t="shared" si="46"/>
        <v>0</v>
      </c>
      <c r="AP138" s="40">
        <f t="shared" si="46"/>
        <v>0</v>
      </c>
      <c r="AQ138" s="40">
        <f t="shared" si="46"/>
        <v>0</v>
      </c>
    </row>
    <row r="139" spans="27:43">
      <c r="AA139" s="41">
        <f t="shared" si="47"/>
        <v>136</v>
      </c>
      <c r="AB139" s="38">
        <f t="shared" si="43"/>
        <v>0</v>
      </c>
      <c r="AC139" s="39">
        <f t="shared" si="43"/>
        <v>0</v>
      </c>
      <c r="AD139" s="40">
        <f t="shared" si="43"/>
        <v>0</v>
      </c>
      <c r="AE139" s="38">
        <f t="shared" si="43"/>
        <v>0</v>
      </c>
      <c r="AF139" s="39">
        <f t="shared" si="44"/>
        <v>0</v>
      </c>
      <c r="AG139" s="40">
        <f t="shared" si="44"/>
        <v>0</v>
      </c>
      <c r="AH139" s="40">
        <f t="shared" si="44"/>
        <v>0</v>
      </c>
      <c r="AI139" s="40">
        <f t="shared" si="44"/>
        <v>0</v>
      </c>
      <c r="AJ139" s="40">
        <f t="shared" si="45"/>
        <v>0</v>
      </c>
      <c r="AK139" s="40">
        <f t="shared" si="45"/>
        <v>0</v>
      </c>
      <c r="AL139" s="40">
        <f t="shared" si="45"/>
        <v>0</v>
      </c>
      <c r="AM139" s="40">
        <f t="shared" si="45"/>
        <v>0</v>
      </c>
      <c r="AN139" s="40">
        <f t="shared" si="46"/>
        <v>0</v>
      </c>
      <c r="AO139" s="40">
        <f t="shared" si="46"/>
        <v>0</v>
      </c>
      <c r="AP139" s="40">
        <f t="shared" si="46"/>
        <v>0</v>
      </c>
      <c r="AQ139" s="40">
        <f t="shared" si="46"/>
        <v>0</v>
      </c>
    </row>
    <row r="140" spans="27:43">
      <c r="AA140" s="41">
        <f t="shared" si="47"/>
        <v>137</v>
      </c>
      <c r="AB140" s="38">
        <f t="shared" si="43"/>
        <v>0</v>
      </c>
      <c r="AC140" s="39">
        <f t="shared" si="43"/>
        <v>0</v>
      </c>
      <c r="AD140" s="40">
        <f t="shared" si="43"/>
        <v>0</v>
      </c>
      <c r="AE140" s="38">
        <f t="shared" si="43"/>
        <v>0</v>
      </c>
      <c r="AF140" s="39">
        <f t="shared" si="44"/>
        <v>0</v>
      </c>
      <c r="AG140" s="40">
        <f t="shared" si="44"/>
        <v>0</v>
      </c>
      <c r="AH140" s="40">
        <f t="shared" si="44"/>
        <v>0</v>
      </c>
      <c r="AI140" s="40">
        <f t="shared" si="44"/>
        <v>0</v>
      </c>
      <c r="AJ140" s="40">
        <f t="shared" si="45"/>
        <v>0</v>
      </c>
      <c r="AK140" s="40">
        <f t="shared" si="45"/>
        <v>0</v>
      </c>
      <c r="AL140" s="40">
        <f t="shared" si="45"/>
        <v>0</v>
      </c>
      <c r="AM140" s="40">
        <f t="shared" si="45"/>
        <v>0</v>
      </c>
      <c r="AN140" s="40">
        <f t="shared" si="46"/>
        <v>0</v>
      </c>
      <c r="AO140" s="40">
        <f t="shared" si="46"/>
        <v>0</v>
      </c>
      <c r="AP140" s="40">
        <f t="shared" si="46"/>
        <v>0</v>
      </c>
      <c r="AQ140" s="40">
        <f t="shared" si="46"/>
        <v>0</v>
      </c>
    </row>
    <row r="141" spans="27:43">
      <c r="AA141" s="41">
        <f t="shared" si="47"/>
        <v>138</v>
      </c>
      <c r="AB141" s="38">
        <f t="shared" si="43"/>
        <v>0</v>
      </c>
      <c r="AC141" s="39">
        <f t="shared" si="43"/>
        <v>0</v>
      </c>
      <c r="AD141" s="40">
        <f t="shared" si="43"/>
        <v>0</v>
      </c>
      <c r="AE141" s="38">
        <f t="shared" si="43"/>
        <v>0</v>
      </c>
      <c r="AF141" s="39">
        <f t="shared" si="44"/>
        <v>0</v>
      </c>
      <c r="AG141" s="40">
        <f t="shared" si="44"/>
        <v>0</v>
      </c>
      <c r="AH141" s="40">
        <f t="shared" si="44"/>
        <v>0</v>
      </c>
      <c r="AI141" s="40">
        <f t="shared" si="44"/>
        <v>0</v>
      </c>
      <c r="AJ141" s="40">
        <f t="shared" si="45"/>
        <v>0</v>
      </c>
      <c r="AK141" s="40">
        <f t="shared" si="45"/>
        <v>0</v>
      </c>
      <c r="AL141" s="40">
        <f t="shared" si="45"/>
        <v>0</v>
      </c>
      <c r="AM141" s="40">
        <f t="shared" si="45"/>
        <v>0</v>
      </c>
      <c r="AN141" s="40">
        <f t="shared" si="46"/>
        <v>0</v>
      </c>
      <c r="AO141" s="40">
        <f t="shared" si="46"/>
        <v>0</v>
      </c>
      <c r="AP141" s="40">
        <f t="shared" si="46"/>
        <v>0</v>
      </c>
      <c r="AQ141" s="40">
        <f t="shared" si="46"/>
        <v>0</v>
      </c>
    </row>
    <row r="142" spans="27:43">
      <c r="AA142" s="41">
        <f t="shared" si="47"/>
        <v>139</v>
      </c>
      <c r="AB142" s="38">
        <f t="shared" si="43"/>
        <v>0</v>
      </c>
      <c r="AC142" s="39">
        <f t="shared" si="43"/>
        <v>0</v>
      </c>
      <c r="AD142" s="40">
        <f t="shared" si="43"/>
        <v>0</v>
      </c>
      <c r="AE142" s="38">
        <f t="shared" si="43"/>
        <v>0</v>
      </c>
      <c r="AF142" s="39">
        <f t="shared" si="44"/>
        <v>0</v>
      </c>
      <c r="AG142" s="40">
        <f t="shared" si="44"/>
        <v>0</v>
      </c>
      <c r="AH142" s="40">
        <f t="shared" si="44"/>
        <v>0</v>
      </c>
      <c r="AI142" s="40">
        <f t="shared" si="44"/>
        <v>0</v>
      </c>
      <c r="AJ142" s="40">
        <f t="shared" si="45"/>
        <v>0</v>
      </c>
      <c r="AK142" s="40">
        <f t="shared" si="45"/>
        <v>0</v>
      </c>
      <c r="AL142" s="40">
        <f t="shared" si="45"/>
        <v>0</v>
      </c>
      <c r="AM142" s="40">
        <f t="shared" si="45"/>
        <v>0</v>
      </c>
      <c r="AN142" s="40">
        <f t="shared" si="46"/>
        <v>0</v>
      </c>
      <c r="AO142" s="40">
        <f t="shared" si="46"/>
        <v>0</v>
      </c>
      <c r="AP142" s="40">
        <f t="shared" si="46"/>
        <v>0</v>
      </c>
      <c r="AQ142" s="40">
        <f t="shared" si="46"/>
        <v>0</v>
      </c>
    </row>
    <row r="143" spans="27:43">
      <c r="AA143" s="41">
        <f t="shared" si="47"/>
        <v>140</v>
      </c>
      <c r="AB143" s="38">
        <f t="shared" si="43"/>
        <v>0</v>
      </c>
      <c r="AC143" s="39">
        <f t="shared" si="43"/>
        <v>0</v>
      </c>
      <c r="AD143" s="40">
        <f t="shared" si="43"/>
        <v>0</v>
      </c>
      <c r="AE143" s="38">
        <f t="shared" si="43"/>
        <v>0</v>
      </c>
      <c r="AF143" s="39">
        <f t="shared" si="44"/>
        <v>0</v>
      </c>
      <c r="AG143" s="40">
        <f t="shared" si="44"/>
        <v>0</v>
      </c>
      <c r="AH143" s="40">
        <f t="shared" si="44"/>
        <v>0</v>
      </c>
      <c r="AI143" s="40">
        <f t="shared" si="44"/>
        <v>0</v>
      </c>
      <c r="AJ143" s="40">
        <f t="shared" si="45"/>
        <v>0</v>
      </c>
      <c r="AK143" s="40">
        <f t="shared" si="45"/>
        <v>0</v>
      </c>
      <c r="AL143" s="40">
        <f t="shared" si="45"/>
        <v>0</v>
      </c>
      <c r="AM143" s="40">
        <f t="shared" si="45"/>
        <v>0</v>
      </c>
      <c r="AN143" s="40">
        <f t="shared" si="46"/>
        <v>0</v>
      </c>
      <c r="AO143" s="40">
        <f t="shared" si="46"/>
        <v>0</v>
      </c>
      <c r="AP143" s="40">
        <f t="shared" si="46"/>
        <v>0</v>
      </c>
      <c r="AQ143" s="40">
        <f t="shared" si="46"/>
        <v>0</v>
      </c>
    </row>
    <row r="144" spans="27:43">
      <c r="AA144" s="41">
        <f t="shared" si="47"/>
        <v>141</v>
      </c>
      <c r="AB144" s="38">
        <f t="shared" si="43"/>
        <v>0</v>
      </c>
      <c r="AC144" s="39">
        <f t="shared" si="43"/>
        <v>0</v>
      </c>
      <c r="AD144" s="40">
        <f t="shared" si="43"/>
        <v>0</v>
      </c>
      <c r="AE144" s="38">
        <f t="shared" si="43"/>
        <v>0</v>
      </c>
      <c r="AF144" s="39">
        <f t="shared" si="44"/>
        <v>0</v>
      </c>
      <c r="AG144" s="40">
        <f t="shared" si="44"/>
        <v>0</v>
      </c>
      <c r="AH144" s="40">
        <f t="shared" si="44"/>
        <v>0</v>
      </c>
      <c r="AI144" s="40">
        <f t="shared" si="44"/>
        <v>0</v>
      </c>
      <c r="AJ144" s="40">
        <f t="shared" si="45"/>
        <v>0</v>
      </c>
      <c r="AK144" s="40">
        <f t="shared" si="45"/>
        <v>0</v>
      </c>
      <c r="AL144" s="40">
        <f t="shared" si="45"/>
        <v>0</v>
      </c>
      <c r="AM144" s="40">
        <f t="shared" si="45"/>
        <v>0</v>
      </c>
      <c r="AN144" s="40">
        <f t="shared" si="46"/>
        <v>0</v>
      </c>
      <c r="AO144" s="40">
        <f t="shared" si="46"/>
        <v>0</v>
      </c>
      <c r="AP144" s="40">
        <f t="shared" si="46"/>
        <v>0</v>
      </c>
      <c r="AQ144" s="40">
        <f t="shared" si="46"/>
        <v>0</v>
      </c>
    </row>
    <row r="145" spans="27:43">
      <c r="AA145" s="41">
        <f t="shared" si="47"/>
        <v>142</v>
      </c>
      <c r="AB145" s="38">
        <f t="shared" si="43"/>
        <v>0</v>
      </c>
      <c r="AC145" s="39">
        <f t="shared" si="43"/>
        <v>0</v>
      </c>
      <c r="AD145" s="40">
        <f t="shared" si="43"/>
        <v>0</v>
      </c>
      <c r="AE145" s="38">
        <f t="shared" si="43"/>
        <v>0</v>
      </c>
      <c r="AF145" s="39">
        <f t="shared" si="44"/>
        <v>0</v>
      </c>
      <c r="AG145" s="40">
        <f t="shared" si="44"/>
        <v>0</v>
      </c>
      <c r="AH145" s="40">
        <f t="shared" si="44"/>
        <v>0</v>
      </c>
      <c r="AI145" s="40">
        <f t="shared" si="44"/>
        <v>0</v>
      </c>
      <c r="AJ145" s="40">
        <f t="shared" si="45"/>
        <v>0</v>
      </c>
      <c r="AK145" s="40">
        <f t="shared" si="45"/>
        <v>0</v>
      </c>
      <c r="AL145" s="40">
        <f t="shared" si="45"/>
        <v>0</v>
      </c>
      <c r="AM145" s="40">
        <f t="shared" si="45"/>
        <v>0</v>
      </c>
      <c r="AN145" s="40">
        <f t="shared" si="46"/>
        <v>0</v>
      </c>
      <c r="AO145" s="40">
        <f t="shared" si="46"/>
        <v>0</v>
      </c>
      <c r="AP145" s="40">
        <f t="shared" si="46"/>
        <v>0</v>
      </c>
      <c r="AQ145" s="40">
        <f t="shared" si="46"/>
        <v>0</v>
      </c>
    </row>
    <row r="146" spans="27:43">
      <c r="AA146" s="41">
        <f t="shared" si="47"/>
        <v>143</v>
      </c>
      <c r="AB146" s="38">
        <f t="shared" si="43"/>
        <v>0</v>
      </c>
      <c r="AC146" s="39">
        <f t="shared" si="43"/>
        <v>0</v>
      </c>
      <c r="AD146" s="40">
        <f t="shared" si="43"/>
        <v>0</v>
      </c>
      <c r="AE146" s="38">
        <f t="shared" si="43"/>
        <v>0</v>
      </c>
      <c r="AF146" s="39">
        <f t="shared" si="44"/>
        <v>0</v>
      </c>
      <c r="AG146" s="40">
        <f t="shared" si="44"/>
        <v>0</v>
      </c>
      <c r="AH146" s="40">
        <f t="shared" si="44"/>
        <v>0</v>
      </c>
      <c r="AI146" s="40">
        <f t="shared" si="44"/>
        <v>0</v>
      </c>
      <c r="AJ146" s="40">
        <f t="shared" si="45"/>
        <v>0</v>
      </c>
      <c r="AK146" s="40">
        <f t="shared" si="45"/>
        <v>0</v>
      </c>
      <c r="AL146" s="40">
        <f t="shared" si="45"/>
        <v>0</v>
      </c>
      <c r="AM146" s="40">
        <f t="shared" si="45"/>
        <v>0</v>
      </c>
      <c r="AN146" s="40">
        <f t="shared" si="46"/>
        <v>0</v>
      </c>
      <c r="AO146" s="40">
        <f t="shared" si="46"/>
        <v>0</v>
      </c>
      <c r="AP146" s="40">
        <f t="shared" si="46"/>
        <v>0</v>
      </c>
      <c r="AQ146" s="40">
        <f t="shared" si="46"/>
        <v>0</v>
      </c>
    </row>
    <row r="147" spans="27:43">
      <c r="AA147" s="41">
        <f t="shared" si="47"/>
        <v>144</v>
      </c>
      <c r="AB147" s="38">
        <f t="shared" si="43"/>
        <v>0</v>
      </c>
      <c r="AC147" s="39">
        <f t="shared" si="43"/>
        <v>0</v>
      </c>
      <c r="AD147" s="40">
        <f t="shared" si="43"/>
        <v>0</v>
      </c>
      <c r="AE147" s="38">
        <f t="shared" si="43"/>
        <v>0</v>
      </c>
      <c r="AF147" s="39">
        <f t="shared" si="44"/>
        <v>0</v>
      </c>
      <c r="AG147" s="40">
        <f t="shared" si="44"/>
        <v>0</v>
      </c>
      <c r="AH147" s="40">
        <f t="shared" si="44"/>
        <v>0</v>
      </c>
      <c r="AI147" s="40">
        <f t="shared" si="44"/>
        <v>0</v>
      </c>
      <c r="AJ147" s="40">
        <f t="shared" si="45"/>
        <v>0</v>
      </c>
      <c r="AK147" s="40">
        <f t="shared" si="45"/>
        <v>0</v>
      </c>
      <c r="AL147" s="40">
        <f t="shared" si="45"/>
        <v>0</v>
      </c>
      <c r="AM147" s="40">
        <f t="shared" si="45"/>
        <v>0</v>
      </c>
      <c r="AN147" s="40">
        <f t="shared" si="46"/>
        <v>0</v>
      </c>
      <c r="AO147" s="40">
        <f t="shared" si="46"/>
        <v>0</v>
      </c>
      <c r="AP147" s="40">
        <f t="shared" si="46"/>
        <v>0</v>
      </c>
      <c r="AQ147" s="40">
        <f t="shared" si="46"/>
        <v>0</v>
      </c>
    </row>
    <row r="148" spans="27:43">
      <c r="AA148" s="41">
        <f t="shared" si="47"/>
        <v>145</v>
      </c>
      <c r="AB148" s="38">
        <f t="shared" si="43"/>
        <v>0</v>
      </c>
      <c r="AC148" s="39">
        <f t="shared" si="43"/>
        <v>0</v>
      </c>
      <c r="AD148" s="40">
        <f t="shared" si="43"/>
        <v>0</v>
      </c>
      <c r="AE148" s="38">
        <f t="shared" si="43"/>
        <v>0</v>
      </c>
      <c r="AF148" s="39">
        <f t="shared" si="44"/>
        <v>0</v>
      </c>
      <c r="AG148" s="40">
        <f t="shared" si="44"/>
        <v>0</v>
      </c>
      <c r="AH148" s="40">
        <f t="shared" si="44"/>
        <v>0</v>
      </c>
      <c r="AI148" s="40">
        <f t="shared" si="44"/>
        <v>0</v>
      </c>
      <c r="AJ148" s="40">
        <f t="shared" si="45"/>
        <v>0</v>
      </c>
      <c r="AK148" s="40">
        <f t="shared" si="45"/>
        <v>0</v>
      </c>
      <c r="AL148" s="40">
        <f t="shared" si="45"/>
        <v>0</v>
      </c>
      <c r="AM148" s="40">
        <f t="shared" si="45"/>
        <v>0</v>
      </c>
      <c r="AN148" s="40">
        <f t="shared" si="46"/>
        <v>0</v>
      </c>
      <c r="AO148" s="40">
        <f t="shared" si="46"/>
        <v>0</v>
      </c>
      <c r="AP148" s="40">
        <f t="shared" si="46"/>
        <v>0</v>
      </c>
      <c r="AQ148" s="40">
        <f t="shared" si="46"/>
        <v>0</v>
      </c>
    </row>
    <row r="149" spans="27:43">
      <c r="AA149" s="41">
        <f t="shared" si="47"/>
        <v>146</v>
      </c>
      <c r="AB149" s="38">
        <f t="shared" si="43"/>
        <v>0</v>
      </c>
      <c r="AC149" s="39">
        <f t="shared" si="43"/>
        <v>0</v>
      </c>
      <c r="AD149" s="40">
        <f t="shared" si="43"/>
        <v>0</v>
      </c>
      <c r="AE149" s="38">
        <f t="shared" si="43"/>
        <v>0</v>
      </c>
      <c r="AF149" s="39">
        <f t="shared" si="44"/>
        <v>0</v>
      </c>
      <c r="AG149" s="40">
        <f t="shared" si="44"/>
        <v>0</v>
      </c>
      <c r="AH149" s="40">
        <f t="shared" si="44"/>
        <v>0</v>
      </c>
      <c r="AI149" s="40">
        <f t="shared" si="44"/>
        <v>0</v>
      </c>
      <c r="AJ149" s="40">
        <f t="shared" si="45"/>
        <v>0</v>
      </c>
      <c r="AK149" s="40">
        <f t="shared" si="45"/>
        <v>0</v>
      </c>
      <c r="AL149" s="40">
        <f t="shared" si="45"/>
        <v>0</v>
      </c>
      <c r="AM149" s="40">
        <f t="shared" si="45"/>
        <v>0</v>
      </c>
      <c r="AN149" s="40">
        <f t="shared" si="46"/>
        <v>0</v>
      </c>
      <c r="AO149" s="40">
        <f t="shared" si="46"/>
        <v>0</v>
      </c>
      <c r="AP149" s="40">
        <f t="shared" si="46"/>
        <v>0</v>
      </c>
      <c r="AQ149" s="40">
        <f t="shared" si="46"/>
        <v>0</v>
      </c>
    </row>
    <row r="150" spans="27:43">
      <c r="AA150" s="41">
        <f t="shared" si="47"/>
        <v>147</v>
      </c>
      <c r="AB150" s="38">
        <f t="shared" si="43"/>
        <v>0</v>
      </c>
      <c r="AC150" s="39">
        <f t="shared" si="43"/>
        <v>0</v>
      </c>
      <c r="AD150" s="40">
        <f t="shared" si="43"/>
        <v>0</v>
      </c>
      <c r="AE150" s="38">
        <f t="shared" si="43"/>
        <v>0</v>
      </c>
      <c r="AF150" s="39">
        <f t="shared" si="44"/>
        <v>0</v>
      </c>
      <c r="AG150" s="40">
        <f t="shared" si="44"/>
        <v>0</v>
      </c>
      <c r="AH150" s="40">
        <f t="shared" si="44"/>
        <v>0</v>
      </c>
      <c r="AI150" s="40">
        <f t="shared" si="44"/>
        <v>0</v>
      </c>
      <c r="AJ150" s="40">
        <f t="shared" si="45"/>
        <v>0</v>
      </c>
      <c r="AK150" s="40">
        <f t="shared" si="45"/>
        <v>0</v>
      </c>
      <c r="AL150" s="40">
        <f t="shared" si="45"/>
        <v>0</v>
      </c>
      <c r="AM150" s="40">
        <f t="shared" si="45"/>
        <v>0</v>
      </c>
      <c r="AN150" s="40">
        <f t="shared" si="46"/>
        <v>0</v>
      </c>
      <c r="AO150" s="40">
        <f t="shared" si="46"/>
        <v>0</v>
      </c>
      <c r="AP150" s="40">
        <f t="shared" si="46"/>
        <v>0</v>
      </c>
      <c r="AQ150" s="40">
        <f t="shared" si="46"/>
        <v>0</v>
      </c>
    </row>
    <row r="151" spans="27:43">
      <c r="AA151" s="41">
        <f t="shared" si="47"/>
        <v>148</v>
      </c>
      <c r="AB151" s="38">
        <f t="shared" si="43"/>
        <v>0</v>
      </c>
      <c r="AC151" s="39">
        <f t="shared" si="43"/>
        <v>0</v>
      </c>
      <c r="AD151" s="40">
        <f t="shared" si="43"/>
        <v>0</v>
      </c>
      <c r="AE151" s="38">
        <f t="shared" si="43"/>
        <v>0</v>
      </c>
      <c r="AF151" s="39">
        <f t="shared" si="44"/>
        <v>0</v>
      </c>
      <c r="AG151" s="40">
        <f t="shared" si="44"/>
        <v>0</v>
      </c>
      <c r="AH151" s="40">
        <f t="shared" si="44"/>
        <v>0</v>
      </c>
      <c r="AI151" s="40">
        <f t="shared" si="44"/>
        <v>0</v>
      </c>
      <c r="AJ151" s="40">
        <f t="shared" si="45"/>
        <v>0</v>
      </c>
      <c r="AK151" s="40">
        <f t="shared" si="45"/>
        <v>0</v>
      </c>
      <c r="AL151" s="40">
        <f t="shared" si="45"/>
        <v>0</v>
      </c>
      <c r="AM151" s="40">
        <f t="shared" si="45"/>
        <v>0</v>
      </c>
      <c r="AN151" s="40">
        <f t="shared" si="46"/>
        <v>0</v>
      </c>
      <c r="AO151" s="40">
        <f t="shared" si="46"/>
        <v>0</v>
      </c>
      <c r="AP151" s="40">
        <f t="shared" si="46"/>
        <v>0</v>
      </c>
      <c r="AQ151" s="40">
        <f t="shared" si="46"/>
        <v>0</v>
      </c>
    </row>
    <row r="152" spans="27:43">
      <c r="AA152" s="41">
        <f t="shared" si="47"/>
        <v>149</v>
      </c>
      <c r="AB152" s="38">
        <f t="shared" si="43"/>
        <v>0</v>
      </c>
      <c r="AC152" s="39">
        <f t="shared" si="43"/>
        <v>0</v>
      </c>
      <c r="AD152" s="40">
        <f t="shared" si="43"/>
        <v>0</v>
      </c>
      <c r="AE152" s="38">
        <f t="shared" si="43"/>
        <v>0</v>
      </c>
      <c r="AF152" s="39">
        <f t="shared" si="44"/>
        <v>0</v>
      </c>
      <c r="AG152" s="40">
        <f t="shared" si="44"/>
        <v>0</v>
      </c>
      <c r="AH152" s="40">
        <f t="shared" si="44"/>
        <v>0</v>
      </c>
      <c r="AI152" s="40">
        <f t="shared" si="44"/>
        <v>0</v>
      </c>
      <c r="AJ152" s="40">
        <f t="shared" si="45"/>
        <v>0</v>
      </c>
      <c r="AK152" s="40">
        <f t="shared" si="45"/>
        <v>0</v>
      </c>
      <c r="AL152" s="40">
        <f t="shared" si="45"/>
        <v>0</v>
      </c>
      <c r="AM152" s="40">
        <f t="shared" si="45"/>
        <v>0</v>
      </c>
      <c r="AN152" s="40">
        <f t="shared" si="46"/>
        <v>0</v>
      </c>
      <c r="AO152" s="40">
        <f t="shared" si="46"/>
        <v>0</v>
      </c>
      <c r="AP152" s="40">
        <f t="shared" si="46"/>
        <v>0</v>
      </c>
      <c r="AQ152" s="40">
        <f t="shared" si="46"/>
        <v>0</v>
      </c>
    </row>
    <row r="153" spans="27:43">
      <c r="AA153" s="41">
        <f t="shared" si="47"/>
        <v>150</v>
      </c>
      <c r="AB153" s="38">
        <f t="shared" si="43"/>
        <v>0</v>
      </c>
      <c r="AC153" s="39">
        <f t="shared" si="43"/>
        <v>0</v>
      </c>
      <c r="AD153" s="40">
        <f t="shared" si="43"/>
        <v>0</v>
      </c>
      <c r="AE153" s="38">
        <f t="shared" si="43"/>
        <v>0</v>
      </c>
      <c r="AF153" s="39">
        <f t="shared" si="44"/>
        <v>0</v>
      </c>
      <c r="AG153" s="40">
        <f t="shared" si="44"/>
        <v>0</v>
      </c>
      <c r="AH153" s="40">
        <f t="shared" si="44"/>
        <v>0</v>
      </c>
      <c r="AI153" s="40">
        <f t="shared" si="44"/>
        <v>0</v>
      </c>
      <c r="AJ153" s="40">
        <f t="shared" si="45"/>
        <v>0</v>
      </c>
      <c r="AK153" s="40">
        <f t="shared" si="45"/>
        <v>0</v>
      </c>
      <c r="AL153" s="40">
        <f t="shared" si="45"/>
        <v>0</v>
      </c>
      <c r="AM153" s="40">
        <f t="shared" si="45"/>
        <v>0</v>
      </c>
      <c r="AN153" s="40">
        <f t="shared" si="46"/>
        <v>0</v>
      </c>
      <c r="AO153" s="40">
        <f t="shared" si="46"/>
        <v>0</v>
      </c>
      <c r="AP153" s="40">
        <f t="shared" si="46"/>
        <v>0</v>
      </c>
      <c r="AQ153" s="40">
        <f t="shared" si="46"/>
        <v>0</v>
      </c>
    </row>
    <row r="154" spans="27:43">
      <c r="AA154" s="41">
        <f t="shared" si="47"/>
        <v>151</v>
      </c>
      <c r="AB154" s="38">
        <f t="shared" si="43"/>
        <v>0</v>
      </c>
      <c r="AC154" s="39">
        <f t="shared" si="43"/>
        <v>0</v>
      </c>
      <c r="AD154" s="40">
        <f t="shared" si="43"/>
        <v>0</v>
      </c>
      <c r="AE154" s="38">
        <f t="shared" si="43"/>
        <v>0</v>
      </c>
      <c r="AF154" s="39">
        <f t="shared" si="44"/>
        <v>0</v>
      </c>
      <c r="AG154" s="40">
        <f t="shared" si="44"/>
        <v>0</v>
      </c>
      <c r="AH154" s="40">
        <f t="shared" si="44"/>
        <v>0</v>
      </c>
      <c r="AI154" s="40">
        <f t="shared" si="44"/>
        <v>0</v>
      </c>
      <c r="AJ154" s="40">
        <f t="shared" si="45"/>
        <v>0</v>
      </c>
      <c r="AK154" s="40">
        <f t="shared" si="45"/>
        <v>0</v>
      </c>
      <c r="AL154" s="40">
        <f t="shared" si="45"/>
        <v>0</v>
      </c>
      <c r="AM154" s="40">
        <f t="shared" si="45"/>
        <v>0</v>
      </c>
      <c r="AN154" s="40">
        <f t="shared" si="46"/>
        <v>0</v>
      </c>
      <c r="AO154" s="40">
        <f t="shared" si="46"/>
        <v>0</v>
      </c>
      <c r="AP154" s="40">
        <f t="shared" si="46"/>
        <v>0</v>
      </c>
      <c r="AQ154" s="40">
        <f t="shared" si="46"/>
        <v>0</v>
      </c>
    </row>
    <row r="155" spans="27:43">
      <c r="AA155" s="41">
        <f t="shared" si="47"/>
        <v>152</v>
      </c>
      <c r="AB155" s="38">
        <f t="shared" si="43"/>
        <v>0</v>
      </c>
      <c r="AC155" s="39">
        <f t="shared" si="43"/>
        <v>0</v>
      </c>
      <c r="AD155" s="40">
        <f t="shared" si="43"/>
        <v>0</v>
      </c>
      <c r="AE155" s="38">
        <f t="shared" si="43"/>
        <v>0</v>
      </c>
      <c r="AF155" s="39">
        <f t="shared" si="44"/>
        <v>0</v>
      </c>
      <c r="AG155" s="40">
        <f t="shared" si="44"/>
        <v>0</v>
      </c>
      <c r="AH155" s="40">
        <f t="shared" si="44"/>
        <v>0</v>
      </c>
      <c r="AI155" s="40">
        <f t="shared" si="44"/>
        <v>0</v>
      </c>
      <c r="AJ155" s="40">
        <f t="shared" si="45"/>
        <v>0</v>
      </c>
      <c r="AK155" s="40">
        <f t="shared" si="45"/>
        <v>0</v>
      </c>
      <c r="AL155" s="40">
        <f t="shared" si="45"/>
        <v>0</v>
      </c>
      <c r="AM155" s="40">
        <f t="shared" si="45"/>
        <v>0</v>
      </c>
      <c r="AN155" s="40">
        <f t="shared" si="46"/>
        <v>0</v>
      </c>
      <c r="AO155" s="40">
        <f t="shared" si="46"/>
        <v>0</v>
      </c>
      <c r="AP155" s="40">
        <f t="shared" si="46"/>
        <v>0</v>
      </c>
      <c r="AQ155" s="40">
        <f t="shared" si="46"/>
        <v>0</v>
      </c>
    </row>
    <row r="156" spans="27:43">
      <c r="AA156" s="41">
        <f t="shared" si="47"/>
        <v>153</v>
      </c>
      <c r="AB156" s="38">
        <f t="shared" si="43"/>
        <v>0</v>
      </c>
      <c r="AC156" s="39">
        <f t="shared" si="43"/>
        <v>0</v>
      </c>
      <c r="AD156" s="40">
        <f t="shared" si="43"/>
        <v>0</v>
      </c>
      <c r="AE156" s="38">
        <f t="shared" si="43"/>
        <v>0</v>
      </c>
      <c r="AF156" s="39">
        <f t="shared" si="44"/>
        <v>0</v>
      </c>
      <c r="AG156" s="40">
        <f t="shared" si="44"/>
        <v>0</v>
      </c>
      <c r="AH156" s="40">
        <f t="shared" si="44"/>
        <v>0</v>
      </c>
      <c r="AI156" s="40">
        <f t="shared" si="44"/>
        <v>0</v>
      </c>
      <c r="AJ156" s="40">
        <f t="shared" si="45"/>
        <v>0</v>
      </c>
      <c r="AK156" s="40">
        <f t="shared" si="45"/>
        <v>0</v>
      </c>
      <c r="AL156" s="40">
        <f t="shared" si="45"/>
        <v>0</v>
      </c>
      <c r="AM156" s="40">
        <f t="shared" si="45"/>
        <v>0</v>
      </c>
      <c r="AN156" s="40">
        <f t="shared" si="46"/>
        <v>0</v>
      </c>
      <c r="AO156" s="40">
        <f t="shared" si="46"/>
        <v>0</v>
      </c>
      <c r="AP156" s="40">
        <f t="shared" si="46"/>
        <v>0</v>
      </c>
      <c r="AQ156" s="40">
        <f t="shared" si="46"/>
        <v>0</v>
      </c>
    </row>
    <row r="157" spans="27:43">
      <c r="AA157" s="41">
        <f t="shared" si="47"/>
        <v>154</v>
      </c>
      <c r="AB157" s="38">
        <f t="shared" si="43"/>
        <v>0</v>
      </c>
      <c r="AC157" s="39">
        <f t="shared" si="43"/>
        <v>0</v>
      </c>
      <c r="AD157" s="40">
        <f t="shared" si="43"/>
        <v>0</v>
      </c>
      <c r="AE157" s="38">
        <f t="shared" si="43"/>
        <v>0</v>
      </c>
      <c r="AF157" s="39">
        <f t="shared" si="44"/>
        <v>0</v>
      </c>
      <c r="AG157" s="40">
        <f t="shared" si="44"/>
        <v>0</v>
      </c>
      <c r="AH157" s="40">
        <f t="shared" si="44"/>
        <v>0</v>
      </c>
      <c r="AI157" s="40">
        <f t="shared" si="44"/>
        <v>0</v>
      </c>
      <c r="AJ157" s="40">
        <f t="shared" si="45"/>
        <v>0</v>
      </c>
      <c r="AK157" s="40">
        <f t="shared" si="45"/>
        <v>0</v>
      </c>
      <c r="AL157" s="40">
        <f t="shared" si="45"/>
        <v>0</v>
      </c>
      <c r="AM157" s="40">
        <f t="shared" si="45"/>
        <v>0</v>
      </c>
      <c r="AN157" s="40">
        <f t="shared" si="46"/>
        <v>0</v>
      </c>
      <c r="AO157" s="40">
        <f t="shared" si="46"/>
        <v>0</v>
      </c>
      <c r="AP157" s="40">
        <f t="shared" si="46"/>
        <v>0</v>
      </c>
      <c r="AQ157" s="40">
        <f t="shared" si="46"/>
        <v>0</v>
      </c>
    </row>
    <row r="158" spans="27:43">
      <c r="AA158" s="41">
        <f t="shared" si="47"/>
        <v>155</v>
      </c>
      <c r="AB158" s="38">
        <f t="shared" si="43"/>
        <v>0</v>
      </c>
      <c r="AC158" s="39">
        <f t="shared" si="43"/>
        <v>0</v>
      </c>
      <c r="AD158" s="40">
        <f t="shared" si="43"/>
        <v>0</v>
      </c>
      <c r="AE158" s="38">
        <f t="shared" si="43"/>
        <v>0</v>
      </c>
      <c r="AF158" s="39">
        <f t="shared" si="44"/>
        <v>0</v>
      </c>
      <c r="AG158" s="40">
        <f t="shared" si="44"/>
        <v>0</v>
      </c>
      <c r="AH158" s="40">
        <f t="shared" si="44"/>
        <v>0</v>
      </c>
      <c r="AI158" s="40">
        <f t="shared" si="44"/>
        <v>0</v>
      </c>
      <c r="AJ158" s="40">
        <f t="shared" si="45"/>
        <v>0</v>
      </c>
      <c r="AK158" s="40">
        <f t="shared" si="45"/>
        <v>0</v>
      </c>
      <c r="AL158" s="40">
        <f t="shared" si="45"/>
        <v>0</v>
      </c>
      <c r="AM158" s="40">
        <f t="shared" si="45"/>
        <v>0</v>
      </c>
      <c r="AN158" s="40">
        <f t="shared" si="46"/>
        <v>0</v>
      </c>
      <c r="AO158" s="40">
        <f t="shared" si="46"/>
        <v>0</v>
      </c>
      <c r="AP158" s="40">
        <f t="shared" si="46"/>
        <v>0</v>
      </c>
      <c r="AQ158" s="40">
        <f t="shared" si="46"/>
        <v>0</v>
      </c>
    </row>
    <row r="159" spans="27:43">
      <c r="AA159" s="41">
        <f t="shared" si="47"/>
        <v>156</v>
      </c>
      <c r="AB159" s="38">
        <f t="shared" si="43"/>
        <v>0</v>
      </c>
      <c r="AC159" s="39">
        <f t="shared" si="43"/>
        <v>0</v>
      </c>
      <c r="AD159" s="40">
        <f t="shared" si="43"/>
        <v>0</v>
      </c>
      <c r="AE159" s="38">
        <f t="shared" si="43"/>
        <v>0</v>
      </c>
      <c r="AF159" s="39">
        <f t="shared" si="44"/>
        <v>0</v>
      </c>
      <c r="AG159" s="40">
        <f t="shared" si="44"/>
        <v>0</v>
      </c>
      <c r="AH159" s="40">
        <f t="shared" si="44"/>
        <v>0</v>
      </c>
      <c r="AI159" s="40">
        <f t="shared" si="44"/>
        <v>0</v>
      </c>
      <c r="AJ159" s="40">
        <f t="shared" si="45"/>
        <v>0</v>
      </c>
      <c r="AK159" s="40">
        <f t="shared" si="45"/>
        <v>0</v>
      </c>
      <c r="AL159" s="40">
        <f t="shared" si="45"/>
        <v>0</v>
      </c>
      <c r="AM159" s="40">
        <f t="shared" si="45"/>
        <v>0</v>
      </c>
      <c r="AN159" s="40">
        <f t="shared" si="46"/>
        <v>0</v>
      </c>
      <c r="AO159" s="40">
        <f t="shared" si="46"/>
        <v>0</v>
      </c>
      <c r="AP159" s="40">
        <f t="shared" si="46"/>
        <v>0</v>
      </c>
      <c r="AQ159" s="40">
        <f t="shared" si="46"/>
        <v>0</v>
      </c>
    </row>
    <row r="160" spans="27:43">
      <c r="AA160" s="41">
        <f t="shared" si="47"/>
        <v>157</v>
      </c>
      <c r="AB160" s="38">
        <f t="shared" si="43"/>
        <v>0</v>
      </c>
      <c r="AC160" s="39">
        <f t="shared" si="43"/>
        <v>0</v>
      </c>
      <c r="AD160" s="40">
        <f t="shared" si="43"/>
        <v>0</v>
      </c>
      <c r="AE160" s="38">
        <f t="shared" si="43"/>
        <v>0</v>
      </c>
      <c r="AF160" s="39">
        <f t="shared" si="44"/>
        <v>0</v>
      </c>
      <c r="AG160" s="40">
        <f t="shared" si="44"/>
        <v>0</v>
      </c>
      <c r="AH160" s="40">
        <f t="shared" si="44"/>
        <v>0</v>
      </c>
      <c r="AI160" s="40">
        <f t="shared" si="44"/>
        <v>0</v>
      </c>
      <c r="AJ160" s="40">
        <f t="shared" si="45"/>
        <v>0</v>
      </c>
      <c r="AK160" s="40">
        <f t="shared" si="45"/>
        <v>0</v>
      </c>
      <c r="AL160" s="40">
        <f t="shared" si="45"/>
        <v>0</v>
      </c>
      <c r="AM160" s="40">
        <f t="shared" si="45"/>
        <v>0</v>
      </c>
      <c r="AN160" s="40">
        <f t="shared" si="46"/>
        <v>0</v>
      </c>
      <c r="AO160" s="40">
        <f t="shared" si="46"/>
        <v>0</v>
      </c>
      <c r="AP160" s="40">
        <f t="shared" si="46"/>
        <v>0</v>
      </c>
      <c r="AQ160" s="40">
        <f t="shared" si="46"/>
        <v>0</v>
      </c>
    </row>
    <row r="161" spans="27:43">
      <c r="AA161" s="41">
        <f t="shared" si="47"/>
        <v>158</v>
      </c>
      <c r="AB161" s="38">
        <f t="shared" si="43"/>
        <v>0</v>
      </c>
      <c r="AC161" s="39">
        <f t="shared" si="43"/>
        <v>0</v>
      </c>
      <c r="AD161" s="40">
        <f t="shared" si="43"/>
        <v>0</v>
      </c>
      <c r="AE161" s="38">
        <f t="shared" si="43"/>
        <v>0</v>
      </c>
      <c r="AF161" s="39">
        <f t="shared" si="44"/>
        <v>0</v>
      </c>
      <c r="AG161" s="40">
        <f t="shared" si="44"/>
        <v>0</v>
      </c>
      <c r="AH161" s="40">
        <f t="shared" si="44"/>
        <v>0</v>
      </c>
      <c r="AI161" s="40">
        <f t="shared" si="44"/>
        <v>0</v>
      </c>
      <c r="AJ161" s="40">
        <f t="shared" si="45"/>
        <v>0</v>
      </c>
      <c r="AK161" s="40">
        <f t="shared" si="45"/>
        <v>0</v>
      </c>
      <c r="AL161" s="40">
        <f t="shared" si="45"/>
        <v>0</v>
      </c>
      <c r="AM161" s="40">
        <f t="shared" si="45"/>
        <v>0</v>
      </c>
      <c r="AN161" s="40">
        <f t="shared" si="46"/>
        <v>0</v>
      </c>
      <c r="AO161" s="40">
        <f t="shared" si="46"/>
        <v>0</v>
      </c>
      <c r="AP161" s="40">
        <f t="shared" si="46"/>
        <v>0</v>
      </c>
      <c r="AQ161" s="40">
        <f t="shared" si="46"/>
        <v>0</v>
      </c>
    </row>
    <row r="162" spans="27:43">
      <c r="AA162" s="41">
        <f t="shared" si="47"/>
        <v>159</v>
      </c>
      <c r="AB162" s="38">
        <f t="shared" si="43"/>
        <v>0</v>
      </c>
      <c r="AC162" s="39">
        <f t="shared" si="43"/>
        <v>0</v>
      </c>
      <c r="AD162" s="40">
        <f t="shared" si="43"/>
        <v>0</v>
      </c>
      <c r="AE162" s="38">
        <f t="shared" si="43"/>
        <v>0</v>
      </c>
      <c r="AF162" s="39">
        <f t="shared" si="44"/>
        <v>0</v>
      </c>
      <c r="AG162" s="40">
        <f t="shared" si="44"/>
        <v>0</v>
      </c>
      <c r="AH162" s="40">
        <f t="shared" si="44"/>
        <v>0</v>
      </c>
      <c r="AI162" s="40">
        <f t="shared" si="44"/>
        <v>0</v>
      </c>
      <c r="AJ162" s="40">
        <f t="shared" si="45"/>
        <v>0</v>
      </c>
      <c r="AK162" s="40">
        <f t="shared" si="45"/>
        <v>0</v>
      </c>
      <c r="AL162" s="40">
        <f t="shared" si="45"/>
        <v>0</v>
      </c>
      <c r="AM162" s="40">
        <f t="shared" si="45"/>
        <v>0</v>
      </c>
      <c r="AN162" s="40">
        <f t="shared" si="46"/>
        <v>0</v>
      </c>
      <c r="AO162" s="40">
        <f t="shared" si="46"/>
        <v>0</v>
      </c>
      <c r="AP162" s="40">
        <f t="shared" si="46"/>
        <v>0</v>
      </c>
      <c r="AQ162" s="40">
        <f t="shared" si="46"/>
        <v>0</v>
      </c>
    </row>
    <row r="163" spans="27:43">
      <c r="AA163" s="41">
        <f t="shared" si="47"/>
        <v>160</v>
      </c>
      <c r="AB163" s="38">
        <f t="shared" si="43"/>
        <v>0</v>
      </c>
      <c r="AC163" s="39">
        <f t="shared" si="43"/>
        <v>0</v>
      </c>
      <c r="AD163" s="40">
        <f t="shared" si="43"/>
        <v>0</v>
      </c>
      <c r="AE163" s="38">
        <f t="shared" si="43"/>
        <v>0</v>
      </c>
      <c r="AF163" s="39">
        <f t="shared" si="44"/>
        <v>0</v>
      </c>
      <c r="AG163" s="40">
        <f t="shared" si="44"/>
        <v>0</v>
      </c>
      <c r="AH163" s="40">
        <f t="shared" si="44"/>
        <v>0</v>
      </c>
      <c r="AI163" s="40">
        <f t="shared" si="44"/>
        <v>0</v>
      </c>
      <c r="AJ163" s="40">
        <f t="shared" si="45"/>
        <v>0</v>
      </c>
      <c r="AK163" s="40">
        <f t="shared" si="45"/>
        <v>0</v>
      </c>
      <c r="AL163" s="40">
        <f t="shared" si="45"/>
        <v>0</v>
      </c>
      <c r="AM163" s="40">
        <f t="shared" si="45"/>
        <v>0</v>
      </c>
      <c r="AN163" s="40">
        <f t="shared" si="46"/>
        <v>0</v>
      </c>
      <c r="AO163" s="40">
        <f t="shared" si="46"/>
        <v>0</v>
      </c>
      <c r="AP163" s="40">
        <f t="shared" si="46"/>
        <v>0</v>
      </c>
      <c r="AQ163" s="40">
        <f t="shared" si="46"/>
        <v>0</v>
      </c>
    </row>
    <row r="164" spans="27:43">
      <c r="AA164" s="41">
        <f t="shared" si="47"/>
        <v>161</v>
      </c>
      <c r="AB164" s="38">
        <f t="shared" si="43"/>
        <v>0</v>
      </c>
      <c r="AC164" s="39">
        <f t="shared" si="43"/>
        <v>0</v>
      </c>
      <c r="AD164" s="40">
        <f t="shared" si="43"/>
        <v>0</v>
      </c>
      <c r="AE164" s="38">
        <f t="shared" si="43"/>
        <v>0</v>
      </c>
      <c r="AF164" s="39">
        <f t="shared" si="44"/>
        <v>0</v>
      </c>
      <c r="AG164" s="40">
        <f t="shared" si="44"/>
        <v>0</v>
      </c>
      <c r="AH164" s="40">
        <f t="shared" si="44"/>
        <v>0</v>
      </c>
      <c r="AI164" s="40">
        <f t="shared" si="44"/>
        <v>0</v>
      </c>
      <c r="AJ164" s="40">
        <f t="shared" si="45"/>
        <v>0</v>
      </c>
      <c r="AK164" s="40">
        <f t="shared" si="45"/>
        <v>0</v>
      </c>
      <c r="AL164" s="40">
        <f t="shared" si="45"/>
        <v>0</v>
      </c>
      <c r="AM164" s="40">
        <f t="shared" si="45"/>
        <v>0</v>
      </c>
      <c r="AN164" s="40">
        <f t="shared" si="46"/>
        <v>0</v>
      </c>
      <c r="AO164" s="40">
        <f t="shared" si="46"/>
        <v>0</v>
      </c>
      <c r="AP164" s="40">
        <f t="shared" si="46"/>
        <v>0</v>
      </c>
      <c r="AQ164" s="40">
        <f t="shared" si="46"/>
        <v>0</v>
      </c>
    </row>
    <row r="165" spans="27:43">
      <c r="AA165" s="41">
        <f t="shared" si="47"/>
        <v>162</v>
      </c>
      <c r="AB165" s="38">
        <f t="shared" si="43"/>
        <v>0</v>
      </c>
      <c r="AC165" s="39">
        <f t="shared" si="43"/>
        <v>0</v>
      </c>
      <c r="AD165" s="40">
        <f t="shared" si="43"/>
        <v>0</v>
      </c>
      <c r="AE165" s="38">
        <f t="shared" si="43"/>
        <v>0</v>
      </c>
      <c r="AF165" s="39">
        <f t="shared" si="44"/>
        <v>0</v>
      </c>
      <c r="AG165" s="40">
        <f t="shared" si="44"/>
        <v>0</v>
      </c>
      <c r="AH165" s="40">
        <f t="shared" si="44"/>
        <v>0</v>
      </c>
      <c r="AI165" s="40">
        <f t="shared" si="44"/>
        <v>0</v>
      </c>
      <c r="AJ165" s="40">
        <f t="shared" si="45"/>
        <v>0</v>
      </c>
      <c r="AK165" s="40">
        <f t="shared" si="45"/>
        <v>0</v>
      </c>
      <c r="AL165" s="40">
        <f t="shared" si="45"/>
        <v>0</v>
      </c>
      <c r="AM165" s="40">
        <f t="shared" si="45"/>
        <v>0</v>
      </c>
      <c r="AN165" s="40">
        <f t="shared" si="46"/>
        <v>0</v>
      </c>
      <c r="AO165" s="40">
        <f t="shared" si="46"/>
        <v>0</v>
      </c>
      <c r="AP165" s="40">
        <f t="shared" si="46"/>
        <v>0</v>
      </c>
      <c r="AQ165" s="40">
        <f t="shared" si="46"/>
        <v>0</v>
      </c>
    </row>
    <row r="166" spans="27:43">
      <c r="AA166" s="41">
        <f t="shared" si="47"/>
        <v>163</v>
      </c>
      <c r="AB166" s="38">
        <f t="shared" si="43"/>
        <v>0</v>
      </c>
      <c r="AC166" s="39">
        <f t="shared" si="43"/>
        <v>0</v>
      </c>
      <c r="AD166" s="40">
        <f t="shared" si="43"/>
        <v>0</v>
      </c>
      <c r="AE166" s="38">
        <f t="shared" si="43"/>
        <v>0</v>
      </c>
      <c r="AF166" s="39">
        <f t="shared" si="44"/>
        <v>0</v>
      </c>
      <c r="AG166" s="40">
        <f t="shared" si="44"/>
        <v>0</v>
      </c>
      <c r="AH166" s="40">
        <f t="shared" si="44"/>
        <v>0</v>
      </c>
      <c r="AI166" s="40">
        <f t="shared" si="44"/>
        <v>0</v>
      </c>
      <c r="AJ166" s="40">
        <f t="shared" si="45"/>
        <v>0</v>
      </c>
      <c r="AK166" s="40">
        <f t="shared" si="45"/>
        <v>0</v>
      </c>
      <c r="AL166" s="40">
        <f t="shared" si="45"/>
        <v>0</v>
      </c>
      <c r="AM166" s="40">
        <f t="shared" si="45"/>
        <v>0</v>
      </c>
      <c r="AN166" s="40">
        <f t="shared" si="46"/>
        <v>0</v>
      </c>
      <c r="AO166" s="40">
        <f t="shared" si="46"/>
        <v>0</v>
      </c>
      <c r="AP166" s="40">
        <f t="shared" si="46"/>
        <v>0</v>
      </c>
      <c r="AQ166" s="40">
        <f t="shared" si="46"/>
        <v>0</v>
      </c>
    </row>
    <row r="167" spans="27:43">
      <c r="AA167" s="41">
        <f t="shared" si="47"/>
        <v>164</v>
      </c>
      <c r="AB167" s="38">
        <f t="shared" si="43"/>
        <v>0</v>
      </c>
      <c r="AC167" s="39">
        <f t="shared" si="43"/>
        <v>0</v>
      </c>
      <c r="AD167" s="40">
        <f t="shared" si="43"/>
        <v>0</v>
      </c>
      <c r="AE167" s="38">
        <f t="shared" si="43"/>
        <v>0</v>
      </c>
      <c r="AF167" s="39">
        <f t="shared" si="44"/>
        <v>0</v>
      </c>
      <c r="AG167" s="40">
        <f t="shared" si="44"/>
        <v>0</v>
      </c>
      <c r="AH167" s="40">
        <f t="shared" si="44"/>
        <v>0</v>
      </c>
      <c r="AI167" s="40">
        <f t="shared" si="44"/>
        <v>0</v>
      </c>
      <c r="AJ167" s="40">
        <f t="shared" si="45"/>
        <v>0</v>
      </c>
      <c r="AK167" s="40">
        <f t="shared" si="45"/>
        <v>0</v>
      </c>
      <c r="AL167" s="40">
        <f t="shared" si="45"/>
        <v>0</v>
      </c>
      <c r="AM167" s="40">
        <f t="shared" si="45"/>
        <v>0</v>
      </c>
      <c r="AN167" s="40">
        <f t="shared" si="46"/>
        <v>0</v>
      </c>
      <c r="AO167" s="40">
        <f t="shared" si="46"/>
        <v>0</v>
      </c>
      <c r="AP167" s="40">
        <f t="shared" si="46"/>
        <v>0</v>
      </c>
      <c r="AQ167" s="40">
        <f t="shared" si="46"/>
        <v>0</v>
      </c>
    </row>
    <row r="168" spans="27:43">
      <c r="AA168" s="41">
        <f t="shared" si="47"/>
        <v>165</v>
      </c>
      <c r="AB168" s="38">
        <f t="shared" si="43"/>
        <v>0</v>
      </c>
      <c r="AC168" s="39">
        <f t="shared" si="43"/>
        <v>0</v>
      </c>
      <c r="AD168" s="40">
        <f t="shared" si="43"/>
        <v>0</v>
      </c>
      <c r="AE168" s="38">
        <f t="shared" si="43"/>
        <v>0</v>
      </c>
      <c r="AF168" s="39">
        <f t="shared" si="44"/>
        <v>0</v>
      </c>
      <c r="AG168" s="40">
        <f t="shared" si="44"/>
        <v>0</v>
      </c>
      <c r="AH168" s="40">
        <f t="shared" si="44"/>
        <v>0</v>
      </c>
      <c r="AI168" s="40">
        <f t="shared" si="44"/>
        <v>0</v>
      </c>
      <c r="AJ168" s="40">
        <f t="shared" si="45"/>
        <v>0</v>
      </c>
      <c r="AK168" s="40">
        <f t="shared" si="45"/>
        <v>0</v>
      </c>
      <c r="AL168" s="40">
        <f t="shared" si="45"/>
        <v>0</v>
      </c>
      <c r="AM168" s="40">
        <f t="shared" si="45"/>
        <v>0</v>
      </c>
      <c r="AN168" s="40">
        <f t="shared" si="46"/>
        <v>0</v>
      </c>
      <c r="AO168" s="40">
        <f t="shared" si="46"/>
        <v>0</v>
      </c>
      <c r="AP168" s="40">
        <f t="shared" si="46"/>
        <v>0</v>
      </c>
      <c r="AQ168" s="40">
        <f t="shared" si="46"/>
        <v>0</v>
      </c>
    </row>
    <row r="169" spans="27:43">
      <c r="AA169" s="41">
        <f t="shared" si="47"/>
        <v>166</v>
      </c>
      <c r="AB169" s="38">
        <f t="shared" si="43"/>
        <v>0</v>
      </c>
      <c r="AC169" s="39">
        <f t="shared" si="43"/>
        <v>0</v>
      </c>
      <c r="AD169" s="40">
        <f t="shared" si="43"/>
        <v>0</v>
      </c>
      <c r="AE169" s="38">
        <f t="shared" si="43"/>
        <v>0</v>
      </c>
      <c r="AF169" s="39">
        <f t="shared" si="44"/>
        <v>0</v>
      </c>
      <c r="AG169" s="40">
        <f t="shared" si="44"/>
        <v>0</v>
      </c>
      <c r="AH169" s="40">
        <f t="shared" si="44"/>
        <v>0</v>
      </c>
      <c r="AI169" s="40">
        <f t="shared" si="44"/>
        <v>0</v>
      </c>
      <c r="AJ169" s="40">
        <f t="shared" si="45"/>
        <v>0</v>
      </c>
      <c r="AK169" s="40">
        <f t="shared" si="45"/>
        <v>0</v>
      </c>
      <c r="AL169" s="40">
        <f t="shared" si="45"/>
        <v>0</v>
      </c>
      <c r="AM169" s="40">
        <f t="shared" si="45"/>
        <v>0</v>
      </c>
      <c r="AN169" s="40">
        <f t="shared" si="46"/>
        <v>0</v>
      </c>
      <c r="AO169" s="40">
        <f t="shared" si="46"/>
        <v>0</v>
      </c>
      <c r="AP169" s="40">
        <f t="shared" si="46"/>
        <v>0</v>
      </c>
      <c r="AQ169" s="40">
        <f t="shared" si="46"/>
        <v>0</v>
      </c>
    </row>
    <row r="170" spans="27:43">
      <c r="AA170" s="41">
        <f t="shared" si="47"/>
        <v>167</v>
      </c>
      <c r="AB170" s="38">
        <f t="shared" si="43"/>
        <v>0</v>
      </c>
      <c r="AC170" s="39">
        <f t="shared" si="43"/>
        <v>0</v>
      </c>
      <c r="AD170" s="40">
        <f t="shared" si="43"/>
        <v>0</v>
      </c>
      <c r="AE170" s="38">
        <f t="shared" si="43"/>
        <v>0</v>
      </c>
      <c r="AF170" s="39">
        <f t="shared" si="44"/>
        <v>0</v>
      </c>
      <c r="AG170" s="40">
        <f t="shared" si="44"/>
        <v>0</v>
      </c>
      <c r="AH170" s="40">
        <f t="shared" si="44"/>
        <v>0</v>
      </c>
      <c r="AI170" s="40">
        <f t="shared" si="44"/>
        <v>0</v>
      </c>
      <c r="AJ170" s="40">
        <f t="shared" si="45"/>
        <v>0</v>
      </c>
      <c r="AK170" s="40">
        <f t="shared" si="45"/>
        <v>0</v>
      </c>
      <c r="AL170" s="40">
        <f t="shared" si="45"/>
        <v>0</v>
      </c>
      <c r="AM170" s="40">
        <f t="shared" si="45"/>
        <v>0</v>
      </c>
      <c r="AN170" s="40">
        <f t="shared" si="46"/>
        <v>0</v>
      </c>
      <c r="AO170" s="40">
        <f t="shared" si="46"/>
        <v>0</v>
      </c>
      <c r="AP170" s="40">
        <f t="shared" si="46"/>
        <v>0</v>
      </c>
      <c r="AQ170" s="40">
        <f t="shared" si="46"/>
        <v>0</v>
      </c>
    </row>
    <row r="171" spans="27:43">
      <c r="AA171" s="41">
        <f t="shared" si="47"/>
        <v>168</v>
      </c>
      <c r="AB171" s="38">
        <f t="shared" si="43"/>
        <v>0</v>
      </c>
      <c r="AC171" s="39">
        <f t="shared" si="43"/>
        <v>0</v>
      </c>
      <c r="AD171" s="40">
        <f t="shared" si="43"/>
        <v>0</v>
      </c>
      <c r="AE171" s="38">
        <f t="shared" si="43"/>
        <v>0</v>
      </c>
      <c r="AF171" s="39">
        <f t="shared" si="44"/>
        <v>0</v>
      </c>
      <c r="AG171" s="40">
        <f t="shared" si="44"/>
        <v>0</v>
      </c>
      <c r="AH171" s="40">
        <f t="shared" si="44"/>
        <v>0</v>
      </c>
      <c r="AI171" s="40">
        <f t="shared" si="44"/>
        <v>0</v>
      </c>
      <c r="AJ171" s="40">
        <f t="shared" si="45"/>
        <v>0</v>
      </c>
      <c r="AK171" s="40">
        <f t="shared" si="45"/>
        <v>0</v>
      </c>
      <c r="AL171" s="40">
        <f t="shared" si="45"/>
        <v>0</v>
      </c>
      <c r="AM171" s="40">
        <f t="shared" si="45"/>
        <v>0</v>
      </c>
      <c r="AN171" s="40">
        <f t="shared" si="46"/>
        <v>0</v>
      </c>
      <c r="AO171" s="40">
        <f t="shared" si="46"/>
        <v>0</v>
      </c>
      <c r="AP171" s="40">
        <f t="shared" si="46"/>
        <v>0</v>
      </c>
      <c r="AQ171" s="40">
        <f t="shared" si="46"/>
        <v>0</v>
      </c>
    </row>
    <row r="172" spans="27:43">
      <c r="AA172" s="41">
        <f t="shared" si="47"/>
        <v>169</v>
      </c>
      <c r="AB172" s="38">
        <f t="shared" si="43"/>
        <v>0</v>
      </c>
      <c r="AC172" s="39">
        <f t="shared" si="43"/>
        <v>0</v>
      </c>
      <c r="AD172" s="40">
        <f t="shared" si="43"/>
        <v>0</v>
      </c>
      <c r="AE172" s="38">
        <f t="shared" si="43"/>
        <v>0</v>
      </c>
      <c r="AF172" s="39">
        <f t="shared" si="44"/>
        <v>0</v>
      </c>
      <c r="AG172" s="40">
        <f t="shared" si="44"/>
        <v>0</v>
      </c>
      <c r="AH172" s="40">
        <f t="shared" si="44"/>
        <v>0</v>
      </c>
      <c r="AI172" s="40">
        <f t="shared" si="44"/>
        <v>0</v>
      </c>
      <c r="AJ172" s="40">
        <f t="shared" si="45"/>
        <v>0</v>
      </c>
      <c r="AK172" s="40">
        <f t="shared" si="45"/>
        <v>0</v>
      </c>
      <c r="AL172" s="40">
        <f t="shared" si="45"/>
        <v>0</v>
      </c>
      <c r="AM172" s="40">
        <f t="shared" si="45"/>
        <v>0</v>
      </c>
      <c r="AN172" s="40">
        <f t="shared" si="46"/>
        <v>0</v>
      </c>
      <c r="AO172" s="40">
        <f t="shared" si="46"/>
        <v>0</v>
      </c>
      <c r="AP172" s="40">
        <f t="shared" si="46"/>
        <v>0</v>
      </c>
      <c r="AQ172" s="40">
        <f t="shared" si="46"/>
        <v>0</v>
      </c>
    </row>
    <row r="173" spans="27:43">
      <c r="AA173" s="41">
        <f t="shared" si="47"/>
        <v>170</v>
      </c>
      <c r="AB173" s="38">
        <f t="shared" si="43"/>
        <v>0</v>
      </c>
      <c r="AC173" s="39">
        <f t="shared" si="43"/>
        <v>0</v>
      </c>
      <c r="AD173" s="40">
        <f t="shared" si="43"/>
        <v>0</v>
      </c>
      <c r="AE173" s="38">
        <f t="shared" si="43"/>
        <v>0</v>
      </c>
      <c r="AF173" s="39">
        <f t="shared" si="44"/>
        <v>0</v>
      </c>
      <c r="AG173" s="40">
        <f t="shared" si="44"/>
        <v>0</v>
      </c>
      <c r="AH173" s="40">
        <f t="shared" si="44"/>
        <v>0</v>
      </c>
      <c r="AI173" s="40">
        <f t="shared" si="44"/>
        <v>0</v>
      </c>
      <c r="AJ173" s="40">
        <f t="shared" si="45"/>
        <v>0</v>
      </c>
      <c r="AK173" s="40">
        <f t="shared" si="45"/>
        <v>0</v>
      </c>
      <c r="AL173" s="40">
        <f t="shared" si="45"/>
        <v>0</v>
      </c>
      <c r="AM173" s="40">
        <f t="shared" si="45"/>
        <v>0</v>
      </c>
      <c r="AN173" s="40">
        <f t="shared" si="46"/>
        <v>0</v>
      </c>
      <c r="AO173" s="40">
        <f t="shared" si="46"/>
        <v>0</v>
      </c>
      <c r="AP173" s="40">
        <f t="shared" si="46"/>
        <v>0</v>
      </c>
      <c r="AQ173" s="40">
        <f t="shared" si="46"/>
        <v>0</v>
      </c>
    </row>
    <row r="174" spans="27:43">
      <c r="AA174" s="41">
        <f t="shared" si="47"/>
        <v>171</v>
      </c>
      <c r="AB174" s="38">
        <f t="shared" si="43"/>
        <v>0</v>
      </c>
      <c r="AC174" s="39">
        <f t="shared" si="43"/>
        <v>0</v>
      </c>
      <c r="AD174" s="40">
        <f t="shared" si="43"/>
        <v>0</v>
      </c>
      <c r="AE174" s="38">
        <f t="shared" si="43"/>
        <v>0</v>
      </c>
      <c r="AF174" s="39">
        <f t="shared" si="44"/>
        <v>0</v>
      </c>
      <c r="AG174" s="40">
        <f t="shared" si="44"/>
        <v>0</v>
      </c>
      <c r="AH174" s="40">
        <f t="shared" si="44"/>
        <v>0</v>
      </c>
      <c r="AI174" s="40">
        <f t="shared" si="44"/>
        <v>0</v>
      </c>
      <c r="AJ174" s="40">
        <f t="shared" si="45"/>
        <v>0</v>
      </c>
      <c r="AK174" s="40">
        <f t="shared" si="45"/>
        <v>0</v>
      </c>
      <c r="AL174" s="40">
        <f t="shared" si="45"/>
        <v>0</v>
      </c>
      <c r="AM174" s="40">
        <f t="shared" si="45"/>
        <v>0</v>
      </c>
      <c r="AN174" s="40">
        <f t="shared" si="46"/>
        <v>0</v>
      </c>
      <c r="AO174" s="40">
        <f t="shared" si="46"/>
        <v>0</v>
      </c>
      <c r="AP174" s="40">
        <f t="shared" si="46"/>
        <v>0</v>
      </c>
      <c r="AQ174" s="40">
        <f t="shared" si="46"/>
        <v>0</v>
      </c>
    </row>
    <row r="175" spans="27:43">
      <c r="AA175" s="41">
        <f t="shared" si="47"/>
        <v>172</v>
      </c>
      <c r="AB175" s="38">
        <f t="shared" si="43"/>
        <v>0</v>
      </c>
      <c r="AC175" s="39">
        <f t="shared" si="43"/>
        <v>0</v>
      </c>
      <c r="AD175" s="40">
        <f t="shared" si="43"/>
        <v>0</v>
      </c>
      <c r="AE175" s="38">
        <f t="shared" si="43"/>
        <v>0</v>
      </c>
      <c r="AF175" s="39">
        <f t="shared" si="44"/>
        <v>0</v>
      </c>
      <c r="AG175" s="40">
        <f t="shared" si="44"/>
        <v>0</v>
      </c>
      <c r="AH175" s="40">
        <f t="shared" si="44"/>
        <v>0</v>
      </c>
      <c r="AI175" s="40">
        <f t="shared" si="44"/>
        <v>0</v>
      </c>
      <c r="AJ175" s="40">
        <f t="shared" si="45"/>
        <v>0</v>
      </c>
      <c r="AK175" s="40">
        <f t="shared" si="45"/>
        <v>0</v>
      </c>
      <c r="AL175" s="40">
        <f t="shared" si="45"/>
        <v>0</v>
      </c>
      <c r="AM175" s="40">
        <f t="shared" si="45"/>
        <v>0</v>
      </c>
      <c r="AN175" s="40">
        <f t="shared" si="46"/>
        <v>0</v>
      </c>
      <c r="AO175" s="40">
        <f t="shared" si="46"/>
        <v>0</v>
      </c>
      <c r="AP175" s="40">
        <f t="shared" si="46"/>
        <v>0</v>
      </c>
      <c r="AQ175" s="40">
        <f t="shared" si="46"/>
        <v>0</v>
      </c>
    </row>
    <row r="176" spans="27:43">
      <c r="AA176" s="41">
        <f t="shared" si="47"/>
        <v>173</v>
      </c>
      <c r="AB176" s="38">
        <f t="shared" si="43"/>
        <v>0</v>
      </c>
      <c r="AC176" s="39">
        <f t="shared" si="43"/>
        <v>0</v>
      </c>
      <c r="AD176" s="40">
        <f t="shared" si="43"/>
        <v>0</v>
      </c>
      <c r="AE176" s="38">
        <f t="shared" si="43"/>
        <v>0</v>
      </c>
      <c r="AF176" s="39">
        <f t="shared" si="44"/>
        <v>0</v>
      </c>
      <c r="AG176" s="40">
        <f t="shared" si="44"/>
        <v>0</v>
      </c>
      <c r="AH176" s="40">
        <f t="shared" si="44"/>
        <v>0</v>
      </c>
      <c r="AI176" s="40">
        <f t="shared" si="44"/>
        <v>0</v>
      </c>
      <c r="AJ176" s="40">
        <f t="shared" si="45"/>
        <v>0</v>
      </c>
      <c r="AK176" s="40">
        <f t="shared" si="45"/>
        <v>0</v>
      </c>
      <c r="AL176" s="40">
        <f t="shared" si="45"/>
        <v>0</v>
      </c>
      <c r="AM176" s="40">
        <f t="shared" si="45"/>
        <v>0</v>
      </c>
      <c r="AN176" s="40">
        <f t="shared" si="46"/>
        <v>0</v>
      </c>
      <c r="AO176" s="40">
        <f t="shared" si="46"/>
        <v>0</v>
      </c>
      <c r="AP176" s="40">
        <f t="shared" si="46"/>
        <v>0</v>
      </c>
      <c r="AQ176" s="40">
        <f t="shared" si="46"/>
        <v>0</v>
      </c>
    </row>
    <row r="177" spans="27:43">
      <c r="AA177" s="41">
        <f t="shared" si="47"/>
        <v>174</v>
      </c>
      <c r="AB177" s="38">
        <f t="shared" si="43"/>
        <v>0</v>
      </c>
      <c r="AC177" s="39">
        <f t="shared" si="43"/>
        <v>0</v>
      </c>
      <c r="AD177" s="40">
        <f t="shared" si="43"/>
        <v>0</v>
      </c>
      <c r="AE177" s="38">
        <f t="shared" si="43"/>
        <v>0</v>
      </c>
      <c r="AF177" s="39">
        <f t="shared" si="44"/>
        <v>0</v>
      </c>
      <c r="AG177" s="40">
        <f t="shared" si="44"/>
        <v>0</v>
      </c>
      <c r="AH177" s="40">
        <f t="shared" si="44"/>
        <v>0</v>
      </c>
      <c r="AI177" s="40">
        <f t="shared" si="44"/>
        <v>0</v>
      </c>
      <c r="AJ177" s="40">
        <f t="shared" si="45"/>
        <v>0</v>
      </c>
      <c r="AK177" s="40">
        <f t="shared" si="45"/>
        <v>0</v>
      </c>
      <c r="AL177" s="40">
        <f t="shared" si="45"/>
        <v>0</v>
      </c>
      <c r="AM177" s="40">
        <f t="shared" si="45"/>
        <v>0</v>
      </c>
      <c r="AN177" s="40">
        <f t="shared" si="46"/>
        <v>0</v>
      </c>
      <c r="AO177" s="40">
        <f t="shared" si="46"/>
        <v>0</v>
      </c>
      <c r="AP177" s="40">
        <f t="shared" si="46"/>
        <v>0</v>
      </c>
      <c r="AQ177" s="40">
        <f t="shared" si="46"/>
        <v>0</v>
      </c>
    </row>
    <row r="178" spans="27:43">
      <c r="AA178" s="41">
        <f t="shared" si="47"/>
        <v>175</v>
      </c>
      <c r="AB178" s="38">
        <f t="shared" si="43"/>
        <v>0</v>
      </c>
      <c r="AC178" s="39">
        <f t="shared" si="43"/>
        <v>0</v>
      </c>
      <c r="AD178" s="40">
        <f t="shared" si="43"/>
        <v>0</v>
      </c>
      <c r="AE178" s="38">
        <f t="shared" si="43"/>
        <v>0</v>
      </c>
      <c r="AF178" s="39">
        <f t="shared" si="44"/>
        <v>0</v>
      </c>
      <c r="AG178" s="40">
        <f t="shared" si="44"/>
        <v>0</v>
      </c>
      <c r="AH178" s="40">
        <f t="shared" si="44"/>
        <v>0</v>
      </c>
      <c r="AI178" s="40">
        <f t="shared" si="44"/>
        <v>0</v>
      </c>
      <c r="AJ178" s="40">
        <f t="shared" si="45"/>
        <v>0</v>
      </c>
      <c r="AK178" s="40">
        <f t="shared" si="45"/>
        <v>0</v>
      </c>
      <c r="AL178" s="40">
        <f t="shared" si="45"/>
        <v>0</v>
      </c>
      <c r="AM178" s="40">
        <f t="shared" si="45"/>
        <v>0</v>
      </c>
      <c r="AN178" s="40">
        <f t="shared" si="46"/>
        <v>0</v>
      </c>
      <c r="AO178" s="40">
        <f t="shared" si="46"/>
        <v>0</v>
      </c>
      <c r="AP178" s="40">
        <f t="shared" si="46"/>
        <v>0</v>
      </c>
      <c r="AQ178" s="40">
        <f t="shared" si="46"/>
        <v>0</v>
      </c>
    </row>
    <row r="179" spans="27:43">
      <c r="AA179" s="41">
        <f t="shared" si="47"/>
        <v>176</v>
      </c>
      <c r="AB179" s="38">
        <f t="shared" si="43"/>
        <v>0</v>
      </c>
      <c r="AC179" s="39">
        <f t="shared" si="43"/>
        <v>0</v>
      </c>
      <c r="AD179" s="40">
        <f t="shared" si="43"/>
        <v>0</v>
      </c>
      <c r="AE179" s="38">
        <f t="shared" si="43"/>
        <v>0</v>
      </c>
      <c r="AF179" s="39">
        <f t="shared" si="44"/>
        <v>0</v>
      </c>
      <c r="AG179" s="40">
        <f t="shared" si="44"/>
        <v>0</v>
      </c>
      <c r="AH179" s="40">
        <f t="shared" si="44"/>
        <v>0</v>
      </c>
      <c r="AI179" s="40">
        <f t="shared" si="44"/>
        <v>0</v>
      </c>
      <c r="AJ179" s="40">
        <f t="shared" si="45"/>
        <v>0</v>
      </c>
      <c r="AK179" s="40">
        <f t="shared" si="45"/>
        <v>0</v>
      </c>
      <c r="AL179" s="40">
        <f t="shared" si="45"/>
        <v>0</v>
      </c>
      <c r="AM179" s="40">
        <f t="shared" si="45"/>
        <v>0</v>
      </c>
      <c r="AN179" s="40">
        <f t="shared" si="46"/>
        <v>0</v>
      </c>
      <c r="AO179" s="40">
        <f t="shared" si="46"/>
        <v>0</v>
      </c>
      <c r="AP179" s="40">
        <f t="shared" si="46"/>
        <v>0</v>
      </c>
      <c r="AQ179" s="40">
        <f t="shared" si="46"/>
        <v>0</v>
      </c>
    </row>
    <row r="180" spans="27:43">
      <c r="AA180" s="41">
        <f t="shared" si="47"/>
        <v>177</v>
      </c>
      <c r="AB180" s="38">
        <f t="shared" si="43"/>
        <v>0</v>
      </c>
      <c r="AC180" s="39">
        <f t="shared" si="43"/>
        <v>0</v>
      </c>
      <c r="AD180" s="40">
        <f t="shared" si="43"/>
        <v>0</v>
      </c>
      <c r="AE180" s="38">
        <f t="shared" si="43"/>
        <v>0</v>
      </c>
      <c r="AF180" s="39">
        <f t="shared" si="44"/>
        <v>0</v>
      </c>
      <c r="AG180" s="40">
        <f t="shared" si="44"/>
        <v>0</v>
      </c>
      <c r="AH180" s="40">
        <f t="shared" si="44"/>
        <v>0</v>
      </c>
      <c r="AI180" s="40">
        <f t="shared" si="44"/>
        <v>0</v>
      </c>
      <c r="AJ180" s="40">
        <f t="shared" si="45"/>
        <v>0</v>
      </c>
      <c r="AK180" s="40">
        <f t="shared" si="45"/>
        <v>0</v>
      </c>
      <c r="AL180" s="40">
        <f t="shared" si="45"/>
        <v>0</v>
      </c>
      <c r="AM180" s="40">
        <f t="shared" si="45"/>
        <v>0</v>
      </c>
      <c r="AN180" s="40">
        <f t="shared" si="46"/>
        <v>0</v>
      </c>
      <c r="AO180" s="40">
        <f t="shared" si="46"/>
        <v>0</v>
      </c>
      <c r="AP180" s="40">
        <f t="shared" si="46"/>
        <v>0</v>
      </c>
      <c r="AQ180" s="40">
        <f t="shared" si="46"/>
        <v>0</v>
      </c>
    </row>
    <row r="181" spans="27:43">
      <c r="AA181" s="41">
        <f t="shared" si="47"/>
        <v>178</v>
      </c>
      <c r="AB181" s="38">
        <f t="shared" si="43"/>
        <v>0</v>
      </c>
      <c r="AC181" s="39">
        <f t="shared" si="43"/>
        <v>0</v>
      </c>
      <c r="AD181" s="40">
        <f t="shared" si="43"/>
        <v>0</v>
      </c>
      <c r="AE181" s="38">
        <f t="shared" si="43"/>
        <v>0</v>
      </c>
      <c r="AF181" s="39">
        <f t="shared" si="44"/>
        <v>0</v>
      </c>
      <c r="AG181" s="40">
        <f t="shared" si="44"/>
        <v>0</v>
      </c>
      <c r="AH181" s="40">
        <f t="shared" si="44"/>
        <v>0</v>
      </c>
      <c r="AI181" s="40">
        <f t="shared" si="44"/>
        <v>0</v>
      </c>
      <c r="AJ181" s="40">
        <f t="shared" si="45"/>
        <v>0</v>
      </c>
      <c r="AK181" s="40">
        <f t="shared" si="45"/>
        <v>0</v>
      </c>
      <c r="AL181" s="40">
        <f t="shared" si="45"/>
        <v>0</v>
      </c>
      <c r="AM181" s="40">
        <f t="shared" si="45"/>
        <v>0</v>
      </c>
      <c r="AN181" s="40">
        <f t="shared" si="46"/>
        <v>0</v>
      </c>
      <c r="AO181" s="40">
        <f t="shared" si="46"/>
        <v>0</v>
      </c>
      <c r="AP181" s="40">
        <f t="shared" si="46"/>
        <v>0</v>
      </c>
      <c r="AQ181" s="40">
        <f t="shared" si="46"/>
        <v>0</v>
      </c>
    </row>
    <row r="182" spans="27:43">
      <c r="AA182" s="41">
        <f t="shared" si="47"/>
        <v>179</v>
      </c>
      <c r="AB182" s="38">
        <f t="shared" si="43"/>
        <v>0</v>
      </c>
      <c r="AC182" s="39">
        <f t="shared" si="43"/>
        <v>0</v>
      </c>
      <c r="AD182" s="40">
        <f t="shared" si="43"/>
        <v>0</v>
      </c>
      <c r="AE182" s="38">
        <f t="shared" si="43"/>
        <v>0</v>
      </c>
      <c r="AF182" s="39">
        <f t="shared" si="44"/>
        <v>0</v>
      </c>
      <c r="AG182" s="40">
        <f t="shared" si="44"/>
        <v>0</v>
      </c>
      <c r="AH182" s="40">
        <f t="shared" si="44"/>
        <v>0</v>
      </c>
      <c r="AI182" s="40">
        <f t="shared" si="44"/>
        <v>0</v>
      </c>
      <c r="AJ182" s="40">
        <f t="shared" si="45"/>
        <v>0</v>
      </c>
      <c r="AK182" s="40">
        <f t="shared" si="45"/>
        <v>0</v>
      </c>
      <c r="AL182" s="40">
        <f t="shared" si="45"/>
        <v>0</v>
      </c>
      <c r="AM182" s="40">
        <f t="shared" si="45"/>
        <v>0</v>
      </c>
      <c r="AN182" s="40">
        <f t="shared" si="46"/>
        <v>0</v>
      </c>
      <c r="AO182" s="40">
        <f t="shared" si="46"/>
        <v>0</v>
      </c>
      <c r="AP182" s="40">
        <f t="shared" si="46"/>
        <v>0</v>
      </c>
      <c r="AQ182" s="40">
        <f t="shared" si="46"/>
        <v>0</v>
      </c>
    </row>
    <row r="183" spans="27:43">
      <c r="AA183" s="41">
        <f t="shared" si="47"/>
        <v>180</v>
      </c>
      <c r="AB183" s="38">
        <f t="shared" si="43"/>
        <v>0</v>
      </c>
      <c r="AC183" s="39">
        <f t="shared" si="43"/>
        <v>0</v>
      </c>
      <c r="AD183" s="40">
        <f t="shared" si="43"/>
        <v>0</v>
      </c>
      <c r="AE183" s="38">
        <f t="shared" si="43"/>
        <v>0</v>
      </c>
      <c r="AF183" s="39">
        <f t="shared" si="44"/>
        <v>0</v>
      </c>
      <c r="AG183" s="40">
        <f t="shared" si="44"/>
        <v>0</v>
      </c>
      <c r="AH183" s="40">
        <f t="shared" si="44"/>
        <v>0</v>
      </c>
      <c r="AI183" s="40">
        <f t="shared" si="44"/>
        <v>0</v>
      </c>
      <c r="AJ183" s="40">
        <f t="shared" si="45"/>
        <v>0</v>
      </c>
      <c r="AK183" s="40">
        <f t="shared" si="45"/>
        <v>0</v>
      </c>
      <c r="AL183" s="40">
        <f t="shared" si="45"/>
        <v>0</v>
      </c>
      <c r="AM183" s="40">
        <f t="shared" si="45"/>
        <v>0</v>
      </c>
      <c r="AN183" s="40">
        <f t="shared" si="46"/>
        <v>0</v>
      </c>
      <c r="AO183" s="40">
        <f t="shared" si="46"/>
        <v>0</v>
      </c>
      <c r="AP183" s="40">
        <f t="shared" si="46"/>
        <v>0</v>
      </c>
      <c r="AQ183" s="40">
        <f t="shared" si="46"/>
        <v>0</v>
      </c>
    </row>
    <row r="184" spans="27:43">
      <c r="AA184" s="41">
        <f t="shared" si="47"/>
        <v>181</v>
      </c>
      <c r="AB184" s="38">
        <f t="shared" si="43"/>
        <v>0</v>
      </c>
      <c r="AC184" s="39">
        <f t="shared" si="43"/>
        <v>0</v>
      </c>
      <c r="AD184" s="40">
        <f t="shared" si="43"/>
        <v>0</v>
      </c>
      <c r="AE184" s="38">
        <f t="shared" si="43"/>
        <v>0</v>
      </c>
      <c r="AF184" s="39">
        <f t="shared" si="44"/>
        <v>0</v>
      </c>
      <c r="AG184" s="40">
        <f t="shared" si="44"/>
        <v>0</v>
      </c>
      <c r="AH184" s="40">
        <f t="shared" si="44"/>
        <v>0</v>
      </c>
      <c r="AI184" s="40">
        <f t="shared" si="44"/>
        <v>0</v>
      </c>
      <c r="AJ184" s="40">
        <f t="shared" si="45"/>
        <v>0</v>
      </c>
      <c r="AK184" s="40">
        <f t="shared" si="45"/>
        <v>0</v>
      </c>
      <c r="AL184" s="40">
        <f t="shared" si="45"/>
        <v>0</v>
      </c>
      <c r="AM184" s="40">
        <f t="shared" si="45"/>
        <v>0</v>
      </c>
      <c r="AN184" s="40">
        <f t="shared" si="46"/>
        <v>0</v>
      </c>
      <c r="AO184" s="40">
        <f t="shared" si="46"/>
        <v>0</v>
      </c>
      <c r="AP184" s="40">
        <f t="shared" si="46"/>
        <v>0</v>
      </c>
      <c r="AQ184" s="40">
        <f t="shared" si="46"/>
        <v>0</v>
      </c>
    </row>
    <row r="185" spans="27:43">
      <c r="AA185" s="41">
        <f t="shared" si="47"/>
        <v>182</v>
      </c>
      <c r="AB185" s="38">
        <f t="shared" si="43"/>
        <v>0</v>
      </c>
      <c r="AC185" s="39">
        <f t="shared" si="43"/>
        <v>0</v>
      </c>
      <c r="AD185" s="40">
        <f t="shared" si="43"/>
        <v>0</v>
      </c>
      <c r="AE185" s="38">
        <f t="shared" si="43"/>
        <v>0</v>
      </c>
      <c r="AF185" s="39">
        <f t="shared" si="44"/>
        <v>0</v>
      </c>
      <c r="AG185" s="40">
        <f t="shared" si="44"/>
        <v>0</v>
      </c>
      <c r="AH185" s="40">
        <f t="shared" si="44"/>
        <v>0</v>
      </c>
      <c r="AI185" s="40">
        <f t="shared" si="44"/>
        <v>0</v>
      </c>
      <c r="AJ185" s="40">
        <f t="shared" si="45"/>
        <v>0</v>
      </c>
      <c r="AK185" s="40">
        <f t="shared" si="45"/>
        <v>0</v>
      </c>
      <c r="AL185" s="40">
        <f t="shared" si="45"/>
        <v>0</v>
      </c>
      <c r="AM185" s="40">
        <f t="shared" si="45"/>
        <v>0</v>
      </c>
      <c r="AN185" s="40">
        <f t="shared" si="46"/>
        <v>0</v>
      </c>
      <c r="AO185" s="40">
        <f t="shared" si="46"/>
        <v>0</v>
      </c>
      <c r="AP185" s="40">
        <f t="shared" si="46"/>
        <v>0</v>
      </c>
      <c r="AQ185" s="40">
        <f t="shared" si="46"/>
        <v>0</v>
      </c>
    </row>
    <row r="186" spans="27:43">
      <c r="AA186" s="41">
        <f t="shared" si="47"/>
        <v>183</v>
      </c>
      <c r="AB186" s="38">
        <f t="shared" si="43"/>
        <v>0</v>
      </c>
      <c r="AC186" s="39">
        <f t="shared" si="43"/>
        <v>0</v>
      </c>
      <c r="AD186" s="40">
        <f t="shared" si="43"/>
        <v>0</v>
      </c>
      <c r="AE186" s="38">
        <f t="shared" si="43"/>
        <v>0</v>
      </c>
      <c r="AF186" s="39">
        <f t="shared" si="44"/>
        <v>0</v>
      </c>
      <c r="AG186" s="40">
        <f t="shared" si="44"/>
        <v>0</v>
      </c>
      <c r="AH186" s="40">
        <f t="shared" si="44"/>
        <v>0</v>
      </c>
      <c r="AI186" s="40">
        <f t="shared" si="44"/>
        <v>0</v>
      </c>
      <c r="AJ186" s="40">
        <f t="shared" si="45"/>
        <v>0</v>
      </c>
      <c r="AK186" s="40">
        <f t="shared" si="45"/>
        <v>0</v>
      </c>
      <c r="AL186" s="40">
        <f t="shared" si="45"/>
        <v>0</v>
      </c>
      <c r="AM186" s="40">
        <f t="shared" si="45"/>
        <v>0</v>
      </c>
      <c r="AN186" s="40">
        <f t="shared" si="46"/>
        <v>0</v>
      </c>
      <c r="AO186" s="40">
        <f t="shared" si="46"/>
        <v>0</v>
      </c>
      <c r="AP186" s="40">
        <f t="shared" si="46"/>
        <v>0</v>
      </c>
      <c r="AQ186" s="40">
        <f t="shared" si="46"/>
        <v>0</v>
      </c>
    </row>
    <row r="187" spans="27:43">
      <c r="AA187" s="41">
        <f t="shared" si="47"/>
        <v>184</v>
      </c>
      <c r="AB187" s="38">
        <f t="shared" si="43"/>
        <v>0</v>
      </c>
      <c r="AC187" s="39">
        <f t="shared" si="43"/>
        <v>0</v>
      </c>
      <c r="AD187" s="40">
        <f t="shared" si="43"/>
        <v>0</v>
      </c>
      <c r="AE187" s="38">
        <f t="shared" si="43"/>
        <v>0</v>
      </c>
      <c r="AF187" s="39">
        <f t="shared" si="44"/>
        <v>0</v>
      </c>
      <c r="AG187" s="40">
        <f t="shared" si="44"/>
        <v>0</v>
      </c>
      <c r="AH187" s="40">
        <f t="shared" si="44"/>
        <v>0</v>
      </c>
      <c r="AI187" s="40">
        <f t="shared" si="44"/>
        <v>0</v>
      </c>
      <c r="AJ187" s="40">
        <f t="shared" si="45"/>
        <v>0</v>
      </c>
      <c r="AK187" s="40">
        <f t="shared" si="45"/>
        <v>0</v>
      </c>
      <c r="AL187" s="40">
        <f t="shared" si="45"/>
        <v>0</v>
      </c>
      <c r="AM187" s="40">
        <f t="shared" si="45"/>
        <v>0</v>
      </c>
      <c r="AN187" s="40">
        <f t="shared" si="46"/>
        <v>0</v>
      </c>
      <c r="AO187" s="40">
        <f t="shared" si="46"/>
        <v>0</v>
      </c>
      <c r="AP187" s="40">
        <f t="shared" si="46"/>
        <v>0</v>
      </c>
      <c r="AQ187" s="40">
        <f t="shared" si="46"/>
        <v>0</v>
      </c>
    </row>
    <row r="188" spans="27:43">
      <c r="AA188" s="41">
        <f t="shared" si="47"/>
        <v>185</v>
      </c>
      <c r="AB188" s="38">
        <f t="shared" si="43"/>
        <v>0</v>
      </c>
      <c r="AC188" s="39">
        <f t="shared" si="43"/>
        <v>0</v>
      </c>
      <c r="AD188" s="40">
        <f t="shared" si="43"/>
        <v>0</v>
      </c>
      <c r="AE188" s="38">
        <f t="shared" si="43"/>
        <v>0</v>
      </c>
      <c r="AF188" s="39">
        <f t="shared" si="44"/>
        <v>0</v>
      </c>
      <c r="AG188" s="40">
        <f t="shared" si="44"/>
        <v>0</v>
      </c>
      <c r="AH188" s="40">
        <f t="shared" si="44"/>
        <v>0</v>
      </c>
      <c r="AI188" s="40">
        <f t="shared" si="44"/>
        <v>0</v>
      </c>
      <c r="AJ188" s="40">
        <f t="shared" si="45"/>
        <v>0</v>
      </c>
      <c r="AK188" s="40">
        <f t="shared" si="45"/>
        <v>0</v>
      </c>
      <c r="AL188" s="40">
        <f t="shared" si="45"/>
        <v>0</v>
      </c>
      <c r="AM188" s="40">
        <f t="shared" si="45"/>
        <v>0</v>
      </c>
      <c r="AN188" s="40">
        <f t="shared" si="46"/>
        <v>0</v>
      </c>
      <c r="AO188" s="40">
        <f t="shared" si="46"/>
        <v>0</v>
      </c>
      <c r="AP188" s="40">
        <f t="shared" si="46"/>
        <v>0</v>
      </c>
      <c r="AQ188" s="40">
        <f t="shared" si="46"/>
        <v>0</v>
      </c>
    </row>
    <row r="189" spans="27:43">
      <c r="AA189" s="41">
        <f t="shared" si="47"/>
        <v>186</v>
      </c>
      <c r="AB189" s="38">
        <f t="shared" si="43"/>
        <v>0</v>
      </c>
      <c r="AC189" s="39">
        <f t="shared" si="43"/>
        <v>0</v>
      </c>
      <c r="AD189" s="40">
        <f t="shared" si="43"/>
        <v>0</v>
      </c>
      <c r="AE189" s="38">
        <f t="shared" si="43"/>
        <v>0</v>
      </c>
      <c r="AF189" s="39">
        <f t="shared" si="44"/>
        <v>0</v>
      </c>
      <c r="AG189" s="40">
        <f t="shared" si="44"/>
        <v>0</v>
      </c>
      <c r="AH189" s="40">
        <f t="shared" si="44"/>
        <v>0</v>
      </c>
      <c r="AI189" s="40">
        <f t="shared" si="44"/>
        <v>0</v>
      </c>
      <c r="AJ189" s="40">
        <f t="shared" si="45"/>
        <v>0</v>
      </c>
      <c r="AK189" s="40">
        <f t="shared" si="45"/>
        <v>0</v>
      </c>
      <c r="AL189" s="40">
        <f t="shared" si="45"/>
        <v>0</v>
      </c>
      <c r="AM189" s="40">
        <f t="shared" si="45"/>
        <v>0</v>
      </c>
      <c r="AN189" s="40">
        <f t="shared" si="46"/>
        <v>0</v>
      </c>
      <c r="AO189" s="40">
        <f t="shared" si="46"/>
        <v>0</v>
      </c>
      <c r="AP189" s="40">
        <f t="shared" si="46"/>
        <v>0</v>
      </c>
      <c r="AQ189" s="40">
        <f t="shared" si="46"/>
        <v>0</v>
      </c>
    </row>
    <row r="190" spans="27:43">
      <c r="AA190" s="41">
        <f t="shared" si="47"/>
        <v>187</v>
      </c>
      <c r="AB190" s="38">
        <f t="shared" si="43"/>
        <v>0</v>
      </c>
      <c r="AC190" s="39">
        <f t="shared" si="43"/>
        <v>0</v>
      </c>
      <c r="AD190" s="40">
        <f t="shared" si="43"/>
        <v>0</v>
      </c>
      <c r="AE190" s="38">
        <f t="shared" si="43"/>
        <v>0</v>
      </c>
      <c r="AF190" s="39">
        <f t="shared" si="44"/>
        <v>0</v>
      </c>
      <c r="AG190" s="40">
        <f t="shared" si="44"/>
        <v>0</v>
      </c>
      <c r="AH190" s="40">
        <f t="shared" si="44"/>
        <v>0</v>
      </c>
      <c r="AI190" s="40">
        <f t="shared" si="44"/>
        <v>0</v>
      </c>
      <c r="AJ190" s="40">
        <f t="shared" si="45"/>
        <v>0</v>
      </c>
      <c r="AK190" s="40">
        <f t="shared" si="45"/>
        <v>0</v>
      </c>
      <c r="AL190" s="40">
        <f t="shared" si="45"/>
        <v>0</v>
      </c>
      <c r="AM190" s="40">
        <f t="shared" si="45"/>
        <v>0</v>
      </c>
      <c r="AN190" s="40">
        <f t="shared" si="46"/>
        <v>0</v>
      </c>
      <c r="AO190" s="40">
        <f t="shared" si="46"/>
        <v>0</v>
      </c>
      <c r="AP190" s="40">
        <f t="shared" si="46"/>
        <v>0</v>
      </c>
      <c r="AQ190" s="40">
        <f t="shared" si="46"/>
        <v>0</v>
      </c>
    </row>
    <row r="191" spans="27:43">
      <c r="AA191" s="41">
        <f t="shared" si="47"/>
        <v>188</v>
      </c>
      <c r="AB191" s="38">
        <f t="shared" si="43"/>
        <v>0</v>
      </c>
      <c r="AC191" s="39">
        <f t="shared" si="43"/>
        <v>0</v>
      </c>
      <c r="AD191" s="40">
        <f t="shared" si="43"/>
        <v>0</v>
      </c>
      <c r="AE191" s="38">
        <f t="shared" si="43"/>
        <v>0</v>
      </c>
      <c r="AF191" s="39">
        <f t="shared" si="44"/>
        <v>0</v>
      </c>
      <c r="AG191" s="40">
        <f t="shared" si="44"/>
        <v>0</v>
      </c>
      <c r="AH191" s="40">
        <f t="shared" si="44"/>
        <v>0</v>
      </c>
      <c r="AI191" s="40">
        <f t="shared" si="44"/>
        <v>0</v>
      </c>
      <c r="AJ191" s="40">
        <f t="shared" si="45"/>
        <v>0</v>
      </c>
      <c r="AK191" s="40">
        <f t="shared" si="45"/>
        <v>0</v>
      </c>
      <c r="AL191" s="40">
        <f t="shared" si="45"/>
        <v>0</v>
      </c>
      <c r="AM191" s="40">
        <f t="shared" si="45"/>
        <v>0</v>
      </c>
      <c r="AN191" s="40">
        <f t="shared" si="46"/>
        <v>0</v>
      </c>
      <c r="AO191" s="40">
        <f t="shared" si="46"/>
        <v>0</v>
      </c>
      <c r="AP191" s="40">
        <f t="shared" si="46"/>
        <v>0</v>
      </c>
      <c r="AQ191" s="40">
        <f t="shared" si="46"/>
        <v>0</v>
      </c>
    </row>
    <row r="192" spans="27:43">
      <c r="AA192" s="41">
        <f t="shared" si="47"/>
        <v>189</v>
      </c>
      <c r="AB192" s="38">
        <f t="shared" si="43"/>
        <v>0</v>
      </c>
      <c r="AC192" s="39">
        <f t="shared" si="43"/>
        <v>0</v>
      </c>
      <c r="AD192" s="40">
        <f t="shared" si="43"/>
        <v>0</v>
      </c>
      <c r="AE192" s="38">
        <f t="shared" si="43"/>
        <v>0</v>
      </c>
      <c r="AF192" s="39">
        <f t="shared" si="44"/>
        <v>0</v>
      </c>
      <c r="AG192" s="40">
        <f t="shared" si="44"/>
        <v>0</v>
      </c>
      <c r="AH192" s="40">
        <f t="shared" si="44"/>
        <v>0</v>
      </c>
      <c r="AI192" s="40">
        <f t="shared" si="44"/>
        <v>0</v>
      </c>
      <c r="AJ192" s="40">
        <f t="shared" si="45"/>
        <v>0</v>
      </c>
      <c r="AK192" s="40">
        <f t="shared" si="45"/>
        <v>0</v>
      </c>
      <c r="AL192" s="40">
        <f t="shared" si="45"/>
        <v>0</v>
      </c>
      <c r="AM192" s="40">
        <f t="shared" si="45"/>
        <v>0</v>
      </c>
      <c r="AN192" s="40">
        <f t="shared" si="46"/>
        <v>0</v>
      </c>
      <c r="AO192" s="40">
        <f t="shared" si="46"/>
        <v>0</v>
      </c>
      <c r="AP192" s="40">
        <f t="shared" si="46"/>
        <v>0</v>
      </c>
      <c r="AQ192" s="40">
        <f t="shared" si="46"/>
        <v>0</v>
      </c>
    </row>
    <row r="193" spans="27:43">
      <c r="AA193" s="41">
        <f t="shared" si="47"/>
        <v>190</v>
      </c>
      <c r="AB193" s="38">
        <f t="shared" si="43"/>
        <v>0</v>
      </c>
      <c r="AC193" s="39">
        <f t="shared" si="43"/>
        <v>0</v>
      </c>
      <c r="AD193" s="40">
        <f t="shared" si="43"/>
        <v>0</v>
      </c>
      <c r="AE193" s="38">
        <f t="shared" si="43"/>
        <v>0</v>
      </c>
      <c r="AF193" s="39">
        <f t="shared" si="44"/>
        <v>0</v>
      </c>
      <c r="AG193" s="40">
        <f t="shared" si="44"/>
        <v>0</v>
      </c>
      <c r="AH193" s="40">
        <f t="shared" si="44"/>
        <v>0</v>
      </c>
      <c r="AI193" s="40">
        <f t="shared" si="44"/>
        <v>0</v>
      </c>
      <c r="AJ193" s="40">
        <f t="shared" si="45"/>
        <v>0</v>
      </c>
      <c r="AK193" s="40">
        <f t="shared" si="45"/>
        <v>0</v>
      </c>
      <c r="AL193" s="40">
        <f t="shared" si="45"/>
        <v>0</v>
      </c>
      <c r="AM193" s="40">
        <f t="shared" si="45"/>
        <v>0</v>
      </c>
      <c r="AN193" s="40">
        <f t="shared" si="46"/>
        <v>0</v>
      </c>
      <c r="AO193" s="40">
        <f t="shared" si="46"/>
        <v>0</v>
      </c>
      <c r="AP193" s="40">
        <f t="shared" si="46"/>
        <v>0</v>
      </c>
      <c r="AQ193" s="40">
        <f t="shared" si="46"/>
        <v>0</v>
      </c>
    </row>
    <row r="194" spans="27:43">
      <c r="AA194" s="41">
        <f t="shared" si="47"/>
        <v>191</v>
      </c>
      <c r="AB194" s="38">
        <f t="shared" si="43"/>
        <v>0</v>
      </c>
      <c r="AC194" s="39">
        <f t="shared" si="43"/>
        <v>0</v>
      </c>
      <c r="AD194" s="40">
        <f t="shared" si="43"/>
        <v>0</v>
      </c>
      <c r="AE194" s="38">
        <f t="shared" si="43"/>
        <v>0</v>
      </c>
      <c r="AF194" s="39">
        <f t="shared" si="44"/>
        <v>0</v>
      </c>
      <c r="AG194" s="40">
        <f t="shared" si="44"/>
        <v>0</v>
      </c>
      <c r="AH194" s="40">
        <f t="shared" si="44"/>
        <v>0</v>
      </c>
      <c r="AI194" s="40">
        <f t="shared" si="44"/>
        <v>0</v>
      </c>
      <c r="AJ194" s="40">
        <f t="shared" si="45"/>
        <v>0</v>
      </c>
      <c r="AK194" s="40">
        <f t="shared" si="45"/>
        <v>0</v>
      </c>
      <c r="AL194" s="40">
        <f t="shared" si="45"/>
        <v>0</v>
      </c>
      <c r="AM194" s="40">
        <f t="shared" si="45"/>
        <v>0</v>
      </c>
      <c r="AN194" s="40">
        <f t="shared" si="46"/>
        <v>0</v>
      </c>
      <c r="AO194" s="40">
        <f t="shared" si="46"/>
        <v>0</v>
      </c>
      <c r="AP194" s="40">
        <f t="shared" si="46"/>
        <v>0</v>
      </c>
      <c r="AQ194" s="40">
        <f t="shared" si="46"/>
        <v>0</v>
      </c>
    </row>
    <row r="195" spans="27:43">
      <c r="AA195" s="41">
        <f t="shared" si="47"/>
        <v>192</v>
      </c>
      <c r="AB195" s="38">
        <f t="shared" si="43"/>
        <v>0</v>
      </c>
      <c r="AC195" s="39">
        <f t="shared" si="43"/>
        <v>0</v>
      </c>
      <c r="AD195" s="40">
        <f t="shared" si="43"/>
        <v>0</v>
      </c>
      <c r="AE195" s="38">
        <f t="shared" si="43"/>
        <v>0</v>
      </c>
      <c r="AF195" s="39">
        <f t="shared" si="44"/>
        <v>0</v>
      </c>
      <c r="AG195" s="40">
        <f t="shared" si="44"/>
        <v>0</v>
      </c>
      <c r="AH195" s="40">
        <f t="shared" si="44"/>
        <v>0</v>
      </c>
      <c r="AI195" s="40">
        <f t="shared" si="44"/>
        <v>0</v>
      </c>
      <c r="AJ195" s="40">
        <f t="shared" si="45"/>
        <v>0</v>
      </c>
      <c r="AK195" s="40">
        <f t="shared" si="45"/>
        <v>0</v>
      </c>
      <c r="AL195" s="40">
        <f t="shared" si="45"/>
        <v>0</v>
      </c>
      <c r="AM195" s="40">
        <f t="shared" si="45"/>
        <v>0</v>
      </c>
      <c r="AN195" s="40">
        <f t="shared" si="46"/>
        <v>0</v>
      </c>
      <c r="AO195" s="40">
        <f t="shared" si="46"/>
        <v>0</v>
      </c>
      <c r="AP195" s="40">
        <f t="shared" si="46"/>
        <v>0</v>
      </c>
      <c r="AQ195" s="40">
        <f t="shared" si="46"/>
        <v>0</v>
      </c>
    </row>
    <row r="196" spans="27:43">
      <c r="AA196" s="41">
        <f t="shared" si="47"/>
        <v>193</v>
      </c>
      <c r="AB196" s="38">
        <f t="shared" si="43"/>
        <v>0</v>
      </c>
      <c r="AC196" s="39">
        <f t="shared" si="43"/>
        <v>0</v>
      </c>
      <c r="AD196" s="40">
        <f t="shared" si="43"/>
        <v>0</v>
      </c>
      <c r="AE196" s="38">
        <f t="shared" ref="AE196:AH259" si="48">AE195</f>
        <v>0</v>
      </c>
      <c r="AF196" s="39">
        <f t="shared" si="44"/>
        <v>0</v>
      </c>
      <c r="AG196" s="40">
        <f t="shared" si="44"/>
        <v>0</v>
      </c>
      <c r="AH196" s="40">
        <f t="shared" si="44"/>
        <v>0</v>
      </c>
      <c r="AI196" s="40">
        <f t="shared" ref="AI196:AL259" si="49">AI195</f>
        <v>0</v>
      </c>
      <c r="AJ196" s="40">
        <f t="shared" si="45"/>
        <v>0</v>
      </c>
      <c r="AK196" s="40">
        <f t="shared" si="45"/>
        <v>0</v>
      </c>
      <c r="AL196" s="40">
        <f t="shared" si="45"/>
        <v>0</v>
      </c>
      <c r="AM196" s="40">
        <f t="shared" ref="AM196:AQ259" si="50">AM195</f>
        <v>0</v>
      </c>
      <c r="AN196" s="40">
        <f t="shared" si="46"/>
        <v>0</v>
      </c>
      <c r="AO196" s="40">
        <f t="shared" si="46"/>
        <v>0</v>
      </c>
      <c r="AP196" s="40">
        <f t="shared" si="46"/>
        <v>0</v>
      </c>
      <c r="AQ196" s="40">
        <f t="shared" ref="AQ196" si="51">AQ195</f>
        <v>0</v>
      </c>
    </row>
    <row r="197" spans="27:43">
      <c r="AA197" s="41">
        <f t="shared" si="47"/>
        <v>194</v>
      </c>
      <c r="AB197" s="38">
        <f t="shared" ref="AB197:AQ260" si="52">AB196</f>
        <v>0</v>
      </c>
      <c r="AC197" s="39">
        <f t="shared" si="52"/>
        <v>0</v>
      </c>
      <c r="AD197" s="40">
        <f t="shared" si="52"/>
        <v>0</v>
      </c>
      <c r="AE197" s="38">
        <f t="shared" si="48"/>
        <v>0</v>
      </c>
      <c r="AF197" s="39">
        <f t="shared" si="48"/>
        <v>0</v>
      </c>
      <c r="AG197" s="40">
        <f t="shared" si="48"/>
        <v>0</v>
      </c>
      <c r="AH197" s="40">
        <f t="shared" si="48"/>
        <v>0</v>
      </c>
      <c r="AI197" s="40">
        <f t="shared" si="49"/>
        <v>0</v>
      </c>
      <c r="AJ197" s="40">
        <f t="shared" si="49"/>
        <v>0</v>
      </c>
      <c r="AK197" s="40">
        <f t="shared" si="49"/>
        <v>0</v>
      </c>
      <c r="AL197" s="40">
        <f t="shared" si="49"/>
        <v>0</v>
      </c>
      <c r="AM197" s="40">
        <f t="shared" si="50"/>
        <v>0</v>
      </c>
      <c r="AN197" s="40">
        <f t="shared" si="50"/>
        <v>0</v>
      </c>
      <c r="AO197" s="40">
        <f t="shared" si="50"/>
        <v>0</v>
      </c>
      <c r="AP197" s="40">
        <f t="shared" si="50"/>
        <v>0</v>
      </c>
      <c r="AQ197" s="40">
        <f t="shared" si="50"/>
        <v>0</v>
      </c>
    </row>
    <row r="198" spans="27:43">
      <c r="AA198" s="41">
        <f t="shared" ref="AA198:AA261" si="53">AA197+1</f>
        <v>195</v>
      </c>
      <c r="AB198" s="38">
        <f t="shared" si="52"/>
        <v>0</v>
      </c>
      <c r="AC198" s="39">
        <f t="shared" si="52"/>
        <v>0</v>
      </c>
      <c r="AD198" s="40">
        <f t="shared" si="52"/>
        <v>0</v>
      </c>
      <c r="AE198" s="38">
        <f t="shared" si="48"/>
        <v>0</v>
      </c>
      <c r="AF198" s="39">
        <f t="shared" si="48"/>
        <v>0</v>
      </c>
      <c r="AG198" s="40">
        <f t="shared" si="48"/>
        <v>0</v>
      </c>
      <c r="AH198" s="40">
        <f t="shared" si="48"/>
        <v>0</v>
      </c>
      <c r="AI198" s="40">
        <f t="shared" si="49"/>
        <v>0</v>
      </c>
      <c r="AJ198" s="40">
        <f t="shared" si="49"/>
        <v>0</v>
      </c>
      <c r="AK198" s="40">
        <f t="shared" si="49"/>
        <v>0</v>
      </c>
      <c r="AL198" s="40">
        <f t="shared" si="49"/>
        <v>0</v>
      </c>
      <c r="AM198" s="40">
        <f t="shared" si="50"/>
        <v>0</v>
      </c>
      <c r="AN198" s="40">
        <f t="shared" si="50"/>
        <v>0</v>
      </c>
      <c r="AO198" s="40">
        <f t="shared" si="50"/>
        <v>0</v>
      </c>
      <c r="AP198" s="40">
        <f t="shared" si="50"/>
        <v>0</v>
      </c>
      <c r="AQ198" s="40">
        <f t="shared" si="50"/>
        <v>0</v>
      </c>
    </row>
    <row r="199" spans="27:43">
      <c r="AA199" s="41">
        <f t="shared" si="53"/>
        <v>196</v>
      </c>
      <c r="AB199" s="38">
        <f t="shared" si="52"/>
        <v>0</v>
      </c>
      <c r="AC199" s="39">
        <f t="shared" si="52"/>
        <v>0</v>
      </c>
      <c r="AD199" s="40">
        <f t="shared" si="52"/>
        <v>0</v>
      </c>
      <c r="AE199" s="38">
        <f t="shared" si="48"/>
        <v>0</v>
      </c>
      <c r="AF199" s="39">
        <f t="shared" si="48"/>
        <v>0</v>
      </c>
      <c r="AG199" s="40">
        <f t="shared" si="48"/>
        <v>0</v>
      </c>
      <c r="AH199" s="40">
        <f t="shared" si="48"/>
        <v>0</v>
      </c>
      <c r="AI199" s="40">
        <f t="shared" si="49"/>
        <v>0</v>
      </c>
      <c r="AJ199" s="40">
        <f t="shared" si="49"/>
        <v>0</v>
      </c>
      <c r="AK199" s="40">
        <f t="shared" si="49"/>
        <v>0</v>
      </c>
      <c r="AL199" s="40">
        <f t="shared" si="49"/>
        <v>0</v>
      </c>
      <c r="AM199" s="40">
        <f t="shared" si="50"/>
        <v>0</v>
      </c>
      <c r="AN199" s="40">
        <f t="shared" si="50"/>
        <v>0</v>
      </c>
      <c r="AO199" s="40">
        <f t="shared" si="50"/>
        <v>0</v>
      </c>
      <c r="AP199" s="40">
        <f t="shared" si="50"/>
        <v>0</v>
      </c>
      <c r="AQ199" s="40">
        <f t="shared" ref="AQ199" si="54">AQ198</f>
        <v>0</v>
      </c>
    </row>
    <row r="200" spans="27:43">
      <c r="AA200" s="41">
        <f t="shared" si="53"/>
        <v>197</v>
      </c>
      <c r="AB200" s="38">
        <f t="shared" si="52"/>
        <v>0</v>
      </c>
      <c r="AC200" s="39">
        <f t="shared" si="52"/>
        <v>0</v>
      </c>
      <c r="AD200" s="40">
        <f t="shared" si="52"/>
        <v>0</v>
      </c>
      <c r="AE200" s="38">
        <f t="shared" si="48"/>
        <v>0</v>
      </c>
      <c r="AF200" s="39">
        <f t="shared" si="48"/>
        <v>0</v>
      </c>
      <c r="AG200" s="40">
        <f t="shared" si="48"/>
        <v>0</v>
      </c>
      <c r="AH200" s="40">
        <f t="shared" si="48"/>
        <v>0</v>
      </c>
      <c r="AI200" s="40">
        <f t="shared" si="49"/>
        <v>0</v>
      </c>
      <c r="AJ200" s="40">
        <f t="shared" si="49"/>
        <v>0</v>
      </c>
      <c r="AK200" s="40">
        <f t="shared" si="49"/>
        <v>0</v>
      </c>
      <c r="AL200" s="40">
        <f t="shared" si="49"/>
        <v>0</v>
      </c>
      <c r="AM200" s="40">
        <f t="shared" si="50"/>
        <v>0</v>
      </c>
      <c r="AN200" s="40">
        <f t="shared" si="50"/>
        <v>0</v>
      </c>
      <c r="AO200" s="40">
        <f t="shared" si="50"/>
        <v>0</v>
      </c>
      <c r="AP200" s="40">
        <f t="shared" si="50"/>
        <v>0</v>
      </c>
      <c r="AQ200" s="40">
        <f t="shared" ref="AQ200" si="55">AQ199</f>
        <v>0</v>
      </c>
    </row>
    <row r="201" spans="27:43">
      <c r="AA201" s="41">
        <f t="shared" si="53"/>
        <v>198</v>
      </c>
      <c r="AB201" s="38">
        <f t="shared" si="52"/>
        <v>0</v>
      </c>
      <c r="AC201" s="39">
        <f t="shared" si="52"/>
        <v>0</v>
      </c>
      <c r="AD201" s="40">
        <f t="shared" si="52"/>
        <v>0</v>
      </c>
      <c r="AE201" s="38">
        <f t="shared" si="48"/>
        <v>0</v>
      </c>
      <c r="AF201" s="39">
        <f t="shared" si="48"/>
        <v>0</v>
      </c>
      <c r="AG201" s="40">
        <f t="shared" si="48"/>
        <v>0</v>
      </c>
      <c r="AH201" s="40">
        <f t="shared" si="48"/>
        <v>0</v>
      </c>
      <c r="AI201" s="40">
        <f t="shared" si="49"/>
        <v>0</v>
      </c>
      <c r="AJ201" s="40">
        <f t="shared" si="49"/>
        <v>0</v>
      </c>
      <c r="AK201" s="40">
        <f t="shared" si="49"/>
        <v>0</v>
      </c>
      <c r="AL201" s="40">
        <f t="shared" si="49"/>
        <v>0</v>
      </c>
      <c r="AM201" s="40">
        <f t="shared" si="50"/>
        <v>0</v>
      </c>
      <c r="AN201" s="40">
        <f t="shared" si="50"/>
        <v>0</v>
      </c>
      <c r="AO201" s="40">
        <f t="shared" si="50"/>
        <v>0</v>
      </c>
      <c r="AP201" s="40">
        <f t="shared" si="50"/>
        <v>0</v>
      </c>
      <c r="AQ201" s="40">
        <f t="shared" ref="AQ201" si="56">AQ200</f>
        <v>0</v>
      </c>
    </row>
    <row r="202" spans="27:43">
      <c r="AA202" s="41">
        <f t="shared" si="53"/>
        <v>199</v>
      </c>
      <c r="AB202" s="38">
        <f t="shared" si="52"/>
        <v>0</v>
      </c>
      <c r="AC202" s="39">
        <f t="shared" si="52"/>
        <v>0</v>
      </c>
      <c r="AD202" s="40">
        <f t="shared" si="52"/>
        <v>0</v>
      </c>
      <c r="AE202" s="38">
        <f t="shared" si="48"/>
        <v>0</v>
      </c>
      <c r="AF202" s="39">
        <f t="shared" si="48"/>
        <v>0</v>
      </c>
      <c r="AG202" s="40">
        <f t="shared" si="48"/>
        <v>0</v>
      </c>
      <c r="AH202" s="40">
        <f t="shared" si="48"/>
        <v>0</v>
      </c>
      <c r="AI202" s="40">
        <f t="shared" si="49"/>
        <v>0</v>
      </c>
      <c r="AJ202" s="40">
        <f t="shared" si="49"/>
        <v>0</v>
      </c>
      <c r="AK202" s="40">
        <f t="shared" si="49"/>
        <v>0</v>
      </c>
      <c r="AL202" s="40">
        <f t="shared" si="49"/>
        <v>0</v>
      </c>
      <c r="AM202" s="40">
        <f t="shared" si="50"/>
        <v>0</v>
      </c>
      <c r="AN202" s="40">
        <f t="shared" si="50"/>
        <v>0</v>
      </c>
      <c r="AO202" s="40">
        <f t="shared" si="50"/>
        <v>0</v>
      </c>
      <c r="AP202" s="40">
        <f t="shared" si="50"/>
        <v>0</v>
      </c>
      <c r="AQ202" s="40">
        <f t="shared" ref="AQ202" si="57">AQ201</f>
        <v>0</v>
      </c>
    </row>
    <row r="203" spans="27:43">
      <c r="AA203" s="41">
        <f t="shared" si="53"/>
        <v>200</v>
      </c>
      <c r="AB203" s="38">
        <f t="shared" si="52"/>
        <v>0</v>
      </c>
      <c r="AC203" s="39">
        <f t="shared" si="52"/>
        <v>0</v>
      </c>
      <c r="AD203" s="40">
        <f t="shared" si="52"/>
        <v>0</v>
      </c>
      <c r="AE203" s="38">
        <f t="shared" si="48"/>
        <v>0</v>
      </c>
      <c r="AF203" s="39">
        <f t="shared" si="48"/>
        <v>0</v>
      </c>
      <c r="AG203" s="40">
        <f t="shared" si="48"/>
        <v>0</v>
      </c>
      <c r="AH203" s="40">
        <f t="shared" si="48"/>
        <v>0</v>
      </c>
      <c r="AI203" s="40">
        <f t="shared" si="49"/>
        <v>0</v>
      </c>
      <c r="AJ203" s="40">
        <f t="shared" si="49"/>
        <v>0</v>
      </c>
      <c r="AK203" s="40">
        <f t="shared" si="49"/>
        <v>0</v>
      </c>
      <c r="AL203" s="40">
        <f t="shared" si="49"/>
        <v>0</v>
      </c>
      <c r="AM203" s="40">
        <f t="shared" si="50"/>
        <v>0</v>
      </c>
      <c r="AN203" s="40">
        <f t="shared" si="50"/>
        <v>0</v>
      </c>
      <c r="AO203" s="40">
        <f t="shared" si="50"/>
        <v>0</v>
      </c>
      <c r="AP203" s="40">
        <f t="shared" si="50"/>
        <v>0</v>
      </c>
      <c r="AQ203" s="40">
        <f t="shared" ref="AQ203" si="58">AQ202</f>
        <v>0</v>
      </c>
    </row>
    <row r="204" spans="27:43">
      <c r="AA204" s="41">
        <f t="shared" si="53"/>
        <v>201</v>
      </c>
      <c r="AB204" s="38">
        <f t="shared" si="52"/>
        <v>0</v>
      </c>
      <c r="AC204" s="39">
        <f t="shared" si="52"/>
        <v>0</v>
      </c>
      <c r="AD204" s="40">
        <f t="shared" si="52"/>
        <v>0</v>
      </c>
      <c r="AE204" s="38">
        <f t="shared" si="48"/>
        <v>0</v>
      </c>
      <c r="AF204" s="39">
        <f t="shared" si="48"/>
        <v>0</v>
      </c>
      <c r="AG204" s="40">
        <f t="shared" si="48"/>
        <v>0</v>
      </c>
      <c r="AH204" s="40">
        <f t="shared" si="48"/>
        <v>0</v>
      </c>
      <c r="AI204" s="40">
        <f t="shared" si="49"/>
        <v>0</v>
      </c>
      <c r="AJ204" s="40">
        <f t="shared" si="49"/>
        <v>0</v>
      </c>
      <c r="AK204" s="40">
        <f t="shared" si="49"/>
        <v>0</v>
      </c>
      <c r="AL204" s="40">
        <f t="shared" si="49"/>
        <v>0</v>
      </c>
      <c r="AM204" s="40">
        <f t="shared" si="50"/>
        <v>0</v>
      </c>
      <c r="AN204" s="40">
        <f t="shared" si="50"/>
        <v>0</v>
      </c>
      <c r="AO204" s="40">
        <f t="shared" si="50"/>
        <v>0</v>
      </c>
      <c r="AP204" s="40">
        <f t="shared" si="50"/>
        <v>0</v>
      </c>
      <c r="AQ204" s="40">
        <f t="shared" ref="AQ204" si="59">AQ203</f>
        <v>0</v>
      </c>
    </row>
    <row r="205" spans="27:43">
      <c r="AA205" s="41">
        <f t="shared" si="53"/>
        <v>202</v>
      </c>
      <c r="AB205" s="38">
        <f t="shared" si="52"/>
        <v>0</v>
      </c>
      <c r="AC205" s="39">
        <f t="shared" si="52"/>
        <v>0</v>
      </c>
      <c r="AD205" s="40">
        <f t="shared" si="52"/>
        <v>0</v>
      </c>
      <c r="AE205" s="38">
        <f t="shared" si="48"/>
        <v>0</v>
      </c>
      <c r="AF205" s="39">
        <f t="shared" si="48"/>
        <v>0</v>
      </c>
      <c r="AG205" s="40">
        <f t="shared" si="48"/>
        <v>0</v>
      </c>
      <c r="AH205" s="40">
        <f t="shared" si="48"/>
        <v>0</v>
      </c>
      <c r="AI205" s="40">
        <f t="shared" si="49"/>
        <v>0</v>
      </c>
      <c r="AJ205" s="40">
        <f t="shared" si="49"/>
        <v>0</v>
      </c>
      <c r="AK205" s="40">
        <f t="shared" si="49"/>
        <v>0</v>
      </c>
      <c r="AL205" s="40">
        <f t="shared" si="49"/>
        <v>0</v>
      </c>
      <c r="AM205" s="40">
        <f t="shared" si="50"/>
        <v>0</v>
      </c>
      <c r="AN205" s="40">
        <f t="shared" si="50"/>
        <v>0</v>
      </c>
      <c r="AO205" s="40">
        <f t="shared" si="50"/>
        <v>0</v>
      </c>
      <c r="AP205" s="40">
        <f t="shared" si="50"/>
        <v>0</v>
      </c>
      <c r="AQ205" s="40">
        <f t="shared" ref="AQ205" si="60">AQ204</f>
        <v>0</v>
      </c>
    </row>
    <row r="206" spans="27:43">
      <c r="AA206" s="41">
        <f t="shared" si="53"/>
        <v>203</v>
      </c>
      <c r="AB206" s="38">
        <f t="shared" si="52"/>
        <v>0</v>
      </c>
      <c r="AC206" s="39">
        <f t="shared" si="52"/>
        <v>0</v>
      </c>
      <c r="AD206" s="40">
        <f t="shared" si="52"/>
        <v>0</v>
      </c>
      <c r="AE206" s="38">
        <f t="shared" si="48"/>
        <v>0</v>
      </c>
      <c r="AF206" s="39">
        <f t="shared" si="48"/>
        <v>0</v>
      </c>
      <c r="AG206" s="40">
        <f t="shared" si="48"/>
        <v>0</v>
      </c>
      <c r="AH206" s="40">
        <f t="shared" si="48"/>
        <v>0</v>
      </c>
      <c r="AI206" s="40">
        <f t="shared" si="49"/>
        <v>0</v>
      </c>
      <c r="AJ206" s="40">
        <f t="shared" si="49"/>
        <v>0</v>
      </c>
      <c r="AK206" s="40">
        <f t="shared" si="49"/>
        <v>0</v>
      </c>
      <c r="AL206" s="40">
        <f t="shared" si="49"/>
        <v>0</v>
      </c>
      <c r="AM206" s="40">
        <f t="shared" si="50"/>
        <v>0</v>
      </c>
      <c r="AN206" s="40">
        <f t="shared" si="50"/>
        <v>0</v>
      </c>
      <c r="AO206" s="40">
        <f t="shared" si="50"/>
        <v>0</v>
      </c>
      <c r="AP206" s="40">
        <f t="shared" si="50"/>
        <v>0</v>
      </c>
      <c r="AQ206" s="40">
        <f t="shared" ref="AQ206" si="61">AQ205</f>
        <v>0</v>
      </c>
    </row>
    <row r="207" spans="27:43">
      <c r="AA207" s="41">
        <f t="shared" si="53"/>
        <v>204</v>
      </c>
      <c r="AB207" s="38">
        <f t="shared" si="52"/>
        <v>0</v>
      </c>
      <c r="AC207" s="39">
        <f t="shared" si="52"/>
        <v>0</v>
      </c>
      <c r="AD207" s="40">
        <f t="shared" si="52"/>
        <v>0</v>
      </c>
      <c r="AE207" s="38">
        <f t="shared" si="48"/>
        <v>0</v>
      </c>
      <c r="AF207" s="39">
        <f t="shared" si="48"/>
        <v>0</v>
      </c>
      <c r="AG207" s="40">
        <f t="shared" si="48"/>
        <v>0</v>
      </c>
      <c r="AH207" s="40">
        <f t="shared" si="48"/>
        <v>0</v>
      </c>
      <c r="AI207" s="40">
        <f t="shared" si="49"/>
        <v>0</v>
      </c>
      <c r="AJ207" s="40">
        <f t="shared" si="49"/>
        <v>0</v>
      </c>
      <c r="AK207" s="40">
        <f t="shared" si="49"/>
        <v>0</v>
      </c>
      <c r="AL207" s="40">
        <f t="shared" si="49"/>
        <v>0</v>
      </c>
      <c r="AM207" s="40">
        <f t="shared" si="50"/>
        <v>0</v>
      </c>
      <c r="AN207" s="40">
        <f t="shared" si="50"/>
        <v>0</v>
      </c>
      <c r="AO207" s="40">
        <f t="shared" si="50"/>
        <v>0</v>
      </c>
      <c r="AP207" s="40">
        <f t="shared" si="50"/>
        <v>0</v>
      </c>
      <c r="AQ207" s="40">
        <f t="shared" ref="AQ207" si="62">AQ206</f>
        <v>0</v>
      </c>
    </row>
    <row r="208" spans="27:43">
      <c r="AA208" s="41">
        <f t="shared" si="53"/>
        <v>205</v>
      </c>
      <c r="AB208" s="38">
        <f t="shared" si="52"/>
        <v>0</v>
      </c>
      <c r="AC208" s="39">
        <f t="shared" si="52"/>
        <v>0</v>
      </c>
      <c r="AD208" s="40">
        <f t="shared" si="52"/>
        <v>0</v>
      </c>
      <c r="AE208" s="38">
        <f t="shared" si="48"/>
        <v>0</v>
      </c>
      <c r="AF208" s="39">
        <f t="shared" si="48"/>
        <v>0</v>
      </c>
      <c r="AG208" s="40">
        <f t="shared" si="48"/>
        <v>0</v>
      </c>
      <c r="AH208" s="40">
        <f t="shared" si="48"/>
        <v>0</v>
      </c>
      <c r="AI208" s="40">
        <f t="shared" si="49"/>
        <v>0</v>
      </c>
      <c r="AJ208" s="40">
        <f t="shared" si="49"/>
        <v>0</v>
      </c>
      <c r="AK208" s="40">
        <f t="shared" si="49"/>
        <v>0</v>
      </c>
      <c r="AL208" s="40">
        <f t="shared" si="49"/>
        <v>0</v>
      </c>
      <c r="AM208" s="40">
        <f t="shared" si="50"/>
        <v>0</v>
      </c>
      <c r="AN208" s="40">
        <f t="shared" si="50"/>
        <v>0</v>
      </c>
      <c r="AO208" s="40">
        <f t="shared" si="50"/>
        <v>0</v>
      </c>
      <c r="AP208" s="40">
        <f t="shared" si="50"/>
        <v>0</v>
      </c>
      <c r="AQ208" s="40">
        <f t="shared" ref="AQ208" si="63">AQ207</f>
        <v>0</v>
      </c>
    </row>
    <row r="209" spans="27:43">
      <c r="AA209" s="41">
        <f t="shared" si="53"/>
        <v>206</v>
      </c>
      <c r="AB209" s="38">
        <f t="shared" si="52"/>
        <v>0</v>
      </c>
      <c r="AC209" s="39">
        <f t="shared" si="52"/>
        <v>0</v>
      </c>
      <c r="AD209" s="40">
        <f t="shared" si="52"/>
        <v>0</v>
      </c>
      <c r="AE209" s="38">
        <f t="shared" si="48"/>
        <v>0</v>
      </c>
      <c r="AF209" s="39">
        <f t="shared" si="48"/>
        <v>0</v>
      </c>
      <c r="AG209" s="40">
        <f t="shared" si="48"/>
        <v>0</v>
      </c>
      <c r="AH209" s="40">
        <f t="shared" si="48"/>
        <v>0</v>
      </c>
      <c r="AI209" s="40">
        <f t="shared" si="49"/>
        <v>0</v>
      </c>
      <c r="AJ209" s="40">
        <f t="shared" si="49"/>
        <v>0</v>
      </c>
      <c r="AK209" s="40">
        <f t="shared" si="49"/>
        <v>0</v>
      </c>
      <c r="AL209" s="40">
        <f t="shared" si="49"/>
        <v>0</v>
      </c>
      <c r="AM209" s="40">
        <f t="shared" si="50"/>
        <v>0</v>
      </c>
      <c r="AN209" s="40">
        <f t="shared" si="50"/>
        <v>0</v>
      </c>
      <c r="AO209" s="40">
        <f t="shared" si="50"/>
        <v>0</v>
      </c>
      <c r="AP209" s="40">
        <f t="shared" si="50"/>
        <v>0</v>
      </c>
      <c r="AQ209" s="40">
        <f t="shared" ref="AQ209" si="64">AQ208</f>
        <v>0</v>
      </c>
    </row>
    <row r="210" spans="27:43">
      <c r="AA210" s="41">
        <f t="shared" si="53"/>
        <v>207</v>
      </c>
      <c r="AB210" s="38">
        <f t="shared" si="52"/>
        <v>0</v>
      </c>
      <c r="AC210" s="39">
        <f t="shared" si="52"/>
        <v>0</v>
      </c>
      <c r="AD210" s="40">
        <f t="shared" si="52"/>
        <v>0</v>
      </c>
      <c r="AE210" s="38">
        <f t="shared" si="48"/>
        <v>0</v>
      </c>
      <c r="AF210" s="39">
        <f t="shared" si="48"/>
        <v>0</v>
      </c>
      <c r="AG210" s="40">
        <f t="shared" si="48"/>
        <v>0</v>
      </c>
      <c r="AH210" s="40">
        <f t="shared" si="48"/>
        <v>0</v>
      </c>
      <c r="AI210" s="40">
        <f t="shared" si="49"/>
        <v>0</v>
      </c>
      <c r="AJ210" s="40">
        <f t="shared" si="49"/>
        <v>0</v>
      </c>
      <c r="AK210" s="40">
        <f t="shared" si="49"/>
        <v>0</v>
      </c>
      <c r="AL210" s="40">
        <f t="shared" si="49"/>
        <v>0</v>
      </c>
      <c r="AM210" s="40">
        <f t="shared" si="50"/>
        <v>0</v>
      </c>
      <c r="AN210" s="40">
        <f t="shared" si="50"/>
        <v>0</v>
      </c>
      <c r="AO210" s="40">
        <f t="shared" si="50"/>
        <v>0</v>
      </c>
      <c r="AP210" s="40">
        <f t="shared" si="50"/>
        <v>0</v>
      </c>
      <c r="AQ210" s="40">
        <f t="shared" ref="AQ210" si="65">AQ209</f>
        <v>0</v>
      </c>
    </row>
    <row r="211" spans="27:43">
      <c r="AA211" s="41">
        <f t="shared" si="53"/>
        <v>208</v>
      </c>
      <c r="AB211" s="38">
        <f t="shared" si="52"/>
        <v>0</v>
      </c>
      <c r="AC211" s="39">
        <f t="shared" si="52"/>
        <v>0</v>
      </c>
      <c r="AD211" s="40">
        <f t="shared" si="52"/>
        <v>0</v>
      </c>
      <c r="AE211" s="38">
        <f t="shared" si="48"/>
        <v>0</v>
      </c>
      <c r="AF211" s="39">
        <f t="shared" si="48"/>
        <v>0</v>
      </c>
      <c r="AG211" s="40">
        <f t="shared" si="48"/>
        <v>0</v>
      </c>
      <c r="AH211" s="40">
        <f t="shared" si="48"/>
        <v>0</v>
      </c>
      <c r="AI211" s="40">
        <f t="shared" si="49"/>
        <v>0</v>
      </c>
      <c r="AJ211" s="40">
        <f t="shared" si="49"/>
        <v>0</v>
      </c>
      <c r="AK211" s="40">
        <f t="shared" si="49"/>
        <v>0</v>
      </c>
      <c r="AL211" s="40">
        <f t="shared" si="49"/>
        <v>0</v>
      </c>
      <c r="AM211" s="40">
        <f t="shared" si="50"/>
        <v>0</v>
      </c>
      <c r="AN211" s="40">
        <f t="shared" si="50"/>
        <v>0</v>
      </c>
      <c r="AO211" s="40">
        <f t="shared" si="50"/>
        <v>0</v>
      </c>
      <c r="AP211" s="40">
        <f t="shared" si="50"/>
        <v>0</v>
      </c>
      <c r="AQ211" s="40">
        <f t="shared" ref="AQ211" si="66">AQ210</f>
        <v>0</v>
      </c>
    </row>
    <row r="212" spans="27:43">
      <c r="AA212" s="41">
        <f t="shared" si="53"/>
        <v>209</v>
      </c>
      <c r="AB212" s="38">
        <f t="shared" si="52"/>
        <v>0</v>
      </c>
      <c r="AC212" s="39">
        <f t="shared" si="52"/>
        <v>0</v>
      </c>
      <c r="AD212" s="40">
        <f t="shared" si="52"/>
        <v>0</v>
      </c>
      <c r="AE212" s="38">
        <f t="shared" si="48"/>
        <v>0</v>
      </c>
      <c r="AF212" s="39">
        <f t="shared" si="48"/>
        <v>0</v>
      </c>
      <c r="AG212" s="40">
        <f t="shared" si="48"/>
        <v>0</v>
      </c>
      <c r="AH212" s="40">
        <f t="shared" si="48"/>
        <v>0</v>
      </c>
      <c r="AI212" s="40">
        <f t="shared" si="49"/>
        <v>0</v>
      </c>
      <c r="AJ212" s="40">
        <f t="shared" si="49"/>
        <v>0</v>
      </c>
      <c r="AK212" s="40">
        <f t="shared" si="49"/>
        <v>0</v>
      </c>
      <c r="AL212" s="40">
        <f t="shared" si="49"/>
        <v>0</v>
      </c>
      <c r="AM212" s="40">
        <f t="shared" si="50"/>
        <v>0</v>
      </c>
      <c r="AN212" s="40">
        <f t="shared" si="50"/>
        <v>0</v>
      </c>
      <c r="AO212" s="40">
        <f t="shared" si="50"/>
        <v>0</v>
      </c>
      <c r="AP212" s="40">
        <f t="shared" si="50"/>
        <v>0</v>
      </c>
      <c r="AQ212" s="40">
        <f t="shared" ref="AQ212" si="67">AQ211</f>
        <v>0</v>
      </c>
    </row>
    <row r="213" spans="27:43">
      <c r="AA213" s="41">
        <f t="shared" si="53"/>
        <v>210</v>
      </c>
      <c r="AB213" s="38">
        <f t="shared" si="52"/>
        <v>0</v>
      </c>
      <c r="AC213" s="39">
        <f t="shared" si="52"/>
        <v>0</v>
      </c>
      <c r="AD213" s="40">
        <f t="shared" si="52"/>
        <v>0</v>
      </c>
      <c r="AE213" s="38">
        <f t="shared" si="48"/>
        <v>0</v>
      </c>
      <c r="AF213" s="39">
        <f t="shared" si="48"/>
        <v>0</v>
      </c>
      <c r="AG213" s="40">
        <f t="shared" si="48"/>
        <v>0</v>
      </c>
      <c r="AH213" s="40">
        <f t="shared" si="48"/>
        <v>0</v>
      </c>
      <c r="AI213" s="40">
        <f t="shared" si="49"/>
        <v>0</v>
      </c>
      <c r="AJ213" s="40">
        <f t="shared" si="49"/>
        <v>0</v>
      </c>
      <c r="AK213" s="40">
        <f t="shared" si="49"/>
        <v>0</v>
      </c>
      <c r="AL213" s="40">
        <f t="shared" si="49"/>
        <v>0</v>
      </c>
      <c r="AM213" s="40">
        <f t="shared" si="50"/>
        <v>0</v>
      </c>
      <c r="AN213" s="40">
        <f t="shared" si="50"/>
        <v>0</v>
      </c>
      <c r="AO213" s="40">
        <f t="shared" si="50"/>
        <v>0</v>
      </c>
      <c r="AP213" s="40">
        <f t="shared" si="50"/>
        <v>0</v>
      </c>
      <c r="AQ213" s="40">
        <f t="shared" ref="AQ213" si="68">AQ212</f>
        <v>0</v>
      </c>
    </row>
    <row r="214" spans="27:43">
      <c r="AA214" s="41">
        <f t="shared" si="53"/>
        <v>211</v>
      </c>
      <c r="AB214" s="38">
        <f t="shared" si="52"/>
        <v>0</v>
      </c>
      <c r="AC214" s="39">
        <f t="shared" si="52"/>
        <v>0</v>
      </c>
      <c r="AD214" s="40">
        <f t="shared" si="52"/>
        <v>0</v>
      </c>
      <c r="AE214" s="38">
        <f t="shared" si="48"/>
        <v>0</v>
      </c>
      <c r="AF214" s="39">
        <f t="shared" si="48"/>
        <v>0</v>
      </c>
      <c r="AG214" s="40">
        <f t="shared" si="48"/>
        <v>0</v>
      </c>
      <c r="AH214" s="40">
        <f t="shared" si="48"/>
        <v>0</v>
      </c>
      <c r="AI214" s="40">
        <f t="shared" si="49"/>
        <v>0</v>
      </c>
      <c r="AJ214" s="40">
        <f t="shared" si="49"/>
        <v>0</v>
      </c>
      <c r="AK214" s="40">
        <f t="shared" si="49"/>
        <v>0</v>
      </c>
      <c r="AL214" s="40">
        <f t="shared" si="49"/>
        <v>0</v>
      </c>
      <c r="AM214" s="40">
        <f t="shared" si="50"/>
        <v>0</v>
      </c>
      <c r="AN214" s="40">
        <f t="shared" si="50"/>
        <v>0</v>
      </c>
      <c r="AO214" s="40">
        <f t="shared" si="50"/>
        <v>0</v>
      </c>
      <c r="AP214" s="40">
        <f t="shared" si="50"/>
        <v>0</v>
      </c>
      <c r="AQ214" s="40">
        <f t="shared" ref="AQ214" si="69">AQ213</f>
        <v>0</v>
      </c>
    </row>
    <row r="215" spans="27:43">
      <c r="AA215" s="41">
        <f t="shared" si="53"/>
        <v>212</v>
      </c>
      <c r="AB215" s="38">
        <f t="shared" si="52"/>
        <v>0</v>
      </c>
      <c r="AC215" s="39">
        <f t="shared" si="52"/>
        <v>0</v>
      </c>
      <c r="AD215" s="40">
        <f t="shared" si="52"/>
        <v>0</v>
      </c>
      <c r="AE215" s="38">
        <f t="shared" si="48"/>
        <v>0</v>
      </c>
      <c r="AF215" s="39">
        <f t="shared" si="48"/>
        <v>0</v>
      </c>
      <c r="AG215" s="40">
        <f t="shared" si="48"/>
        <v>0</v>
      </c>
      <c r="AH215" s="40">
        <f t="shared" si="48"/>
        <v>0</v>
      </c>
      <c r="AI215" s="40">
        <f t="shared" si="49"/>
        <v>0</v>
      </c>
      <c r="AJ215" s="40">
        <f t="shared" si="49"/>
        <v>0</v>
      </c>
      <c r="AK215" s="40">
        <f t="shared" si="49"/>
        <v>0</v>
      </c>
      <c r="AL215" s="40">
        <f t="shared" si="49"/>
        <v>0</v>
      </c>
      <c r="AM215" s="40">
        <f t="shared" si="50"/>
        <v>0</v>
      </c>
      <c r="AN215" s="40">
        <f t="shared" si="50"/>
        <v>0</v>
      </c>
      <c r="AO215" s="40">
        <f t="shared" si="50"/>
        <v>0</v>
      </c>
      <c r="AP215" s="40">
        <f t="shared" si="50"/>
        <v>0</v>
      </c>
      <c r="AQ215" s="40">
        <f t="shared" ref="AQ215" si="70">AQ214</f>
        <v>0</v>
      </c>
    </row>
    <row r="216" spans="27:43">
      <c r="AA216" s="41">
        <f t="shared" si="53"/>
        <v>213</v>
      </c>
      <c r="AB216" s="38">
        <f t="shared" si="52"/>
        <v>0</v>
      </c>
      <c r="AC216" s="39">
        <f t="shared" si="52"/>
        <v>0</v>
      </c>
      <c r="AD216" s="40">
        <f t="shared" si="52"/>
        <v>0</v>
      </c>
      <c r="AE216" s="38">
        <f t="shared" si="48"/>
        <v>0</v>
      </c>
      <c r="AF216" s="39">
        <f t="shared" si="48"/>
        <v>0</v>
      </c>
      <c r="AG216" s="40">
        <f t="shared" si="48"/>
        <v>0</v>
      </c>
      <c r="AH216" s="40">
        <f t="shared" si="48"/>
        <v>0</v>
      </c>
      <c r="AI216" s="40">
        <f t="shared" si="49"/>
        <v>0</v>
      </c>
      <c r="AJ216" s="40">
        <f t="shared" si="49"/>
        <v>0</v>
      </c>
      <c r="AK216" s="40">
        <f t="shared" si="49"/>
        <v>0</v>
      </c>
      <c r="AL216" s="40">
        <f t="shared" si="49"/>
        <v>0</v>
      </c>
      <c r="AM216" s="40">
        <f t="shared" si="50"/>
        <v>0</v>
      </c>
      <c r="AN216" s="40">
        <f t="shared" si="50"/>
        <v>0</v>
      </c>
      <c r="AO216" s="40">
        <f t="shared" si="50"/>
        <v>0</v>
      </c>
      <c r="AP216" s="40">
        <f t="shared" si="50"/>
        <v>0</v>
      </c>
      <c r="AQ216" s="40">
        <f t="shared" ref="AQ216" si="71">AQ215</f>
        <v>0</v>
      </c>
    </row>
    <row r="217" spans="27:43">
      <c r="AA217" s="41">
        <f t="shared" si="53"/>
        <v>214</v>
      </c>
      <c r="AB217" s="38">
        <f t="shared" si="52"/>
        <v>0</v>
      </c>
      <c r="AC217" s="39">
        <f t="shared" si="52"/>
        <v>0</v>
      </c>
      <c r="AD217" s="40">
        <f t="shared" si="52"/>
        <v>0</v>
      </c>
      <c r="AE217" s="38">
        <f t="shared" si="48"/>
        <v>0</v>
      </c>
      <c r="AF217" s="39">
        <f t="shared" si="48"/>
        <v>0</v>
      </c>
      <c r="AG217" s="40">
        <f t="shared" si="48"/>
        <v>0</v>
      </c>
      <c r="AH217" s="40">
        <f t="shared" si="48"/>
        <v>0</v>
      </c>
      <c r="AI217" s="40">
        <f t="shared" si="49"/>
        <v>0</v>
      </c>
      <c r="AJ217" s="40">
        <f t="shared" si="49"/>
        <v>0</v>
      </c>
      <c r="AK217" s="40">
        <f t="shared" si="49"/>
        <v>0</v>
      </c>
      <c r="AL217" s="40">
        <f t="shared" si="49"/>
        <v>0</v>
      </c>
      <c r="AM217" s="40">
        <f t="shared" si="50"/>
        <v>0</v>
      </c>
      <c r="AN217" s="40">
        <f t="shared" si="50"/>
        <v>0</v>
      </c>
      <c r="AO217" s="40">
        <f t="shared" si="50"/>
        <v>0</v>
      </c>
      <c r="AP217" s="40">
        <f t="shared" si="50"/>
        <v>0</v>
      </c>
      <c r="AQ217" s="40">
        <f t="shared" ref="AQ217" si="72">AQ216</f>
        <v>0</v>
      </c>
    </row>
    <row r="218" spans="27:43">
      <c r="AA218" s="41">
        <f t="shared" si="53"/>
        <v>215</v>
      </c>
      <c r="AB218" s="38">
        <f t="shared" si="52"/>
        <v>0</v>
      </c>
      <c r="AC218" s="39">
        <f t="shared" si="52"/>
        <v>0</v>
      </c>
      <c r="AD218" s="40">
        <f t="shared" si="52"/>
        <v>0</v>
      </c>
      <c r="AE218" s="38">
        <f t="shared" si="48"/>
        <v>0</v>
      </c>
      <c r="AF218" s="39">
        <f t="shared" si="48"/>
        <v>0</v>
      </c>
      <c r="AG218" s="40">
        <f t="shared" si="48"/>
        <v>0</v>
      </c>
      <c r="AH218" s="40">
        <f t="shared" si="48"/>
        <v>0</v>
      </c>
      <c r="AI218" s="40">
        <f t="shared" si="49"/>
        <v>0</v>
      </c>
      <c r="AJ218" s="40">
        <f t="shared" si="49"/>
        <v>0</v>
      </c>
      <c r="AK218" s="40">
        <f t="shared" si="49"/>
        <v>0</v>
      </c>
      <c r="AL218" s="40">
        <f t="shared" si="49"/>
        <v>0</v>
      </c>
      <c r="AM218" s="40">
        <f t="shared" si="50"/>
        <v>0</v>
      </c>
      <c r="AN218" s="40">
        <f t="shared" si="50"/>
        <v>0</v>
      </c>
      <c r="AO218" s="40">
        <f t="shared" si="50"/>
        <v>0</v>
      </c>
      <c r="AP218" s="40">
        <f t="shared" si="50"/>
        <v>0</v>
      </c>
      <c r="AQ218" s="40">
        <f t="shared" ref="AQ218" si="73">AQ217</f>
        <v>0</v>
      </c>
    </row>
    <row r="219" spans="27:43">
      <c r="AA219" s="41">
        <f t="shared" si="53"/>
        <v>216</v>
      </c>
      <c r="AB219" s="38">
        <f t="shared" si="52"/>
        <v>0</v>
      </c>
      <c r="AC219" s="39">
        <f t="shared" si="52"/>
        <v>0</v>
      </c>
      <c r="AD219" s="40">
        <f t="shared" si="52"/>
        <v>0</v>
      </c>
      <c r="AE219" s="38">
        <f t="shared" si="48"/>
        <v>0</v>
      </c>
      <c r="AF219" s="39">
        <f t="shared" si="48"/>
        <v>0</v>
      </c>
      <c r="AG219" s="40">
        <f t="shared" si="48"/>
        <v>0</v>
      </c>
      <c r="AH219" s="40">
        <f t="shared" si="48"/>
        <v>0</v>
      </c>
      <c r="AI219" s="40">
        <f t="shared" si="49"/>
        <v>0</v>
      </c>
      <c r="AJ219" s="40">
        <f t="shared" si="49"/>
        <v>0</v>
      </c>
      <c r="AK219" s="40">
        <f t="shared" si="49"/>
        <v>0</v>
      </c>
      <c r="AL219" s="40">
        <f t="shared" si="49"/>
        <v>0</v>
      </c>
      <c r="AM219" s="40">
        <f t="shared" si="50"/>
        <v>0</v>
      </c>
      <c r="AN219" s="40">
        <f t="shared" si="50"/>
        <v>0</v>
      </c>
      <c r="AO219" s="40">
        <f t="shared" si="50"/>
        <v>0</v>
      </c>
      <c r="AP219" s="40">
        <f t="shared" si="50"/>
        <v>0</v>
      </c>
      <c r="AQ219" s="40">
        <f t="shared" ref="AQ219" si="74">AQ218</f>
        <v>0</v>
      </c>
    </row>
    <row r="220" spans="27:43">
      <c r="AA220" s="41">
        <f t="shared" si="53"/>
        <v>217</v>
      </c>
      <c r="AB220" s="38">
        <f t="shared" si="52"/>
        <v>0</v>
      </c>
      <c r="AC220" s="39">
        <f t="shared" si="52"/>
        <v>0</v>
      </c>
      <c r="AD220" s="40">
        <f t="shared" si="52"/>
        <v>0</v>
      </c>
      <c r="AE220" s="38">
        <f t="shared" si="48"/>
        <v>0</v>
      </c>
      <c r="AF220" s="39">
        <f t="shared" si="48"/>
        <v>0</v>
      </c>
      <c r="AG220" s="40">
        <f t="shared" si="48"/>
        <v>0</v>
      </c>
      <c r="AH220" s="40">
        <f t="shared" si="48"/>
        <v>0</v>
      </c>
      <c r="AI220" s="40">
        <f t="shared" si="49"/>
        <v>0</v>
      </c>
      <c r="AJ220" s="40">
        <f t="shared" si="49"/>
        <v>0</v>
      </c>
      <c r="AK220" s="40">
        <f t="shared" si="49"/>
        <v>0</v>
      </c>
      <c r="AL220" s="40">
        <f t="shared" si="49"/>
        <v>0</v>
      </c>
      <c r="AM220" s="40">
        <f t="shared" si="50"/>
        <v>0</v>
      </c>
      <c r="AN220" s="40">
        <f t="shared" si="50"/>
        <v>0</v>
      </c>
      <c r="AO220" s="40">
        <f t="shared" si="50"/>
        <v>0</v>
      </c>
      <c r="AP220" s="40">
        <f t="shared" si="50"/>
        <v>0</v>
      </c>
      <c r="AQ220" s="40">
        <f t="shared" ref="AQ220" si="75">AQ219</f>
        <v>0</v>
      </c>
    </row>
    <row r="221" spans="27:43">
      <c r="AA221" s="41">
        <f t="shared" si="53"/>
        <v>218</v>
      </c>
      <c r="AB221" s="38">
        <f t="shared" si="52"/>
        <v>0</v>
      </c>
      <c r="AC221" s="39">
        <f t="shared" si="52"/>
        <v>0</v>
      </c>
      <c r="AD221" s="40">
        <f t="shared" si="52"/>
        <v>0</v>
      </c>
      <c r="AE221" s="38">
        <f t="shared" si="48"/>
        <v>0</v>
      </c>
      <c r="AF221" s="39">
        <f t="shared" si="48"/>
        <v>0</v>
      </c>
      <c r="AG221" s="40">
        <f t="shared" si="48"/>
        <v>0</v>
      </c>
      <c r="AH221" s="40">
        <f t="shared" si="48"/>
        <v>0</v>
      </c>
      <c r="AI221" s="40">
        <f t="shared" si="49"/>
        <v>0</v>
      </c>
      <c r="AJ221" s="40">
        <f t="shared" si="49"/>
        <v>0</v>
      </c>
      <c r="AK221" s="40">
        <f t="shared" si="49"/>
        <v>0</v>
      </c>
      <c r="AL221" s="40">
        <f t="shared" si="49"/>
        <v>0</v>
      </c>
      <c r="AM221" s="40">
        <f t="shared" si="50"/>
        <v>0</v>
      </c>
      <c r="AN221" s="40">
        <f t="shared" si="50"/>
        <v>0</v>
      </c>
      <c r="AO221" s="40">
        <f t="shared" si="50"/>
        <v>0</v>
      </c>
      <c r="AP221" s="40">
        <f t="shared" si="50"/>
        <v>0</v>
      </c>
      <c r="AQ221" s="40">
        <f t="shared" ref="AQ221" si="76">AQ220</f>
        <v>0</v>
      </c>
    </row>
    <row r="222" spans="27:43">
      <c r="AA222" s="41">
        <f t="shared" si="53"/>
        <v>219</v>
      </c>
      <c r="AB222" s="38">
        <f t="shared" si="52"/>
        <v>0</v>
      </c>
      <c r="AC222" s="39">
        <f t="shared" si="52"/>
        <v>0</v>
      </c>
      <c r="AD222" s="40">
        <f t="shared" si="52"/>
        <v>0</v>
      </c>
      <c r="AE222" s="38">
        <f t="shared" si="48"/>
        <v>0</v>
      </c>
      <c r="AF222" s="39">
        <f t="shared" si="48"/>
        <v>0</v>
      </c>
      <c r="AG222" s="40">
        <f t="shared" si="48"/>
        <v>0</v>
      </c>
      <c r="AH222" s="40">
        <f t="shared" si="48"/>
        <v>0</v>
      </c>
      <c r="AI222" s="40">
        <f t="shared" si="49"/>
        <v>0</v>
      </c>
      <c r="AJ222" s="40">
        <f t="shared" si="49"/>
        <v>0</v>
      </c>
      <c r="AK222" s="40">
        <f t="shared" si="49"/>
        <v>0</v>
      </c>
      <c r="AL222" s="40">
        <f t="shared" si="49"/>
        <v>0</v>
      </c>
      <c r="AM222" s="40">
        <f t="shared" si="50"/>
        <v>0</v>
      </c>
      <c r="AN222" s="40">
        <f t="shared" si="50"/>
        <v>0</v>
      </c>
      <c r="AO222" s="40">
        <f t="shared" si="50"/>
        <v>0</v>
      </c>
      <c r="AP222" s="40">
        <f t="shared" si="50"/>
        <v>0</v>
      </c>
      <c r="AQ222" s="40">
        <f t="shared" ref="AQ222" si="77">AQ221</f>
        <v>0</v>
      </c>
    </row>
    <row r="223" spans="27:43">
      <c r="AA223" s="41">
        <f t="shared" si="53"/>
        <v>220</v>
      </c>
      <c r="AB223" s="38">
        <f t="shared" si="52"/>
        <v>0</v>
      </c>
      <c r="AC223" s="39">
        <f t="shared" si="52"/>
        <v>0</v>
      </c>
      <c r="AD223" s="40">
        <f t="shared" si="52"/>
        <v>0</v>
      </c>
      <c r="AE223" s="38">
        <f t="shared" si="48"/>
        <v>0</v>
      </c>
      <c r="AF223" s="39">
        <f t="shared" si="48"/>
        <v>0</v>
      </c>
      <c r="AG223" s="40">
        <f t="shared" si="48"/>
        <v>0</v>
      </c>
      <c r="AH223" s="40">
        <f t="shared" si="48"/>
        <v>0</v>
      </c>
      <c r="AI223" s="40">
        <f t="shared" si="49"/>
        <v>0</v>
      </c>
      <c r="AJ223" s="40">
        <f t="shared" si="49"/>
        <v>0</v>
      </c>
      <c r="AK223" s="40">
        <f t="shared" si="49"/>
        <v>0</v>
      </c>
      <c r="AL223" s="40">
        <f t="shared" si="49"/>
        <v>0</v>
      </c>
      <c r="AM223" s="40">
        <f t="shared" si="50"/>
        <v>0</v>
      </c>
      <c r="AN223" s="40">
        <f t="shared" si="50"/>
        <v>0</v>
      </c>
      <c r="AO223" s="40">
        <f t="shared" si="50"/>
        <v>0</v>
      </c>
      <c r="AP223" s="40">
        <f t="shared" si="50"/>
        <v>0</v>
      </c>
      <c r="AQ223" s="40">
        <f t="shared" ref="AQ223" si="78">AQ222</f>
        <v>0</v>
      </c>
    </row>
    <row r="224" spans="27:43">
      <c r="AA224" s="41">
        <f t="shared" si="53"/>
        <v>221</v>
      </c>
      <c r="AB224" s="38">
        <f t="shared" si="52"/>
        <v>0</v>
      </c>
      <c r="AC224" s="39">
        <f t="shared" si="52"/>
        <v>0</v>
      </c>
      <c r="AD224" s="40">
        <f t="shared" si="52"/>
        <v>0</v>
      </c>
      <c r="AE224" s="38">
        <f t="shared" si="48"/>
        <v>0</v>
      </c>
      <c r="AF224" s="39">
        <f t="shared" si="48"/>
        <v>0</v>
      </c>
      <c r="AG224" s="40">
        <f t="shared" si="48"/>
        <v>0</v>
      </c>
      <c r="AH224" s="40">
        <f t="shared" si="48"/>
        <v>0</v>
      </c>
      <c r="AI224" s="40">
        <f t="shared" si="49"/>
        <v>0</v>
      </c>
      <c r="AJ224" s="40">
        <f t="shared" si="49"/>
        <v>0</v>
      </c>
      <c r="AK224" s="40">
        <f t="shared" si="49"/>
        <v>0</v>
      </c>
      <c r="AL224" s="40">
        <f t="shared" si="49"/>
        <v>0</v>
      </c>
      <c r="AM224" s="40">
        <f t="shared" si="50"/>
        <v>0</v>
      </c>
      <c r="AN224" s="40">
        <f t="shared" si="50"/>
        <v>0</v>
      </c>
      <c r="AO224" s="40">
        <f t="shared" si="50"/>
        <v>0</v>
      </c>
      <c r="AP224" s="40">
        <f t="shared" si="50"/>
        <v>0</v>
      </c>
      <c r="AQ224" s="40">
        <f t="shared" ref="AQ224" si="79">AQ223</f>
        <v>0</v>
      </c>
    </row>
    <row r="225" spans="27:43">
      <c r="AA225" s="41">
        <f t="shared" si="53"/>
        <v>222</v>
      </c>
      <c r="AB225" s="38">
        <f t="shared" si="52"/>
        <v>0</v>
      </c>
      <c r="AC225" s="39">
        <f t="shared" si="52"/>
        <v>0</v>
      </c>
      <c r="AD225" s="40">
        <f t="shared" si="52"/>
        <v>0</v>
      </c>
      <c r="AE225" s="38">
        <f t="shared" si="48"/>
        <v>0</v>
      </c>
      <c r="AF225" s="39">
        <f t="shared" si="48"/>
        <v>0</v>
      </c>
      <c r="AG225" s="40">
        <f t="shared" si="48"/>
        <v>0</v>
      </c>
      <c r="AH225" s="40">
        <f t="shared" si="48"/>
        <v>0</v>
      </c>
      <c r="AI225" s="40">
        <f t="shared" si="49"/>
        <v>0</v>
      </c>
      <c r="AJ225" s="40">
        <f t="shared" si="49"/>
        <v>0</v>
      </c>
      <c r="AK225" s="40">
        <f t="shared" si="49"/>
        <v>0</v>
      </c>
      <c r="AL225" s="40">
        <f t="shared" si="49"/>
        <v>0</v>
      </c>
      <c r="AM225" s="40">
        <f t="shared" si="50"/>
        <v>0</v>
      </c>
      <c r="AN225" s="40">
        <f t="shared" si="50"/>
        <v>0</v>
      </c>
      <c r="AO225" s="40">
        <f t="shared" si="50"/>
        <v>0</v>
      </c>
      <c r="AP225" s="40">
        <f t="shared" si="50"/>
        <v>0</v>
      </c>
      <c r="AQ225" s="40">
        <f t="shared" ref="AQ225" si="80">AQ224</f>
        <v>0</v>
      </c>
    </row>
    <row r="226" spans="27:43">
      <c r="AA226" s="41">
        <f t="shared" si="53"/>
        <v>223</v>
      </c>
      <c r="AB226" s="38">
        <f t="shared" si="52"/>
        <v>0</v>
      </c>
      <c r="AC226" s="39">
        <f t="shared" si="52"/>
        <v>0</v>
      </c>
      <c r="AD226" s="40">
        <f t="shared" si="52"/>
        <v>0</v>
      </c>
      <c r="AE226" s="38">
        <f t="shared" si="48"/>
        <v>0</v>
      </c>
      <c r="AF226" s="39">
        <f t="shared" si="48"/>
        <v>0</v>
      </c>
      <c r="AG226" s="40">
        <f t="shared" si="48"/>
        <v>0</v>
      </c>
      <c r="AH226" s="40">
        <f t="shared" si="48"/>
        <v>0</v>
      </c>
      <c r="AI226" s="40">
        <f t="shared" si="49"/>
        <v>0</v>
      </c>
      <c r="AJ226" s="40">
        <f t="shared" si="49"/>
        <v>0</v>
      </c>
      <c r="AK226" s="40">
        <f t="shared" si="49"/>
        <v>0</v>
      </c>
      <c r="AL226" s="40">
        <f t="shared" si="49"/>
        <v>0</v>
      </c>
      <c r="AM226" s="40">
        <f t="shared" si="50"/>
        <v>0</v>
      </c>
      <c r="AN226" s="40">
        <f t="shared" si="50"/>
        <v>0</v>
      </c>
      <c r="AO226" s="40">
        <f t="shared" si="50"/>
        <v>0</v>
      </c>
      <c r="AP226" s="40">
        <f t="shared" si="50"/>
        <v>0</v>
      </c>
      <c r="AQ226" s="40">
        <f t="shared" ref="AQ226" si="81">AQ225</f>
        <v>0</v>
      </c>
    </row>
    <row r="227" spans="27:43">
      <c r="AA227" s="41">
        <f t="shared" si="53"/>
        <v>224</v>
      </c>
      <c r="AB227" s="38">
        <f t="shared" si="52"/>
        <v>0</v>
      </c>
      <c r="AC227" s="39">
        <f t="shared" si="52"/>
        <v>0</v>
      </c>
      <c r="AD227" s="40">
        <f t="shared" si="52"/>
        <v>0</v>
      </c>
      <c r="AE227" s="38">
        <f t="shared" si="48"/>
        <v>0</v>
      </c>
      <c r="AF227" s="39">
        <f t="shared" si="48"/>
        <v>0</v>
      </c>
      <c r="AG227" s="40">
        <f t="shared" si="48"/>
        <v>0</v>
      </c>
      <c r="AH227" s="40">
        <f t="shared" si="48"/>
        <v>0</v>
      </c>
      <c r="AI227" s="40">
        <f t="shared" si="49"/>
        <v>0</v>
      </c>
      <c r="AJ227" s="40">
        <f t="shared" si="49"/>
        <v>0</v>
      </c>
      <c r="AK227" s="40">
        <f t="shared" si="49"/>
        <v>0</v>
      </c>
      <c r="AL227" s="40">
        <f t="shared" si="49"/>
        <v>0</v>
      </c>
      <c r="AM227" s="40">
        <f t="shared" si="50"/>
        <v>0</v>
      </c>
      <c r="AN227" s="40">
        <f t="shared" si="50"/>
        <v>0</v>
      </c>
      <c r="AO227" s="40">
        <f t="shared" si="50"/>
        <v>0</v>
      </c>
      <c r="AP227" s="40">
        <f t="shared" si="50"/>
        <v>0</v>
      </c>
      <c r="AQ227" s="40">
        <f t="shared" ref="AQ227" si="82">AQ226</f>
        <v>0</v>
      </c>
    </row>
    <row r="228" spans="27:43">
      <c r="AA228" s="41">
        <f t="shared" si="53"/>
        <v>225</v>
      </c>
      <c r="AB228" s="38">
        <f t="shared" si="52"/>
        <v>0</v>
      </c>
      <c r="AC228" s="39">
        <f t="shared" si="52"/>
        <v>0</v>
      </c>
      <c r="AD228" s="40">
        <f t="shared" si="52"/>
        <v>0</v>
      </c>
      <c r="AE228" s="38">
        <f t="shared" si="48"/>
        <v>0</v>
      </c>
      <c r="AF228" s="39">
        <f t="shared" si="48"/>
        <v>0</v>
      </c>
      <c r="AG228" s="40">
        <f t="shared" si="48"/>
        <v>0</v>
      </c>
      <c r="AH228" s="40">
        <f t="shared" si="48"/>
        <v>0</v>
      </c>
      <c r="AI228" s="40">
        <f t="shared" si="49"/>
        <v>0</v>
      </c>
      <c r="AJ228" s="40">
        <f t="shared" si="49"/>
        <v>0</v>
      </c>
      <c r="AK228" s="40">
        <f t="shared" si="49"/>
        <v>0</v>
      </c>
      <c r="AL228" s="40">
        <f t="shared" si="49"/>
        <v>0</v>
      </c>
      <c r="AM228" s="40">
        <f t="shared" si="50"/>
        <v>0</v>
      </c>
      <c r="AN228" s="40">
        <f t="shared" si="50"/>
        <v>0</v>
      </c>
      <c r="AO228" s="40">
        <f t="shared" si="50"/>
        <v>0</v>
      </c>
      <c r="AP228" s="40">
        <f t="shared" si="50"/>
        <v>0</v>
      </c>
      <c r="AQ228" s="40">
        <f t="shared" ref="AQ228" si="83">AQ227</f>
        <v>0</v>
      </c>
    </row>
    <row r="229" spans="27:43">
      <c r="AA229" s="41">
        <f t="shared" si="53"/>
        <v>226</v>
      </c>
      <c r="AB229" s="38">
        <f t="shared" si="52"/>
        <v>0</v>
      </c>
      <c r="AC229" s="39">
        <f t="shared" si="52"/>
        <v>0</v>
      </c>
      <c r="AD229" s="40">
        <f t="shared" si="52"/>
        <v>0</v>
      </c>
      <c r="AE229" s="38">
        <f t="shared" si="48"/>
        <v>0</v>
      </c>
      <c r="AF229" s="39">
        <f t="shared" si="48"/>
        <v>0</v>
      </c>
      <c r="AG229" s="40">
        <f t="shared" si="48"/>
        <v>0</v>
      </c>
      <c r="AH229" s="40">
        <f t="shared" si="48"/>
        <v>0</v>
      </c>
      <c r="AI229" s="40">
        <f t="shared" si="49"/>
        <v>0</v>
      </c>
      <c r="AJ229" s="40">
        <f t="shared" si="49"/>
        <v>0</v>
      </c>
      <c r="AK229" s="40">
        <f t="shared" si="49"/>
        <v>0</v>
      </c>
      <c r="AL229" s="40">
        <f t="shared" si="49"/>
        <v>0</v>
      </c>
      <c r="AM229" s="40">
        <f t="shared" si="50"/>
        <v>0</v>
      </c>
      <c r="AN229" s="40">
        <f t="shared" si="50"/>
        <v>0</v>
      </c>
      <c r="AO229" s="40">
        <f t="shared" si="50"/>
        <v>0</v>
      </c>
      <c r="AP229" s="40">
        <f t="shared" si="50"/>
        <v>0</v>
      </c>
      <c r="AQ229" s="40">
        <f t="shared" ref="AQ229" si="84">AQ228</f>
        <v>0</v>
      </c>
    </row>
    <row r="230" spans="27:43">
      <c r="AA230" s="41">
        <f t="shared" si="53"/>
        <v>227</v>
      </c>
      <c r="AB230" s="38">
        <f t="shared" si="52"/>
        <v>0</v>
      </c>
      <c r="AC230" s="39">
        <f t="shared" si="52"/>
        <v>0</v>
      </c>
      <c r="AD230" s="40">
        <f t="shared" si="52"/>
        <v>0</v>
      </c>
      <c r="AE230" s="38">
        <f t="shared" si="48"/>
        <v>0</v>
      </c>
      <c r="AF230" s="39">
        <f t="shared" si="48"/>
        <v>0</v>
      </c>
      <c r="AG230" s="40">
        <f t="shared" si="48"/>
        <v>0</v>
      </c>
      <c r="AH230" s="40">
        <f t="shared" si="48"/>
        <v>0</v>
      </c>
      <c r="AI230" s="40">
        <f t="shared" si="49"/>
        <v>0</v>
      </c>
      <c r="AJ230" s="40">
        <f t="shared" si="49"/>
        <v>0</v>
      </c>
      <c r="AK230" s="40">
        <f t="shared" si="49"/>
        <v>0</v>
      </c>
      <c r="AL230" s="40">
        <f t="shared" si="49"/>
        <v>0</v>
      </c>
      <c r="AM230" s="40">
        <f t="shared" si="50"/>
        <v>0</v>
      </c>
      <c r="AN230" s="40">
        <f t="shared" si="50"/>
        <v>0</v>
      </c>
      <c r="AO230" s="40">
        <f t="shared" si="50"/>
        <v>0</v>
      </c>
      <c r="AP230" s="40">
        <f t="shared" si="50"/>
        <v>0</v>
      </c>
      <c r="AQ230" s="40">
        <f t="shared" ref="AQ230" si="85">AQ229</f>
        <v>0</v>
      </c>
    </row>
    <row r="231" spans="27:43">
      <c r="AA231" s="41">
        <f t="shared" si="53"/>
        <v>228</v>
      </c>
      <c r="AB231" s="38">
        <f t="shared" si="52"/>
        <v>0</v>
      </c>
      <c r="AC231" s="39">
        <f t="shared" si="52"/>
        <v>0</v>
      </c>
      <c r="AD231" s="40">
        <f t="shared" si="52"/>
        <v>0</v>
      </c>
      <c r="AE231" s="38">
        <f t="shared" si="48"/>
        <v>0</v>
      </c>
      <c r="AF231" s="39">
        <f t="shared" si="48"/>
        <v>0</v>
      </c>
      <c r="AG231" s="40">
        <f t="shared" si="48"/>
        <v>0</v>
      </c>
      <c r="AH231" s="40">
        <f t="shared" si="48"/>
        <v>0</v>
      </c>
      <c r="AI231" s="40">
        <f t="shared" si="49"/>
        <v>0</v>
      </c>
      <c r="AJ231" s="40">
        <f t="shared" si="49"/>
        <v>0</v>
      </c>
      <c r="AK231" s="40">
        <f t="shared" si="49"/>
        <v>0</v>
      </c>
      <c r="AL231" s="40">
        <f t="shared" si="49"/>
        <v>0</v>
      </c>
      <c r="AM231" s="40">
        <f t="shared" si="50"/>
        <v>0</v>
      </c>
      <c r="AN231" s="40">
        <f t="shared" si="50"/>
        <v>0</v>
      </c>
      <c r="AO231" s="40">
        <f t="shared" si="50"/>
        <v>0</v>
      </c>
      <c r="AP231" s="40">
        <f t="shared" si="50"/>
        <v>0</v>
      </c>
      <c r="AQ231" s="40">
        <f t="shared" ref="AQ231" si="86">AQ230</f>
        <v>0</v>
      </c>
    </row>
    <row r="232" spans="27:43">
      <c r="AA232" s="41">
        <f t="shared" si="53"/>
        <v>229</v>
      </c>
      <c r="AB232" s="38">
        <f t="shared" si="52"/>
        <v>0</v>
      </c>
      <c r="AC232" s="39">
        <f t="shared" si="52"/>
        <v>0</v>
      </c>
      <c r="AD232" s="40">
        <f t="shared" si="52"/>
        <v>0</v>
      </c>
      <c r="AE232" s="38">
        <f t="shared" si="48"/>
        <v>0</v>
      </c>
      <c r="AF232" s="39">
        <f t="shared" si="48"/>
        <v>0</v>
      </c>
      <c r="AG232" s="40">
        <f t="shared" si="48"/>
        <v>0</v>
      </c>
      <c r="AH232" s="40">
        <f t="shared" si="48"/>
        <v>0</v>
      </c>
      <c r="AI232" s="40">
        <f t="shared" si="49"/>
        <v>0</v>
      </c>
      <c r="AJ232" s="40">
        <f t="shared" si="49"/>
        <v>0</v>
      </c>
      <c r="AK232" s="40">
        <f t="shared" si="49"/>
        <v>0</v>
      </c>
      <c r="AL232" s="40">
        <f t="shared" si="49"/>
        <v>0</v>
      </c>
      <c r="AM232" s="40">
        <f t="shared" si="50"/>
        <v>0</v>
      </c>
      <c r="AN232" s="40">
        <f t="shared" si="50"/>
        <v>0</v>
      </c>
      <c r="AO232" s="40">
        <f t="shared" si="50"/>
        <v>0</v>
      </c>
      <c r="AP232" s="40">
        <f t="shared" si="50"/>
        <v>0</v>
      </c>
      <c r="AQ232" s="40">
        <f t="shared" ref="AQ232" si="87">AQ231</f>
        <v>0</v>
      </c>
    </row>
    <row r="233" spans="27:43">
      <c r="AA233" s="41">
        <f t="shared" si="53"/>
        <v>230</v>
      </c>
      <c r="AB233" s="38">
        <f t="shared" si="52"/>
        <v>0</v>
      </c>
      <c r="AC233" s="39">
        <f t="shared" si="52"/>
        <v>0</v>
      </c>
      <c r="AD233" s="40">
        <f t="shared" si="52"/>
        <v>0</v>
      </c>
      <c r="AE233" s="38">
        <f t="shared" si="48"/>
        <v>0</v>
      </c>
      <c r="AF233" s="39">
        <f t="shared" si="48"/>
        <v>0</v>
      </c>
      <c r="AG233" s="40">
        <f t="shared" si="48"/>
        <v>0</v>
      </c>
      <c r="AH233" s="40">
        <f t="shared" si="48"/>
        <v>0</v>
      </c>
      <c r="AI233" s="40">
        <f t="shared" si="49"/>
        <v>0</v>
      </c>
      <c r="AJ233" s="40">
        <f t="shared" si="49"/>
        <v>0</v>
      </c>
      <c r="AK233" s="40">
        <f t="shared" si="49"/>
        <v>0</v>
      </c>
      <c r="AL233" s="40">
        <f t="shared" si="49"/>
        <v>0</v>
      </c>
      <c r="AM233" s="40">
        <f t="shared" si="50"/>
        <v>0</v>
      </c>
      <c r="AN233" s="40">
        <f t="shared" si="50"/>
        <v>0</v>
      </c>
      <c r="AO233" s="40">
        <f t="shared" si="50"/>
        <v>0</v>
      </c>
      <c r="AP233" s="40">
        <f t="shared" si="50"/>
        <v>0</v>
      </c>
      <c r="AQ233" s="40">
        <f t="shared" ref="AQ233" si="88">AQ232</f>
        <v>0</v>
      </c>
    </row>
    <row r="234" spans="27:43">
      <c r="AA234" s="41">
        <f t="shared" si="53"/>
        <v>231</v>
      </c>
      <c r="AB234" s="38">
        <f t="shared" si="52"/>
        <v>0</v>
      </c>
      <c r="AC234" s="39">
        <f t="shared" si="52"/>
        <v>0</v>
      </c>
      <c r="AD234" s="40">
        <f t="shared" si="52"/>
        <v>0</v>
      </c>
      <c r="AE234" s="38">
        <f t="shared" si="48"/>
        <v>0</v>
      </c>
      <c r="AF234" s="39">
        <f t="shared" si="48"/>
        <v>0</v>
      </c>
      <c r="AG234" s="40">
        <f t="shared" si="48"/>
        <v>0</v>
      </c>
      <c r="AH234" s="40">
        <f t="shared" si="48"/>
        <v>0</v>
      </c>
      <c r="AI234" s="40">
        <f t="shared" si="49"/>
        <v>0</v>
      </c>
      <c r="AJ234" s="40">
        <f t="shared" si="49"/>
        <v>0</v>
      </c>
      <c r="AK234" s="40">
        <f t="shared" si="49"/>
        <v>0</v>
      </c>
      <c r="AL234" s="40">
        <f t="shared" si="49"/>
        <v>0</v>
      </c>
      <c r="AM234" s="40">
        <f t="shared" si="50"/>
        <v>0</v>
      </c>
      <c r="AN234" s="40">
        <f t="shared" si="50"/>
        <v>0</v>
      </c>
      <c r="AO234" s="40">
        <f t="shared" si="50"/>
        <v>0</v>
      </c>
      <c r="AP234" s="40">
        <f t="shared" si="50"/>
        <v>0</v>
      </c>
      <c r="AQ234" s="40">
        <f t="shared" ref="AQ234" si="89">AQ233</f>
        <v>0</v>
      </c>
    </row>
    <row r="235" spans="27:43">
      <c r="AA235" s="41">
        <f t="shared" si="53"/>
        <v>232</v>
      </c>
      <c r="AB235" s="38">
        <f t="shared" si="52"/>
        <v>0</v>
      </c>
      <c r="AC235" s="39">
        <f t="shared" si="52"/>
        <v>0</v>
      </c>
      <c r="AD235" s="40">
        <f t="shared" si="52"/>
        <v>0</v>
      </c>
      <c r="AE235" s="38">
        <f t="shared" si="48"/>
        <v>0</v>
      </c>
      <c r="AF235" s="39">
        <f t="shared" si="48"/>
        <v>0</v>
      </c>
      <c r="AG235" s="40">
        <f t="shared" si="48"/>
        <v>0</v>
      </c>
      <c r="AH235" s="40">
        <f t="shared" si="48"/>
        <v>0</v>
      </c>
      <c r="AI235" s="40">
        <f t="shared" si="49"/>
        <v>0</v>
      </c>
      <c r="AJ235" s="40">
        <f t="shared" si="49"/>
        <v>0</v>
      </c>
      <c r="AK235" s="40">
        <f t="shared" si="49"/>
        <v>0</v>
      </c>
      <c r="AL235" s="40">
        <f t="shared" si="49"/>
        <v>0</v>
      </c>
      <c r="AM235" s="40">
        <f t="shared" si="50"/>
        <v>0</v>
      </c>
      <c r="AN235" s="40">
        <f t="shared" si="50"/>
        <v>0</v>
      </c>
      <c r="AO235" s="40">
        <f t="shared" si="50"/>
        <v>0</v>
      </c>
      <c r="AP235" s="40">
        <f t="shared" si="50"/>
        <v>0</v>
      </c>
      <c r="AQ235" s="40">
        <f t="shared" ref="AQ235" si="90">AQ234</f>
        <v>0</v>
      </c>
    </row>
    <row r="236" spans="27:43">
      <c r="AA236" s="41">
        <f t="shared" si="53"/>
        <v>233</v>
      </c>
      <c r="AB236" s="38">
        <f t="shared" si="52"/>
        <v>0</v>
      </c>
      <c r="AC236" s="39">
        <f t="shared" si="52"/>
        <v>0</v>
      </c>
      <c r="AD236" s="40">
        <f t="shared" si="52"/>
        <v>0</v>
      </c>
      <c r="AE236" s="38">
        <f t="shared" si="48"/>
        <v>0</v>
      </c>
      <c r="AF236" s="39">
        <f t="shared" si="48"/>
        <v>0</v>
      </c>
      <c r="AG236" s="40">
        <f t="shared" si="48"/>
        <v>0</v>
      </c>
      <c r="AH236" s="40">
        <f t="shared" si="48"/>
        <v>0</v>
      </c>
      <c r="AI236" s="40">
        <f t="shared" si="49"/>
        <v>0</v>
      </c>
      <c r="AJ236" s="40">
        <f t="shared" si="49"/>
        <v>0</v>
      </c>
      <c r="AK236" s="40">
        <f t="shared" si="49"/>
        <v>0</v>
      </c>
      <c r="AL236" s="40">
        <f t="shared" si="49"/>
        <v>0</v>
      </c>
      <c r="AM236" s="40">
        <f t="shared" si="50"/>
        <v>0</v>
      </c>
      <c r="AN236" s="40">
        <f t="shared" si="50"/>
        <v>0</v>
      </c>
      <c r="AO236" s="40">
        <f t="shared" si="50"/>
        <v>0</v>
      </c>
      <c r="AP236" s="40">
        <f t="shared" si="50"/>
        <v>0</v>
      </c>
      <c r="AQ236" s="40">
        <f t="shared" ref="AQ236" si="91">AQ235</f>
        <v>0</v>
      </c>
    </row>
    <row r="237" spans="27:43">
      <c r="AA237" s="41">
        <f t="shared" si="53"/>
        <v>234</v>
      </c>
      <c r="AB237" s="38">
        <f t="shared" si="52"/>
        <v>0</v>
      </c>
      <c r="AC237" s="39">
        <f t="shared" si="52"/>
        <v>0</v>
      </c>
      <c r="AD237" s="40">
        <f t="shared" si="52"/>
        <v>0</v>
      </c>
      <c r="AE237" s="38">
        <f t="shared" si="48"/>
        <v>0</v>
      </c>
      <c r="AF237" s="39">
        <f t="shared" si="48"/>
        <v>0</v>
      </c>
      <c r="AG237" s="40">
        <f t="shared" si="48"/>
        <v>0</v>
      </c>
      <c r="AH237" s="40">
        <f t="shared" si="48"/>
        <v>0</v>
      </c>
      <c r="AI237" s="40">
        <f t="shared" si="49"/>
        <v>0</v>
      </c>
      <c r="AJ237" s="40">
        <f t="shared" si="49"/>
        <v>0</v>
      </c>
      <c r="AK237" s="40">
        <f t="shared" si="49"/>
        <v>0</v>
      </c>
      <c r="AL237" s="40">
        <f t="shared" si="49"/>
        <v>0</v>
      </c>
      <c r="AM237" s="40">
        <f t="shared" si="50"/>
        <v>0</v>
      </c>
      <c r="AN237" s="40">
        <f t="shared" si="50"/>
        <v>0</v>
      </c>
      <c r="AO237" s="40">
        <f t="shared" si="50"/>
        <v>0</v>
      </c>
      <c r="AP237" s="40">
        <f t="shared" si="50"/>
        <v>0</v>
      </c>
      <c r="AQ237" s="40">
        <f t="shared" ref="AQ237" si="92">AQ236</f>
        <v>0</v>
      </c>
    </row>
    <row r="238" spans="27:43">
      <c r="AA238" s="41">
        <f t="shared" si="53"/>
        <v>235</v>
      </c>
      <c r="AB238" s="38">
        <f t="shared" si="52"/>
        <v>0</v>
      </c>
      <c r="AC238" s="39">
        <f t="shared" si="52"/>
        <v>0</v>
      </c>
      <c r="AD238" s="40">
        <f t="shared" si="52"/>
        <v>0</v>
      </c>
      <c r="AE238" s="38">
        <f t="shared" si="48"/>
        <v>0</v>
      </c>
      <c r="AF238" s="39">
        <f t="shared" si="48"/>
        <v>0</v>
      </c>
      <c r="AG238" s="40">
        <f t="shared" si="48"/>
        <v>0</v>
      </c>
      <c r="AH238" s="40">
        <f t="shared" si="48"/>
        <v>0</v>
      </c>
      <c r="AI238" s="40">
        <f t="shared" si="49"/>
        <v>0</v>
      </c>
      <c r="AJ238" s="40">
        <f t="shared" si="49"/>
        <v>0</v>
      </c>
      <c r="AK238" s="40">
        <f t="shared" si="49"/>
        <v>0</v>
      </c>
      <c r="AL238" s="40">
        <f t="shared" si="49"/>
        <v>0</v>
      </c>
      <c r="AM238" s="40">
        <f t="shared" si="50"/>
        <v>0</v>
      </c>
      <c r="AN238" s="40">
        <f t="shared" si="50"/>
        <v>0</v>
      </c>
      <c r="AO238" s="40">
        <f t="shared" si="50"/>
        <v>0</v>
      </c>
      <c r="AP238" s="40">
        <f t="shared" si="50"/>
        <v>0</v>
      </c>
      <c r="AQ238" s="40">
        <f t="shared" ref="AQ238" si="93">AQ237</f>
        <v>0</v>
      </c>
    </row>
    <row r="239" spans="27:43">
      <c r="AA239" s="41">
        <f t="shared" si="53"/>
        <v>236</v>
      </c>
      <c r="AB239" s="38">
        <f t="shared" si="52"/>
        <v>0</v>
      </c>
      <c r="AC239" s="39">
        <f t="shared" si="52"/>
        <v>0</v>
      </c>
      <c r="AD239" s="40">
        <f t="shared" si="52"/>
        <v>0</v>
      </c>
      <c r="AE239" s="38">
        <f t="shared" si="48"/>
        <v>0</v>
      </c>
      <c r="AF239" s="39">
        <f t="shared" si="48"/>
        <v>0</v>
      </c>
      <c r="AG239" s="40">
        <f t="shared" si="48"/>
        <v>0</v>
      </c>
      <c r="AH239" s="40">
        <f t="shared" si="48"/>
        <v>0</v>
      </c>
      <c r="AI239" s="40">
        <f t="shared" si="49"/>
        <v>0</v>
      </c>
      <c r="AJ239" s="40">
        <f t="shared" si="49"/>
        <v>0</v>
      </c>
      <c r="AK239" s="40">
        <f t="shared" si="49"/>
        <v>0</v>
      </c>
      <c r="AL239" s="40">
        <f t="shared" si="49"/>
        <v>0</v>
      </c>
      <c r="AM239" s="40">
        <f t="shared" si="50"/>
        <v>0</v>
      </c>
      <c r="AN239" s="40">
        <f t="shared" si="50"/>
        <v>0</v>
      </c>
      <c r="AO239" s="40">
        <f t="shared" si="50"/>
        <v>0</v>
      </c>
      <c r="AP239" s="40">
        <f t="shared" si="50"/>
        <v>0</v>
      </c>
      <c r="AQ239" s="40">
        <f t="shared" ref="AQ239" si="94">AQ238</f>
        <v>0</v>
      </c>
    </row>
    <row r="240" spans="27:43">
      <c r="AA240" s="41">
        <f t="shared" si="53"/>
        <v>237</v>
      </c>
      <c r="AB240" s="38">
        <f t="shared" si="52"/>
        <v>0</v>
      </c>
      <c r="AC240" s="39">
        <f t="shared" si="52"/>
        <v>0</v>
      </c>
      <c r="AD240" s="40">
        <f t="shared" si="52"/>
        <v>0</v>
      </c>
      <c r="AE240" s="38">
        <f t="shared" si="48"/>
        <v>0</v>
      </c>
      <c r="AF240" s="39">
        <f t="shared" si="48"/>
        <v>0</v>
      </c>
      <c r="AG240" s="40">
        <f t="shared" si="48"/>
        <v>0</v>
      </c>
      <c r="AH240" s="40">
        <f t="shared" si="48"/>
        <v>0</v>
      </c>
      <c r="AI240" s="40">
        <f t="shared" si="49"/>
        <v>0</v>
      </c>
      <c r="AJ240" s="40">
        <f t="shared" si="49"/>
        <v>0</v>
      </c>
      <c r="AK240" s="40">
        <f t="shared" si="49"/>
        <v>0</v>
      </c>
      <c r="AL240" s="40">
        <f t="shared" si="49"/>
        <v>0</v>
      </c>
      <c r="AM240" s="40">
        <f t="shared" si="50"/>
        <v>0</v>
      </c>
      <c r="AN240" s="40">
        <f t="shared" si="50"/>
        <v>0</v>
      </c>
      <c r="AO240" s="40">
        <f t="shared" si="50"/>
        <v>0</v>
      </c>
      <c r="AP240" s="40">
        <f t="shared" si="50"/>
        <v>0</v>
      </c>
      <c r="AQ240" s="40">
        <f t="shared" ref="AQ240" si="95">AQ239</f>
        <v>0</v>
      </c>
    </row>
    <row r="241" spans="27:43">
      <c r="AA241" s="41">
        <f t="shared" si="53"/>
        <v>238</v>
      </c>
      <c r="AB241" s="38">
        <f t="shared" si="52"/>
        <v>0</v>
      </c>
      <c r="AC241" s="39">
        <f t="shared" si="52"/>
        <v>0</v>
      </c>
      <c r="AD241" s="40">
        <f t="shared" si="52"/>
        <v>0</v>
      </c>
      <c r="AE241" s="38">
        <f t="shared" si="48"/>
        <v>0</v>
      </c>
      <c r="AF241" s="39">
        <f t="shared" si="48"/>
        <v>0</v>
      </c>
      <c r="AG241" s="40">
        <f t="shared" si="48"/>
        <v>0</v>
      </c>
      <c r="AH241" s="40">
        <f t="shared" si="48"/>
        <v>0</v>
      </c>
      <c r="AI241" s="40">
        <f t="shared" si="49"/>
        <v>0</v>
      </c>
      <c r="AJ241" s="40">
        <f t="shared" si="49"/>
        <v>0</v>
      </c>
      <c r="AK241" s="40">
        <f t="shared" si="49"/>
        <v>0</v>
      </c>
      <c r="AL241" s="40">
        <f t="shared" si="49"/>
        <v>0</v>
      </c>
      <c r="AM241" s="40">
        <f t="shared" si="50"/>
        <v>0</v>
      </c>
      <c r="AN241" s="40">
        <f t="shared" si="50"/>
        <v>0</v>
      </c>
      <c r="AO241" s="40">
        <f t="shared" si="50"/>
        <v>0</v>
      </c>
      <c r="AP241" s="40">
        <f t="shared" si="50"/>
        <v>0</v>
      </c>
      <c r="AQ241" s="40">
        <f t="shared" ref="AQ241" si="96">AQ240</f>
        <v>0</v>
      </c>
    </row>
    <row r="242" spans="27:43">
      <c r="AA242" s="41">
        <f t="shared" si="53"/>
        <v>239</v>
      </c>
      <c r="AB242" s="38">
        <f t="shared" si="52"/>
        <v>0</v>
      </c>
      <c r="AC242" s="39">
        <f t="shared" si="52"/>
        <v>0</v>
      </c>
      <c r="AD242" s="40">
        <f t="shared" si="52"/>
        <v>0</v>
      </c>
      <c r="AE242" s="38">
        <f t="shared" si="48"/>
        <v>0</v>
      </c>
      <c r="AF242" s="39">
        <f t="shared" si="48"/>
        <v>0</v>
      </c>
      <c r="AG242" s="40">
        <f t="shared" si="48"/>
        <v>0</v>
      </c>
      <c r="AH242" s="40">
        <f t="shared" si="48"/>
        <v>0</v>
      </c>
      <c r="AI242" s="40">
        <f t="shared" si="49"/>
        <v>0</v>
      </c>
      <c r="AJ242" s="40">
        <f t="shared" si="49"/>
        <v>0</v>
      </c>
      <c r="AK242" s="40">
        <f t="shared" si="49"/>
        <v>0</v>
      </c>
      <c r="AL242" s="40">
        <f t="shared" si="49"/>
        <v>0</v>
      </c>
      <c r="AM242" s="40">
        <f t="shared" si="50"/>
        <v>0</v>
      </c>
      <c r="AN242" s="40">
        <f t="shared" si="50"/>
        <v>0</v>
      </c>
      <c r="AO242" s="40">
        <f t="shared" si="50"/>
        <v>0</v>
      </c>
      <c r="AP242" s="40">
        <f t="shared" si="50"/>
        <v>0</v>
      </c>
      <c r="AQ242" s="40">
        <f t="shared" ref="AQ242" si="97">AQ241</f>
        <v>0</v>
      </c>
    </row>
    <row r="243" spans="27:43">
      <c r="AA243" s="41">
        <f t="shared" si="53"/>
        <v>240</v>
      </c>
      <c r="AB243" s="38">
        <f t="shared" si="52"/>
        <v>0</v>
      </c>
      <c r="AC243" s="39">
        <f t="shared" si="52"/>
        <v>0</v>
      </c>
      <c r="AD243" s="40">
        <f t="shared" si="52"/>
        <v>0</v>
      </c>
      <c r="AE243" s="38">
        <f t="shared" si="48"/>
        <v>0</v>
      </c>
      <c r="AF243" s="39">
        <f t="shared" si="48"/>
        <v>0</v>
      </c>
      <c r="AG243" s="40">
        <f t="shared" si="48"/>
        <v>0</v>
      </c>
      <c r="AH243" s="40">
        <f t="shared" si="48"/>
        <v>0</v>
      </c>
      <c r="AI243" s="40">
        <f t="shared" si="49"/>
        <v>0</v>
      </c>
      <c r="AJ243" s="40">
        <f t="shared" si="49"/>
        <v>0</v>
      </c>
      <c r="AK243" s="40">
        <f t="shared" si="49"/>
        <v>0</v>
      </c>
      <c r="AL243" s="40">
        <f t="shared" si="49"/>
        <v>0</v>
      </c>
      <c r="AM243" s="40">
        <f t="shared" si="50"/>
        <v>0</v>
      </c>
      <c r="AN243" s="40">
        <f t="shared" si="50"/>
        <v>0</v>
      </c>
      <c r="AO243" s="40">
        <f t="shared" si="50"/>
        <v>0</v>
      </c>
      <c r="AP243" s="40">
        <f t="shared" si="50"/>
        <v>0</v>
      </c>
      <c r="AQ243" s="40">
        <f t="shared" ref="AQ243" si="98">AQ242</f>
        <v>0</v>
      </c>
    </row>
    <row r="244" spans="27:43">
      <c r="AA244" s="41">
        <f t="shared" si="53"/>
        <v>241</v>
      </c>
      <c r="AB244" s="38">
        <f t="shared" si="52"/>
        <v>0</v>
      </c>
      <c r="AC244" s="39">
        <f t="shared" si="52"/>
        <v>0</v>
      </c>
      <c r="AD244" s="40">
        <f t="shared" si="52"/>
        <v>0</v>
      </c>
      <c r="AE244" s="38">
        <f t="shared" si="48"/>
        <v>0</v>
      </c>
      <c r="AF244" s="39">
        <f t="shared" si="48"/>
        <v>0</v>
      </c>
      <c r="AG244" s="40">
        <f t="shared" si="48"/>
        <v>0</v>
      </c>
      <c r="AH244" s="40">
        <f t="shared" si="48"/>
        <v>0</v>
      </c>
      <c r="AI244" s="40">
        <f t="shared" si="49"/>
        <v>0</v>
      </c>
      <c r="AJ244" s="40">
        <f t="shared" si="49"/>
        <v>0</v>
      </c>
      <c r="AK244" s="40">
        <f t="shared" si="49"/>
        <v>0</v>
      </c>
      <c r="AL244" s="40">
        <f t="shared" si="49"/>
        <v>0</v>
      </c>
      <c r="AM244" s="40">
        <f t="shared" si="50"/>
        <v>0</v>
      </c>
      <c r="AN244" s="40">
        <f t="shared" si="50"/>
        <v>0</v>
      </c>
      <c r="AO244" s="40">
        <f t="shared" si="50"/>
        <v>0</v>
      </c>
      <c r="AP244" s="40">
        <f t="shared" si="50"/>
        <v>0</v>
      </c>
      <c r="AQ244" s="40">
        <f t="shared" ref="AQ244" si="99">AQ243</f>
        <v>0</v>
      </c>
    </row>
    <row r="245" spans="27:43">
      <c r="AA245" s="41">
        <f t="shared" si="53"/>
        <v>242</v>
      </c>
      <c r="AB245" s="38">
        <f t="shared" si="52"/>
        <v>0</v>
      </c>
      <c r="AC245" s="39">
        <f t="shared" si="52"/>
        <v>0</v>
      </c>
      <c r="AD245" s="40">
        <f t="shared" si="52"/>
        <v>0</v>
      </c>
      <c r="AE245" s="38">
        <f t="shared" si="48"/>
        <v>0</v>
      </c>
      <c r="AF245" s="39">
        <f t="shared" si="48"/>
        <v>0</v>
      </c>
      <c r="AG245" s="40">
        <f t="shared" si="48"/>
        <v>0</v>
      </c>
      <c r="AH245" s="40">
        <f t="shared" si="48"/>
        <v>0</v>
      </c>
      <c r="AI245" s="40">
        <f t="shared" si="49"/>
        <v>0</v>
      </c>
      <c r="AJ245" s="40">
        <f t="shared" si="49"/>
        <v>0</v>
      </c>
      <c r="AK245" s="40">
        <f t="shared" si="49"/>
        <v>0</v>
      </c>
      <c r="AL245" s="40">
        <f t="shared" si="49"/>
        <v>0</v>
      </c>
      <c r="AM245" s="40">
        <f t="shared" si="50"/>
        <v>0</v>
      </c>
      <c r="AN245" s="40">
        <f t="shared" si="50"/>
        <v>0</v>
      </c>
      <c r="AO245" s="40">
        <f t="shared" si="50"/>
        <v>0</v>
      </c>
      <c r="AP245" s="40">
        <f t="shared" si="50"/>
        <v>0</v>
      </c>
      <c r="AQ245" s="40">
        <f t="shared" ref="AQ245" si="100">AQ244</f>
        <v>0</v>
      </c>
    </row>
    <row r="246" spans="27:43">
      <c r="AA246" s="41">
        <f t="shared" si="53"/>
        <v>243</v>
      </c>
      <c r="AB246" s="38">
        <f t="shared" si="52"/>
        <v>0</v>
      </c>
      <c r="AC246" s="39">
        <f t="shared" si="52"/>
        <v>0</v>
      </c>
      <c r="AD246" s="40">
        <f t="shared" si="52"/>
        <v>0</v>
      </c>
      <c r="AE246" s="38">
        <f t="shared" si="48"/>
        <v>0</v>
      </c>
      <c r="AF246" s="39">
        <f t="shared" si="48"/>
        <v>0</v>
      </c>
      <c r="AG246" s="40">
        <f t="shared" si="48"/>
        <v>0</v>
      </c>
      <c r="AH246" s="40">
        <f t="shared" si="48"/>
        <v>0</v>
      </c>
      <c r="AI246" s="40">
        <f t="shared" si="49"/>
        <v>0</v>
      </c>
      <c r="AJ246" s="40">
        <f t="shared" si="49"/>
        <v>0</v>
      </c>
      <c r="AK246" s="40">
        <f t="shared" si="49"/>
        <v>0</v>
      </c>
      <c r="AL246" s="40">
        <f t="shared" si="49"/>
        <v>0</v>
      </c>
      <c r="AM246" s="40">
        <f t="shared" si="50"/>
        <v>0</v>
      </c>
      <c r="AN246" s="40">
        <f t="shared" si="50"/>
        <v>0</v>
      </c>
      <c r="AO246" s="40">
        <f t="shared" si="50"/>
        <v>0</v>
      </c>
      <c r="AP246" s="40">
        <f t="shared" si="50"/>
        <v>0</v>
      </c>
      <c r="AQ246" s="40">
        <f t="shared" ref="AQ246" si="101">AQ245</f>
        <v>0</v>
      </c>
    </row>
    <row r="247" spans="27:43">
      <c r="AA247" s="41">
        <f t="shared" si="53"/>
        <v>244</v>
      </c>
      <c r="AB247" s="38">
        <f t="shared" si="52"/>
        <v>0</v>
      </c>
      <c r="AC247" s="39">
        <f t="shared" si="52"/>
        <v>0</v>
      </c>
      <c r="AD247" s="40">
        <f t="shared" si="52"/>
        <v>0</v>
      </c>
      <c r="AE247" s="38">
        <f t="shared" si="48"/>
        <v>0</v>
      </c>
      <c r="AF247" s="39">
        <f t="shared" si="48"/>
        <v>0</v>
      </c>
      <c r="AG247" s="40">
        <f t="shared" si="48"/>
        <v>0</v>
      </c>
      <c r="AH247" s="40">
        <f t="shared" si="48"/>
        <v>0</v>
      </c>
      <c r="AI247" s="40">
        <f t="shared" si="49"/>
        <v>0</v>
      </c>
      <c r="AJ247" s="40">
        <f t="shared" si="49"/>
        <v>0</v>
      </c>
      <c r="AK247" s="40">
        <f t="shared" si="49"/>
        <v>0</v>
      </c>
      <c r="AL247" s="40">
        <f t="shared" si="49"/>
        <v>0</v>
      </c>
      <c r="AM247" s="40">
        <f t="shared" si="50"/>
        <v>0</v>
      </c>
      <c r="AN247" s="40">
        <f t="shared" si="50"/>
        <v>0</v>
      </c>
      <c r="AO247" s="40">
        <f t="shared" si="50"/>
        <v>0</v>
      </c>
      <c r="AP247" s="40">
        <f t="shared" si="50"/>
        <v>0</v>
      </c>
      <c r="AQ247" s="40">
        <f t="shared" ref="AQ247" si="102">AQ246</f>
        <v>0</v>
      </c>
    </row>
    <row r="248" spans="27:43">
      <c r="AA248" s="41">
        <f t="shared" si="53"/>
        <v>245</v>
      </c>
      <c r="AB248" s="38">
        <f t="shared" si="52"/>
        <v>0</v>
      </c>
      <c r="AC248" s="39">
        <f t="shared" si="52"/>
        <v>0</v>
      </c>
      <c r="AD248" s="40">
        <f t="shared" si="52"/>
        <v>0</v>
      </c>
      <c r="AE248" s="38">
        <f t="shared" si="48"/>
        <v>0</v>
      </c>
      <c r="AF248" s="39">
        <f t="shared" si="48"/>
        <v>0</v>
      </c>
      <c r="AG248" s="40">
        <f t="shared" si="48"/>
        <v>0</v>
      </c>
      <c r="AH248" s="40">
        <f t="shared" si="48"/>
        <v>0</v>
      </c>
      <c r="AI248" s="40">
        <f t="shared" si="49"/>
        <v>0</v>
      </c>
      <c r="AJ248" s="40">
        <f t="shared" si="49"/>
        <v>0</v>
      </c>
      <c r="AK248" s="40">
        <f t="shared" si="49"/>
        <v>0</v>
      </c>
      <c r="AL248" s="40">
        <f t="shared" si="49"/>
        <v>0</v>
      </c>
      <c r="AM248" s="40">
        <f t="shared" si="50"/>
        <v>0</v>
      </c>
      <c r="AN248" s="40">
        <f t="shared" si="50"/>
        <v>0</v>
      </c>
      <c r="AO248" s="40">
        <f t="shared" si="50"/>
        <v>0</v>
      </c>
      <c r="AP248" s="40">
        <f t="shared" si="50"/>
        <v>0</v>
      </c>
      <c r="AQ248" s="40">
        <f t="shared" ref="AQ248" si="103">AQ247</f>
        <v>0</v>
      </c>
    </row>
    <row r="249" spans="27:43">
      <c r="AA249" s="41">
        <f t="shared" si="53"/>
        <v>246</v>
      </c>
      <c r="AB249" s="38">
        <f t="shared" si="52"/>
        <v>0</v>
      </c>
      <c r="AC249" s="39">
        <f t="shared" si="52"/>
        <v>0</v>
      </c>
      <c r="AD249" s="40">
        <f t="shared" si="52"/>
        <v>0</v>
      </c>
      <c r="AE249" s="38">
        <f t="shared" si="48"/>
        <v>0</v>
      </c>
      <c r="AF249" s="39">
        <f t="shared" si="48"/>
        <v>0</v>
      </c>
      <c r="AG249" s="40">
        <f t="shared" si="48"/>
        <v>0</v>
      </c>
      <c r="AH249" s="40">
        <f t="shared" si="48"/>
        <v>0</v>
      </c>
      <c r="AI249" s="40">
        <f t="shared" si="49"/>
        <v>0</v>
      </c>
      <c r="AJ249" s="40">
        <f t="shared" si="49"/>
        <v>0</v>
      </c>
      <c r="AK249" s="40">
        <f t="shared" si="49"/>
        <v>0</v>
      </c>
      <c r="AL249" s="40">
        <f t="shared" si="49"/>
        <v>0</v>
      </c>
      <c r="AM249" s="40">
        <f t="shared" si="50"/>
        <v>0</v>
      </c>
      <c r="AN249" s="40">
        <f t="shared" si="50"/>
        <v>0</v>
      </c>
      <c r="AO249" s="40">
        <f t="shared" si="50"/>
        <v>0</v>
      </c>
      <c r="AP249" s="40">
        <f t="shared" si="50"/>
        <v>0</v>
      </c>
      <c r="AQ249" s="40">
        <f t="shared" ref="AQ249" si="104">AQ248</f>
        <v>0</v>
      </c>
    </row>
    <row r="250" spans="27:43">
      <c r="AA250" s="41">
        <f t="shared" si="53"/>
        <v>247</v>
      </c>
      <c r="AB250" s="38">
        <f t="shared" si="52"/>
        <v>0</v>
      </c>
      <c r="AC250" s="39">
        <f t="shared" si="52"/>
        <v>0</v>
      </c>
      <c r="AD250" s="40">
        <f t="shared" si="52"/>
        <v>0</v>
      </c>
      <c r="AE250" s="38">
        <f t="shared" si="48"/>
        <v>0</v>
      </c>
      <c r="AF250" s="39">
        <f t="shared" si="48"/>
        <v>0</v>
      </c>
      <c r="AG250" s="40">
        <f t="shared" si="48"/>
        <v>0</v>
      </c>
      <c r="AH250" s="40">
        <f t="shared" si="48"/>
        <v>0</v>
      </c>
      <c r="AI250" s="40">
        <f t="shared" si="49"/>
        <v>0</v>
      </c>
      <c r="AJ250" s="40">
        <f t="shared" si="49"/>
        <v>0</v>
      </c>
      <c r="AK250" s="40">
        <f t="shared" si="49"/>
        <v>0</v>
      </c>
      <c r="AL250" s="40">
        <f t="shared" si="49"/>
        <v>0</v>
      </c>
      <c r="AM250" s="40">
        <f t="shared" si="50"/>
        <v>0</v>
      </c>
      <c r="AN250" s="40">
        <f t="shared" si="50"/>
        <v>0</v>
      </c>
      <c r="AO250" s="40">
        <f t="shared" si="50"/>
        <v>0</v>
      </c>
      <c r="AP250" s="40">
        <f t="shared" si="50"/>
        <v>0</v>
      </c>
      <c r="AQ250" s="40">
        <f t="shared" ref="AQ250" si="105">AQ249</f>
        <v>0</v>
      </c>
    </row>
    <row r="251" spans="27:43">
      <c r="AA251" s="41">
        <f t="shared" si="53"/>
        <v>248</v>
      </c>
      <c r="AB251" s="38">
        <f t="shared" si="52"/>
        <v>0</v>
      </c>
      <c r="AC251" s="39">
        <f t="shared" si="52"/>
        <v>0</v>
      </c>
      <c r="AD251" s="40">
        <f t="shared" si="52"/>
        <v>0</v>
      </c>
      <c r="AE251" s="38">
        <f t="shared" si="48"/>
        <v>0</v>
      </c>
      <c r="AF251" s="39">
        <f t="shared" si="48"/>
        <v>0</v>
      </c>
      <c r="AG251" s="40">
        <f t="shared" si="48"/>
        <v>0</v>
      </c>
      <c r="AH251" s="40">
        <f t="shared" si="48"/>
        <v>0</v>
      </c>
      <c r="AI251" s="40">
        <f t="shared" si="49"/>
        <v>0</v>
      </c>
      <c r="AJ251" s="40">
        <f t="shared" si="49"/>
        <v>0</v>
      </c>
      <c r="AK251" s="40">
        <f t="shared" si="49"/>
        <v>0</v>
      </c>
      <c r="AL251" s="40">
        <f t="shared" si="49"/>
        <v>0</v>
      </c>
      <c r="AM251" s="40">
        <f t="shared" si="50"/>
        <v>0</v>
      </c>
      <c r="AN251" s="40">
        <f t="shared" si="50"/>
        <v>0</v>
      </c>
      <c r="AO251" s="40">
        <f t="shared" si="50"/>
        <v>0</v>
      </c>
      <c r="AP251" s="40">
        <f t="shared" si="50"/>
        <v>0</v>
      </c>
      <c r="AQ251" s="40">
        <f t="shared" ref="AQ251" si="106">AQ250</f>
        <v>0</v>
      </c>
    </row>
    <row r="252" spans="27:43">
      <c r="AA252" s="41">
        <f t="shared" si="53"/>
        <v>249</v>
      </c>
      <c r="AB252" s="38">
        <f t="shared" si="52"/>
        <v>0</v>
      </c>
      <c r="AC252" s="39">
        <f t="shared" si="52"/>
        <v>0</v>
      </c>
      <c r="AD252" s="40">
        <f t="shared" si="52"/>
        <v>0</v>
      </c>
      <c r="AE252" s="38">
        <f t="shared" si="48"/>
        <v>0</v>
      </c>
      <c r="AF252" s="39">
        <f t="shared" si="48"/>
        <v>0</v>
      </c>
      <c r="AG252" s="40">
        <f t="shared" si="48"/>
        <v>0</v>
      </c>
      <c r="AH252" s="40">
        <f t="shared" si="48"/>
        <v>0</v>
      </c>
      <c r="AI252" s="40">
        <f t="shared" si="49"/>
        <v>0</v>
      </c>
      <c r="AJ252" s="40">
        <f t="shared" si="49"/>
        <v>0</v>
      </c>
      <c r="AK252" s="40">
        <f t="shared" si="49"/>
        <v>0</v>
      </c>
      <c r="AL252" s="40">
        <f t="shared" si="49"/>
        <v>0</v>
      </c>
      <c r="AM252" s="40">
        <f t="shared" si="50"/>
        <v>0</v>
      </c>
      <c r="AN252" s="40">
        <f t="shared" si="50"/>
        <v>0</v>
      </c>
      <c r="AO252" s="40">
        <f t="shared" si="50"/>
        <v>0</v>
      </c>
      <c r="AP252" s="40">
        <f t="shared" si="50"/>
        <v>0</v>
      </c>
      <c r="AQ252" s="40">
        <f t="shared" ref="AQ252" si="107">AQ251</f>
        <v>0</v>
      </c>
    </row>
    <row r="253" spans="27:43">
      <c r="AA253" s="41">
        <f t="shared" si="53"/>
        <v>250</v>
      </c>
      <c r="AB253" s="38">
        <f t="shared" si="52"/>
        <v>0</v>
      </c>
      <c r="AC253" s="39">
        <f t="shared" si="52"/>
        <v>0</v>
      </c>
      <c r="AD253" s="40">
        <f t="shared" si="52"/>
        <v>0</v>
      </c>
      <c r="AE253" s="38">
        <f t="shared" si="48"/>
        <v>0</v>
      </c>
      <c r="AF253" s="39">
        <f t="shared" si="48"/>
        <v>0</v>
      </c>
      <c r="AG253" s="40">
        <f t="shared" si="48"/>
        <v>0</v>
      </c>
      <c r="AH253" s="40">
        <f t="shared" si="48"/>
        <v>0</v>
      </c>
      <c r="AI253" s="40">
        <f t="shared" si="49"/>
        <v>0</v>
      </c>
      <c r="AJ253" s="40">
        <f t="shared" si="49"/>
        <v>0</v>
      </c>
      <c r="AK253" s="40">
        <f t="shared" si="49"/>
        <v>0</v>
      </c>
      <c r="AL253" s="40">
        <f t="shared" si="49"/>
        <v>0</v>
      </c>
      <c r="AM253" s="40">
        <f t="shared" si="50"/>
        <v>0</v>
      </c>
      <c r="AN253" s="40">
        <f t="shared" si="50"/>
        <v>0</v>
      </c>
      <c r="AO253" s="40">
        <f t="shared" si="50"/>
        <v>0</v>
      </c>
      <c r="AP253" s="40">
        <f t="shared" si="50"/>
        <v>0</v>
      </c>
      <c r="AQ253" s="40">
        <f t="shared" ref="AQ253" si="108">AQ252</f>
        <v>0</v>
      </c>
    </row>
    <row r="254" spans="27:43">
      <c r="AA254" s="41">
        <f t="shared" si="53"/>
        <v>251</v>
      </c>
      <c r="AB254" s="38">
        <f t="shared" si="52"/>
        <v>0</v>
      </c>
      <c r="AC254" s="39">
        <f t="shared" si="52"/>
        <v>0</v>
      </c>
      <c r="AD254" s="40">
        <f t="shared" si="52"/>
        <v>0</v>
      </c>
      <c r="AE254" s="38">
        <f t="shared" si="48"/>
        <v>0</v>
      </c>
      <c r="AF254" s="39">
        <f t="shared" si="48"/>
        <v>0</v>
      </c>
      <c r="AG254" s="40">
        <f t="shared" si="48"/>
        <v>0</v>
      </c>
      <c r="AH254" s="40">
        <f t="shared" si="48"/>
        <v>0</v>
      </c>
      <c r="AI254" s="40">
        <f t="shared" si="49"/>
        <v>0</v>
      </c>
      <c r="AJ254" s="40">
        <f t="shared" si="49"/>
        <v>0</v>
      </c>
      <c r="AK254" s="40">
        <f t="shared" si="49"/>
        <v>0</v>
      </c>
      <c r="AL254" s="40">
        <f t="shared" si="49"/>
        <v>0</v>
      </c>
      <c r="AM254" s="40">
        <f t="shared" si="50"/>
        <v>0</v>
      </c>
      <c r="AN254" s="40">
        <f t="shared" si="50"/>
        <v>0</v>
      </c>
      <c r="AO254" s="40">
        <f t="shared" si="50"/>
        <v>0</v>
      </c>
      <c r="AP254" s="40">
        <f t="shared" si="50"/>
        <v>0</v>
      </c>
      <c r="AQ254" s="40">
        <f t="shared" ref="AQ254" si="109">AQ253</f>
        <v>0</v>
      </c>
    </row>
    <row r="255" spans="27:43">
      <c r="AA255" s="41">
        <f t="shared" si="53"/>
        <v>252</v>
      </c>
      <c r="AB255" s="38">
        <f t="shared" si="52"/>
        <v>0</v>
      </c>
      <c r="AC255" s="39">
        <f t="shared" si="52"/>
        <v>0</v>
      </c>
      <c r="AD255" s="40">
        <f t="shared" si="52"/>
        <v>0</v>
      </c>
      <c r="AE255" s="38">
        <f t="shared" si="48"/>
        <v>0</v>
      </c>
      <c r="AF255" s="39">
        <f t="shared" si="48"/>
        <v>0</v>
      </c>
      <c r="AG255" s="40">
        <f t="shared" si="48"/>
        <v>0</v>
      </c>
      <c r="AH255" s="40">
        <f t="shared" si="48"/>
        <v>0</v>
      </c>
      <c r="AI255" s="40">
        <f t="shared" si="49"/>
        <v>0</v>
      </c>
      <c r="AJ255" s="40">
        <f t="shared" si="49"/>
        <v>0</v>
      </c>
      <c r="AK255" s="40">
        <f t="shared" si="49"/>
        <v>0</v>
      </c>
      <c r="AL255" s="40">
        <f t="shared" si="49"/>
        <v>0</v>
      </c>
      <c r="AM255" s="40">
        <f t="shared" si="50"/>
        <v>0</v>
      </c>
      <c r="AN255" s="40">
        <f t="shared" si="50"/>
        <v>0</v>
      </c>
      <c r="AO255" s="40">
        <f t="shared" si="50"/>
        <v>0</v>
      </c>
      <c r="AP255" s="40">
        <f t="shared" si="50"/>
        <v>0</v>
      </c>
      <c r="AQ255" s="40">
        <f t="shared" ref="AQ255" si="110">AQ254</f>
        <v>0</v>
      </c>
    </row>
    <row r="256" spans="27:43">
      <c r="AA256" s="41">
        <f t="shared" si="53"/>
        <v>253</v>
      </c>
      <c r="AB256" s="38">
        <f t="shared" si="52"/>
        <v>0</v>
      </c>
      <c r="AC256" s="39">
        <f t="shared" si="52"/>
        <v>0</v>
      </c>
      <c r="AD256" s="40">
        <f t="shared" si="52"/>
        <v>0</v>
      </c>
      <c r="AE256" s="38">
        <f t="shared" si="48"/>
        <v>0</v>
      </c>
      <c r="AF256" s="39">
        <f t="shared" si="48"/>
        <v>0</v>
      </c>
      <c r="AG256" s="40">
        <f t="shared" si="48"/>
        <v>0</v>
      </c>
      <c r="AH256" s="40">
        <f t="shared" si="48"/>
        <v>0</v>
      </c>
      <c r="AI256" s="40">
        <f t="shared" si="49"/>
        <v>0</v>
      </c>
      <c r="AJ256" s="40">
        <f t="shared" si="49"/>
        <v>0</v>
      </c>
      <c r="AK256" s="40">
        <f t="shared" si="49"/>
        <v>0</v>
      </c>
      <c r="AL256" s="40">
        <f t="shared" si="49"/>
        <v>0</v>
      </c>
      <c r="AM256" s="40">
        <f t="shared" si="50"/>
        <v>0</v>
      </c>
      <c r="AN256" s="40">
        <f t="shared" si="50"/>
        <v>0</v>
      </c>
      <c r="AO256" s="40">
        <f t="shared" si="50"/>
        <v>0</v>
      </c>
      <c r="AP256" s="40">
        <f t="shared" si="50"/>
        <v>0</v>
      </c>
      <c r="AQ256" s="40">
        <f t="shared" ref="AQ256" si="111">AQ255</f>
        <v>0</v>
      </c>
    </row>
    <row r="257" spans="27:43">
      <c r="AA257" s="41">
        <f t="shared" si="53"/>
        <v>254</v>
      </c>
      <c r="AB257" s="38">
        <f t="shared" si="52"/>
        <v>0</v>
      </c>
      <c r="AC257" s="39">
        <f t="shared" si="52"/>
        <v>0</v>
      </c>
      <c r="AD257" s="40">
        <f t="shared" si="52"/>
        <v>0</v>
      </c>
      <c r="AE257" s="38">
        <f t="shared" si="48"/>
        <v>0</v>
      </c>
      <c r="AF257" s="39">
        <f t="shared" si="48"/>
        <v>0</v>
      </c>
      <c r="AG257" s="40">
        <f t="shared" si="48"/>
        <v>0</v>
      </c>
      <c r="AH257" s="40">
        <f t="shared" si="48"/>
        <v>0</v>
      </c>
      <c r="AI257" s="40">
        <f t="shared" si="49"/>
        <v>0</v>
      </c>
      <c r="AJ257" s="40">
        <f t="shared" si="49"/>
        <v>0</v>
      </c>
      <c r="AK257" s="40">
        <f t="shared" si="49"/>
        <v>0</v>
      </c>
      <c r="AL257" s="40">
        <f t="shared" si="49"/>
        <v>0</v>
      </c>
      <c r="AM257" s="40">
        <f t="shared" si="50"/>
        <v>0</v>
      </c>
      <c r="AN257" s="40">
        <f t="shared" si="50"/>
        <v>0</v>
      </c>
      <c r="AO257" s="40">
        <f t="shared" si="50"/>
        <v>0</v>
      </c>
      <c r="AP257" s="40">
        <f t="shared" si="50"/>
        <v>0</v>
      </c>
      <c r="AQ257" s="40">
        <f t="shared" ref="AQ257" si="112">AQ256</f>
        <v>0</v>
      </c>
    </row>
    <row r="258" spans="27:43">
      <c r="AA258" s="41">
        <f t="shared" si="53"/>
        <v>255</v>
      </c>
      <c r="AB258" s="38">
        <f t="shared" si="52"/>
        <v>0</v>
      </c>
      <c r="AC258" s="39">
        <f t="shared" si="52"/>
        <v>0</v>
      </c>
      <c r="AD258" s="40">
        <f t="shared" si="52"/>
        <v>0</v>
      </c>
      <c r="AE258" s="38">
        <f t="shared" si="48"/>
        <v>0</v>
      </c>
      <c r="AF258" s="39">
        <f t="shared" si="48"/>
        <v>0</v>
      </c>
      <c r="AG258" s="40">
        <f t="shared" si="48"/>
        <v>0</v>
      </c>
      <c r="AH258" s="40">
        <f t="shared" si="48"/>
        <v>0</v>
      </c>
      <c r="AI258" s="40">
        <f t="shared" si="49"/>
        <v>0</v>
      </c>
      <c r="AJ258" s="40">
        <f t="shared" si="49"/>
        <v>0</v>
      </c>
      <c r="AK258" s="40">
        <f t="shared" si="49"/>
        <v>0</v>
      </c>
      <c r="AL258" s="40">
        <f t="shared" si="49"/>
        <v>0</v>
      </c>
      <c r="AM258" s="40">
        <f t="shared" si="50"/>
        <v>0</v>
      </c>
      <c r="AN258" s="40">
        <f t="shared" si="50"/>
        <v>0</v>
      </c>
      <c r="AO258" s="40">
        <f t="shared" si="50"/>
        <v>0</v>
      </c>
      <c r="AP258" s="40">
        <f t="shared" si="50"/>
        <v>0</v>
      </c>
      <c r="AQ258" s="40">
        <f t="shared" ref="AQ258" si="113">AQ257</f>
        <v>0</v>
      </c>
    </row>
    <row r="259" spans="27:43">
      <c r="AA259" s="41">
        <f t="shared" si="53"/>
        <v>256</v>
      </c>
      <c r="AB259" s="38">
        <f t="shared" si="52"/>
        <v>0</v>
      </c>
      <c r="AC259" s="39">
        <f t="shared" si="52"/>
        <v>0</v>
      </c>
      <c r="AD259" s="40">
        <f t="shared" si="52"/>
        <v>0</v>
      </c>
      <c r="AE259" s="38">
        <f t="shared" si="48"/>
        <v>0</v>
      </c>
      <c r="AF259" s="39">
        <f t="shared" si="48"/>
        <v>0</v>
      </c>
      <c r="AG259" s="40">
        <f t="shared" si="48"/>
        <v>0</v>
      </c>
      <c r="AH259" s="40">
        <f t="shared" si="48"/>
        <v>0</v>
      </c>
      <c r="AI259" s="40">
        <f t="shared" si="49"/>
        <v>0</v>
      </c>
      <c r="AJ259" s="40">
        <f t="shared" si="49"/>
        <v>0</v>
      </c>
      <c r="AK259" s="40">
        <f t="shared" si="49"/>
        <v>0</v>
      </c>
      <c r="AL259" s="40">
        <f t="shared" si="49"/>
        <v>0</v>
      </c>
      <c r="AM259" s="40">
        <f t="shared" si="50"/>
        <v>0</v>
      </c>
      <c r="AN259" s="40">
        <f t="shared" si="50"/>
        <v>0</v>
      </c>
      <c r="AO259" s="40">
        <f t="shared" si="50"/>
        <v>0</v>
      </c>
      <c r="AP259" s="40">
        <f t="shared" si="50"/>
        <v>0</v>
      </c>
      <c r="AQ259" s="40">
        <f t="shared" ref="AQ259" si="114">AQ258</f>
        <v>0</v>
      </c>
    </row>
    <row r="260" spans="27:43">
      <c r="AA260" s="41">
        <f t="shared" si="53"/>
        <v>257</v>
      </c>
      <c r="AB260" s="38">
        <f t="shared" si="52"/>
        <v>0</v>
      </c>
      <c r="AC260" s="39">
        <f t="shared" si="52"/>
        <v>0</v>
      </c>
      <c r="AD260" s="40">
        <f t="shared" si="52"/>
        <v>0</v>
      </c>
      <c r="AE260" s="38">
        <f t="shared" si="52"/>
        <v>0</v>
      </c>
      <c r="AF260" s="39">
        <f t="shared" si="52"/>
        <v>0</v>
      </c>
      <c r="AG260" s="40">
        <f t="shared" si="52"/>
        <v>0</v>
      </c>
      <c r="AH260" s="40">
        <f t="shared" si="52"/>
        <v>0</v>
      </c>
      <c r="AI260" s="40">
        <f t="shared" si="52"/>
        <v>0</v>
      </c>
      <c r="AJ260" s="40">
        <f t="shared" si="52"/>
        <v>0</v>
      </c>
      <c r="AK260" s="40">
        <f t="shared" si="52"/>
        <v>0</v>
      </c>
      <c r="AL260" s="40">
        <f t="shared" si="52"/>
        <v>0</v>
      </c>
      <c r="AM260" s="40">
        <f t="shared" si="52"/>
        <v>0</v>
      </c>
      <c r="AN260" s="40">
        <f t="shared" si="52"/>
        <v>0</v>
      </c>
      <c r="AO260" s="40">
        <f t="shared" si="52"/>
        <v>0</v>
      </c>
      <c r="AP260" s="40">
        <f t="shared" si="52"/>
        <v>0</v>
      </c>
      <c r="AQ260" s="40">
        <f t="shared" si="52"/>
        <v>0</v>
      </c>
    </row>
    <row r="261" spans="27:43">
      <c r="AA261" s="41">
        <f t="shared" si="53"/>
        <v>258</v>
      </c>
      <c r="AB261" s="38">
        <f t="shared" ref="AB261:AE324" si="115">AB260</f>
        <v>0</v>
      </c>
      <c r="AC261" s="39">
        <f t="shared" si="115"/>
        <v>0</v>
      </c>
      <c r="AD261" s="40">
        <f t="shared" si="115"/>
        <v>0</v>
      </c>
      <c r="AE261" s="38">
        <f t="shared" si="115"/>
        <v>0</v>
      </c>
      <c r="AF261" s="39">
        <f t="shared" ref="AF261:AI324" si="116">AF260</f>
        <v>0</v>
      </c>
      <c r="AG261" s="40">
        <f t="shared" si="116"/>
        <v>0</v>
      </c>
      <c r="AH261" s="40">
        <f t="shared" si="116"/>
        <v>0</v>
      </c>
      <c r="AI261" s="40">
        <f t="shared" si="116"/>
        <v>0</v>
      </c>
      <c r="AJ261" s="40">
        <f t="shared" ref="AJ261:AM324" si="117">AJ260</f>
        <v>0</v>
      </c>
      <c r="AK261" s="40">
        <f t="shared" si="117"/>
        <v>0</v>
      </c>
      <c r="AL261" s="40">
        <f t="shared" si="117"/>
        <v>0</v>
      </c>
      <c r="AM261" s="40">
        <f t="shared" si="117"/>
        <v>0</v>
      </c>
      <c r="AN261" s="40">
        <f t="shared" ref="AN261:AQ324" si="118">AN260</f>
        <v>0</v>
      </c>
      <c r="AO261" s="40">
        <f t="shared" si="118"/>
        <v>0</v>
      </c>
      <c r="AP261" s="40">
        <f t="shared" si="118"/>
        <v>0</v>
      </c>
      <c r="AQ261" s="40">
        <f t="shared" si="118"/>
        <v>0</v>
      </c>
    </row>
    <row r="262" spans="27:43">
      <c r="AA262" s="41">
        <f t="shared" ref="AA262:AA325" si="119">AA261+1</f>
        <v>259</v>
      </c>
      <c r="AB262" s="38">
        <f t="shared" si="115"/>
        <v>0</v>
      </c>
      <c r="AC262" s="39">
        <f t="shared" si="115"/>
        <v>0</v>
      </c>
      <c r="AD262" s="40">
        <f t="shared" si="115"/>
        <v>0</v>
      </c>
      <c r="AE262" s="38">
        <f t="shared" si="115"/>
        <v>0</v>
      </c>
      <c r="AF262" s="39">
        <f t="shared" si="116"/>
        <v>0</v>
      </c>
      <c r="AG262" s="40">
        <f t="shared" si="116"/>
        <v>0</v>
      </c>
      <c r="AH262" s="40">
        <f t="shared" si="116"/>
        <v>0</v>
      </c>
      <c r="AI262" s="40">
        <f t="shared" si="116"/>
        <v>0</v>
      </c>
      <c r="AJ262" s="40">
        <f t="shared" si="117"/>
        <v>0</v>
      </c>
      <c r="AK262" s="40">
        <f t="shared" si="117"/>
        <v>0</v>
      </c>
      <c r="AL262" s="40">
        <f t="shared" si="117"/>
        <v>0</v>
      </c>
      <c r="AM262" s="40">
        <f t="shared" si="117"/>
        <v>0</v>
      </c>
      <c r="AN262" s="40">
        <f t="shared" si="118"/>
        <v>0</v>
      </c>
      <c r="AO262" s="40">
        <f t="shared" si="118"/>
        <v>0</v>
      </c>
      <c r="AP262" s="40">
        <f t="shared" si="118"/>
        <v>0</v>
      </c>
      <c r="AQ262" s="40">
        <f t="shared" si="118"/>
        <v>0</v>
      </c>
    </row>
    <row r="263" spans="27:43">
      <c r="AA263" s="41">
        <f t="shared" si="119"/>
        <v>260</v>
      </c>
      <c r="AB263" s="38">
        <f t="shared" si="115"/>
        <v>0</v>
      </c>
      <c r="AC263" s="39">
        <f t="shared" si="115"/>
        <v>0</v>
      </c>
      <c r="AD263" s="40">
        <f t="shared" si="115"/>
        <v>0</v>
      </c>
      <c r="AE263" s="38">
        <f t="shared" si="115"/>
        <v>0</v>
      </c>
      <c r="AF263" s="39">
        <f t="shared" si="116"/>
        <v>0</v>
      </c>
      <c r="AG263" s="40">
        <f t="shared" si="116"/>
        <v>0</v>
      </c>
      <c r="AH263" s="40">
        <f t="shared" si="116"/>
        <v>0</v>
      </c>
      <c r="AI263" s="40">
        <f t="shared" si="116"/>
        <v>0</v>
      </c>
      <c r="AJ263" s="40">
        <f t="shared" si="117"/>
        <v>0</v>
      </c>
      <c r="AK263" s="40">
        <f t="shared" si="117"/>
        <v>0</v>
      </c>
      <c r="AL263" s="40">
        <f t="shared" si="117"/>
        <v>0</v>
      </c>
      <c r="AM263" s="40">
        <f t="shared" si="117"/>
        <v>0</v>
      </c>
      <c r="AN263" s="40">
        <f t="shared" si="118"/>
        <v>0</v>
      </c>
      <c r="AO263" s="40">
        <f t="shared" si="118"/>
        <v>0</v>
      </c>
      <c r="AP263" s="40">
        <f t="shared" si="118"/>
        <v>0</v>
      </c>
      <c r="AQ263" s="40">
        <f t="shared" si="118"/>
        <v>0</v>
      </c>
    </row>
    <row r="264" spans="27:43">
      <c r="AA264" s="41">
        <f t="shared" si="119"/>
        <v>261</v>
      </c>
      <c r="AB264" s="38">
        <f t="shared" si="115"/>
        <v>0</v>
      </c>
      <c r="AC264" s="39">
        <f t="shared" si="115"/>
        <v>0</v>
      </c>
      <c r="AD264" s="40">
        <f t="shared" si="115"/>
        <v>0</v>
      </c>
      <c r="AE264" s="38">
        <f t="shared" si="115"/>
        <v>0</v>
      </c>
      <c r="AF264" s="39">
        <f t="shared" si="116"/>
        <v>0</v>
      </c>
      <c r="AG264" s="40">
        <f t="shared" si="116"/>
        <v>0</v>
      </c>
      <c r="AH264" s="40">
        <f t="shared" si="116"/>
        <v>0</v>
      </c>
      <c r="AI264" s="40">
        <f t="shared" si="116"/>
        <v>0</v>
      </c>
      <c r="AJ264" s="40">
        <f t="shared" si="117"/>
        <v>0</v>
      </c>
      <c r="AK264" s="40">
        <f t="shared" si="117"/>
        <v>0</v>
      </c>
      <c r="AL264" s="40">
        <f t="shared" si="117"/>
        <v>0</v>
      </c>
      <c r="AM264" s="40">
        <f t="shared" si="117"/>
        <v>0</v>
      </c>
      <c r="AN264" s="40">
        <f t="shared" si="118"/>
        <v>0</v>
      </c>
      <c r="AO264" s="40">
        <f t="shared" si="118"/>
        <v>0</v>
      </c>
      <c r="AP264" s="40">
        <f t="shared" si="118"/>
        <v>0</v>
      </c>
      <c r="AQ264" s="40">
        <f t="shared" si="118"/>
        <v>0</v>
      </c>
    </row>
    <row r="265" spans="27:43">
      <c r="AA265" s="41">
        <f t="shared" si="119"/>
        <v>262</v>
      </c>
      <c r="AB265" s="38">
        <f t="shared" si="115"/>
        <v>0</v>
      </c>
      <c r="AC265" s="39">
        <f t="shared" si="115"/>
        <v>0</v>
      </c>
      <c r="AD265" s="40">
        <f t="shared" si="115"/>
        <v>0</v>
      </c>
      <c r="AE265" s="38">
        <f t="shared" si="115"/>
        <v>0</v>
      </c>
      <c r="AF265" s="39">
        <f t="shared" si="116"/>
        <v>0</v>
      </c>
      <c r="AG265" s="40">
        <f t="shared" si="116"/>
        <v>0</v>
      </c>
      <c r="AH265" s="40">
        <f t="shared" si="116"/>
        <v>0</v>
      </c>
      <c r="AI265" s="40">
        <f t="shared" si="116"/>
        <v>0</v>
      </c>
      <c r="AJ265" s="40">
        <f t="shared" si="117"/>
        <v>0</v>
      </c>
      <c r="AK265" s="40">
        <f t="shared" si="117"/>
        <v>0</v>
      </c>
      <c r="AL265" s="40">
        <f t="shared" si="117"/>
        <v>0</v>
      </c>
      <c r="AM265" s="40">
        <f t="shared" si="117"/>
        <v>0</v>
      </c>
      <c r="AN265" s="40">
        <f t="shared" si="118"/>
        <v>0</v>
      </c>
      <c r="AO265" s="40">
        <f t="shared" si="118"/>
        <v>0</v>
      </c>
      <c r="AP265" s="40">
        <f t="shared" si="118"/>
        <v>0</v>
      </c>
      <c r="AQ265" s="40">
        <f t="shared" si="118"/>
        <v>0</v>
      </c>
    </row>
    <row r="266" spans="27:43">
      <c r="AA266" s="41">
        <f t="shared" si="119"/>
        <v>263</v>
      </c>
      <c r="AB266" s="38">
        <f t="shared" si="115"/>
        <v>0</v>
      </c>
      <c r="AC266" s="39">
        <f t="shared" si="115"/>
        <v>0</v>
      </c>
      <c r="AD266" s="40">
        <f t="shared" si="115"/>
        <v>0</v>
      </c>
      <c r="AE266" s="38">
        <f t="shared" si="115"/>
        <v>0</v>
      </c>
      <c r="AF266" s="39">
        <f t="shared" si="116"/>
        <v>0</v>
      </c>
      <c r="AG266" s="40">
        <f t="shared" si="116"/>
        <v>0</v>
      </c>
      <c r="AH266" s="40">
        <f t="shared" si="116"/>
        <v>0</v>
      </c>
      <c r="AI266" s="40">
        <f t="shared" si="116"/>
        <v>0</v>
      </c>
      <c r="AJ266" s="40">
        <f t="shared" si="117"/>
        <v>0</v>
      </c>
      <c r="AK266" s="40">
        <f t="shared" si="117"/>
        <v>0</v>
      </c>
      <c r="AL266" s="40">
        <f t="shared" si="117"/>
        <v>0</v>
      </c>
      <c r="AM266" s="40">
        <f t="shared" si="117"/>
        <v>0</v>
      </c>
      <c r="AN266" s="40">
        <f t="shared" si="118"/>
        <v>0</v>
      </c>
      <c r="AO266" s="40">
        <f t="shared" si="118"/>
        <v>0</v>
      </c>
      <c r="AP266" s="40">
        <f t="shared" si="118"/>
        <v>0</v>
      </c>
      <c r="AQ266" s="40">
        <f t="shared" si="118"/>
        <v>0</v>
      </c>
    </row>
    <row r="267" spans="27:43">
      <c r="AA267" s="41">
        <f t="shared" si="119"/>
        <v>264</v>
      </c>
      <c r="AB267" s="38">
        <f t="shared" si="115"/>
        <v>0</v>
      </c>
      <c r="AC267" s="39">
        <f t="shared" si="115"/>
        <v>0</v>
      </c>
      <c r="AD267" s="40">
        <f t="shared" si="115"/>
        <v>0</v>
      </c>
      <c r="AE267" s="38">
        <f t="shared" si="115"/>
        <v>0</v>
      </c>
      <c r="AF267" s="39">
        <f t="shared" si="116"/>
        <v>0</v>
      </c>
      <c r="AG267" s="40">
        <f t="shared" si="116"/>
        <v>0</v>
      </c>
      <c r="AH267" s="40">
        <f t="shared" si="116"/>
        <v>0</v>
      </c>
      <c r="AI267" s="40">
        <f t="shared" si="116"/>
        <v>0</v>
      </c>
      <c r="AJ267" s="40">
        <f t="shared" si="117"/>
        <v>0</v>
      </c>
      <c r="AK267" s="40">
        <f t="shared" si="117"/>
        <v>0</v>
      </c>
      <c r="AL267" s="40">
        <f t="shared" si="117"/>
        <v>0</v>
      </c>
      <c r="AM267" s="40">
        <f t="shared" si="117"/>
        <v>0</v>
      </c>
      <c r="AN267" s="40">
        <f t="shared" si="118"/>
        <v>0</v>
      </c>
      <c r="AO267" s="40">
        <f t="shared" si="118"/>
        <v>0</v>
      </c>
      <c r="AP267" s="40">
        <f t="shared" si="118"/>
        <v>0</v>
      </c>
      <c r="AQ267" s="40">
        <f t="shared" si="118"/>
        <v>0</v>
      </c>
    </row>
    <row r="268" spans="27:43">
      <c r="AA268" s="41">
        <f t="shared" si="119"/>
        <v>265</v>
      </c>
      <c r="AB268" s="38">
        <f t="shared" si="115"/>
        <v>0</v>
      </c>
      <c r="AC268" s="39">
        <f t="shared" si="115"/>
        <v>0</v>
      </c>
      <c r="AD268" s="40">
        <f t="shared" si="115"/>
        <v>0</v>
      </c>
      <c r="AE268" s="38">
        <f t="shared" si="115"/>
        <v>0</v>
      </c>
      <c r="AF268" s="39">
        <f t="shared" si="116"/>
        <v>0</v>
      </c>
      <c r="AG268" s="40">
        <f t="shared" si="116"/>
        <v>0</v>
      </c>
      <c r="AH268" s="40">
        <f t="shared" si="116"/>
        <v>0</v>
      </c>
      <c r="AI268" s="40">
        <f t="shared" si="116"/>
        <v>0</v>
      </c>
      <c r="AJ268" s="40">
        <f t="shared" si="117"/>
        <v>0</v>
      </c>
      <c r="AK268" s="40">
        <f t="shared" si="117"/>
        <v>0</v>
      </c>
      <c r="AL268" s="40">
        <f t="shared" si="117"/>
        <v>0</v>
      </c>
      <c r="AM268" s="40">
        <f t="shared" si="117"/>
        <v>0</v>
      </c>
      <c r="AN268" s="40">
        <f t="shared" si="118"/>
        <v>0</v>
      </c>
      <c r="AO268" s="40">
        <f t="shared" si="118"/>
        <v>0</v>
      </c>
      <c r="AP268" s="40">
        <f t="shared" si="118"/>
        <v>0</v>
      </c>
      <c r="AQ268" s="40">
        <f t="shared" si="118"/>
        <v>0</v>
      </c>
    </row>
    <row r="269" spans="27:43">
      <c r="AA269" s="41">
        <f t="shared" si="119"/>
        <v>266</v>
      </c>
      <c r="AB269" s="38">
        <f t="shared" si="115"/>
        <v>0</v>
      </c>
      <c r="AC269" s="39">
        <f t="shared" si="115"/>
        <v>0</v>
      </c>
      <c r="AD269" s="40">
        <f t="shared" si="115"/>
        <v>0</v>
      </c>
      <c r="AE269" s="38">
        <f t="shared" si="115"/>
        <v>0</v>
      </c>
      <c r="AF269" s="39">
        <f t="shared" si="116"/>
        <v>0</v>
      </c>
      <c r="AG269" s="40">
        <f t="shared" si="116"/>
        <v>0</v>
      </c>
      <c r="AH269" s="40">
        <f t="shared" si="116"/>
        <v>0</v>
      </c>
      <c r="AI269" s="40">
        <f t="shared" si="116"/>
        <v>0</v>
      </c>
      <c r="AJ269" s="40">
        <f t="shared" si="117"/>
        <v>0</v>
      </c>
      <c r="AK269" s="40">
        <f t="shared" si="117"/>
        <v>0</v>
      </c>
      <c r="AL269" s="40">
        <f t="shared" si="117"/>
        <v>0</v>
      </c>
      <c r="AM269" s="40">
        <f t="shared" si="117"/>
        <v>0</v>
      </c>
      <c r="AN269" s="40">
        <f t="shared" si="118"/>
        <v>0</v>
      </c>
      <c r="AO269" s="40">
        <f t="shared" si="118"/>
        <v>0</v>
      </c>
      <c r="AP269" s="40">
        <f t="shared" si="118"/>
        <v>0</v>
      </c>
      <c r="AQ269" s="40">
        <f t="shared" si="118"/>
        <v>0</v>
      </c>
    </row>
    <row r="270" spans="27:43">
      <c r="AA270" s="41">
        <f t="shared" si="119"/>
        <v>267</v>
      </c>
      <c r="AB270" s="38">
        <f t="shared" si="115"/>
        <v>0</v>
      </c>
      <c r="AC270" s="39">
        <f t="shared" si="115"/>
        <v>0</v>
      </c>
      <c r="AD270" s="40">
        <f t="shared" si="115"/>
        <v>0</v>
      </c>
      <c r="AE270" s="38">
        <f t="shared" si="115"/>
        <v>0</v>
      </c>
      <c r="AF270" s="39">
        <f t="shared" si="116"/>
        <v>0</v>
      </c>
      <c r="AG270" s="40">
        <f t="shared" si="116"/>
        <v>0</v>
      </c>
      <c r="AH270" s="40">
        <f t="shared" si="116"/>
        <v>0</v>
      </c>
      <c r="AI270" s="40">
        <f t="shared" si="116"/>
        <v>0</v>
      </c>
      <c r="AJ270" s="40">
        <f t="shared" si="117"/>
        <v>0</v>
      </c>
      <c r="AK270" s="40">
        <f t="shared" si="117"/>
        <v>0</v>
      </c>
      <c r="AL270" s="40">
        <f t="shared" si="117"/>
        <v>0</v>
      </c>
      <c r="AM270" s="40">
        <f t="shared" si="117"/>
        <v>0</v>
      </c>
      <c r="AN270" s="40">
        <f t="shared" si="118"/>
        <v>0</v>
      </c>
      <c r="AO270" s="40">
        <f t="shared" si="118"/>
        <v>0</v>
      </c>
      <c r="AP270" s="40">
        <f t="shared" si="118"/>
        <v>0</v>
      </c>
      <c r="AQ270" s="40">
        <f t="shared" si="118"/>
        <v>0</v>
      </c>
    </row>
    <row r="271" spans="27:43">
      <c r="AA271" s="41">
        <f t="shared" si="119"/>
        <v>268</v>
      </c>
      <c r="AB271" s="38">
        <f t="shared" si="115"/>
        <v>0</v>
      </c>
      <c r="AC271" s="39">
        <f t="shared" si="115"/>
        <v>0</v>
      </c>
      <c r="AD271" s="40">
        <f t="shared" si="115"/>
        <v>0</v>
      </c>
      <c r="AE271" s="38">
        <f t="shared" si="115"/>
        <v>0</v>
      </c>
      <c r="AF271" s="39">
        <f t="shared" si="116"/>
        <v>0</v>
      </c>
      <c r="AG271" s="40">
        <f t="shared" si="116"/>
        <v>0</v>
      </c>
      <c r="AH271" s="40">
        <f t="shared" si="116"/>
        <v>0</v>
      </c>
      <c r="AI271" s="40">
        <f t="shared" si="116"/>
        <v>0</v>
      </c>
      <c r="AJ271" s="40">
        <f t="shared" si="117"/>
        <v>0</v>
      </c>
      <c r="AK271" s="40">
        <f t="shared" si="117"/>
        <v>0</v>
      </c>
      <c r="AL271" s="40">
        <f t="shared" si="117"/>
        <v>0</v>
      </c>
      <c r="AM271" s="40">
        <f t="shared" si="117"/>
        <v>0</v>
      </c>
      <c r="AN271" s="40">
        <f t="shared" si="118"/>
        <v>0</v>
      </c>
      <c r="AO271" s="40">
        <f t="shared" si="118"/>
        <v>0</v>
      </c>
      <c r="AP271" s="40">
        <f t="shared" si="118"/>
        <v>0</v>
      </c>
      <c r="AQ271" s="40">
        <f t="shared" si="118"/>
        <v>0</v>
      </c>
    </row>
    <row r="272" spans="27:43">
      <c r="AA272" s="41">
        <f t="shared" si="119"/>
        <v>269</v>
      </c>
      <c r="AB272" s="38">
        <f t="shared" si="115"/>
        <v>0</v>
      </c>
      <c r="AC272" s="39">
        <f t="shared" si="115"/>
        <v>0</v>
      </c>
      <c r="AD272" s="40">
        <f t="shared" si="115"/>
        <v>0</v>
      </c>
      <c r="AE272" s="38">
        <f t="shared" si="115"/>
        <v>0</v>
      </c>
      <c r="AF272" s="39">
        <f t="shared" si="116"/>
        <v>0</v>
      </c>
      <c r="AG272" s="40">
        <f t="shared" si="116"/>
        <v>0</v>
      </c>
      <c r="AH272" s="40">
        <f t="shared" si="116"/>
        <v>0</v>
      </c>
      <c r="AI272" s="40">
        <f t="shared" si="116"/>
        <v>0</v>
      </c>
      <c r="AJ272" s="40">
        <f t="shared" si="117"/>
        <v>0</v>
      </c>
      <c r="AK272" s="40">
        <f t="shared" si="117"/>
        <v>0</v>
      </c>
      <c r="AL272" s="40">
        <f t="shared" si="117"/>
        <v>0</v>
      </c>
      <c r="AM272" s="40">
        <f t="shared" si="117"/>
        <v>0</v>
      </c>
      <c r="AN272" s="40">
        <f t="shared" si="118"/>
        <v>0</v>
      </c>
      <c r="AO272" s="40">
        <f t="shared" si="118"/>
        <v>0</v>
      </c>
      <c r="AP272" s="40">
        <f t="shared" si="118"/>
        <v>0</v>
      </c>
      <c r="AQ272" s="40">
        <f t="shared" si="118"/>
        <v>0</v>
      </c>
    </row>
    <row r="273" spans="27:43">
      <c r="AA273" s="41">
        <f t="shared" si="119"/>
        <v>270</v>
      </c>
      <c r="AB273" s="38">
        <f t="shared" si="115"/>
        <v>0</v>
      </c>
      <c r="AC273" s="39">
        <f t="shared" si="115"/>
        <v>0</v>
      </c>
      <c r="AD273" s="40">
        <f t="shared" si="115"/>
        <v>0</v>
      </c>
      <c r="AE273" s="38">
        <f t="shared" si="115"/>
        <v>0</v>
      </c>
      <c r="AF273" s="39">
        <f t="shared" si="116"/>
        <v>0</v>
      </c>
      <c r="AG273" s="40">
        <f t="shared" si="116"/>
        <v>0</v>
      </c>
      <c r="AH273" s="40">
        <f t="shared" si="116"/>
        <v>0</v>
      </c>
      <c r="AI273" s="40">
        <f t="shared" si="116"/>
        <v>0</v>
      </c>
      <c r="AJ273" s="40">
        <f t="shared" si="117"/>
        <v>0</v>
      </c>
      <c r="AK273" s="40">
        <f t="shared" si="117"/>
        <v>0</v>
      </c>
      <c r="AL273" s="40">
        <f t="shared" si="117"/>
        <v>0</v>
      </c>
      <c r="AM273" s="40">
        <f t="shared" si="117"/>
        <v>0</v>
      </c>
      <c r="AN273" s="40">
        <f t="shared" si="118"/>
        <v>0</v>
      </c>
      <c r="AO273" s="40">
        <f t="shared" si="118"/>
        <v>0</v>
      </c>
      <c r="AP273" s="40">
        <f t="shared" si="118"/>
        <v>0</v>
      </c>
      <c r="AQ273" s="40">
        <f t="shared" si="118"/>
        <v>0</v>
      </c>
    </row>
    <row r="274" spans="27:43">
      <c r="AA274" s="41">
        <f t="shared" si="119"/>
        <v>271</v>
      </c>
      <c r="AB274" s="38">
        <f t="shared" si="115"/>
        <v>0</v>
      </c>
      <c r="AC274" s="39">
        <f t="shared" si="115"/>
        <v>0</v>
      </c>
      <c r="AD274" s="40">
        <f t="shared" si="115"/>
        <v>0</v>
      </c>
      <c r="AE274" s="38">
        <f t="shared" si="115"/>
        <v>0</v>
      </c>
      <c r="AF274" s="39">
        <f t="shared" si="116"/>
        <v>0</v>
      </c>
      <c r="AG274" s="40">
        <f t="shared" si="116"/>
        <v>0</v>
      </c>
      <c r="AH274" s="40">
        <f t="shared" si="116"/>
        <v>0</v>
      </c>
      <c r="AI274" s="40">
        <f t="shared" si="116"/>
        <v>0</v>
      </c>
      <c r="AJ274" s="40">
        <f t="shared" si="117"/>
        <v>0</v>
      </c>
      <c r="AK274" s="40">
        <f t="shared" si="117"/>
        <v>0</v>
      </c>
      <c r="AL274" s="40">
        <f t="shared" si="117"/>
        <v>0</v>
      </c>
      <c r="AM274" s="40">
        <f t="shared" si="117"/>
        <v>0</v>
      </c>
      <c r="AN274" s="40">
        <f t="shared" si="118"/>
        <v>0</v>
      </c>
      <c r="AO274" s="40">
        <f t="shared" si="118"/>
        <v>0</v>
      </c>
      <c r="AP274" s="40">
        <f t="shared" si="118"/>
        <v>0</v>
      </c>
      <c r="AQ274" s="40">
        <f t="shared" si="118"/>
        <v>0</v>
      </c>
    </row>
    <row r="275" spans="27:43">
      <c r="AA275" s="41">
        <f t="shared" si="119"/>
        <v>272</v>
      </c>
      <c r="AB275" s="38">
        <f t="shared" si="115"/>
        <v>0</v>
      </c>
      <c r="AC275" s="39">
        <f t="shared" si="115"/>
        <v>0</v>
      </c>
      <c r="AD275" s="40">
        <f t="shared" si="115"/>
        <v>0</v>
      </c>
      <c r="AE275" s="38">
        <f t="shared" si="115"/>
        <v>0</v>
      </c>
      <c r="AF275" s="39">
        <f t="shared" si="116"/>
        <v>0</v>
      </c>
      <c r="AG275" s="40">
        <f t="shared" si="116"/>
        <v>0</v>
      </c>
      <c r="AH275" s="40">
        <f t="shared" si="116"/>
        <v>0</v>
      </c>
      <c r="AI275" s="40">
        <f t="shared" si="116"/>
        <v>0</v>
      </c>
      <c r="AJ275" s="40">
        <f t="shared" si="117"/>
        <v>0</v>
      </c>
      <c r="AK275" s="40">
        <f t="shared" si="117"/>
        <v>0</v>
      </c>
      <c r="AL275" s="40">
        <f t="shared" si="117"/>
        <v>0</v>
      </c>
      <c r="AM275" s="40">
        <f t="shared" si="117"/>
        <v>0</v>
      </c>
      <c r="AN275" s="40">
        <f t="shared" si="118"/>
        <v>0</v>
      </c>
      <c r="AO275" s="40">
        <f t="shared" si="118"/>
        <v>0</v>
      </c>
      <c r="AP275" s="40">
        <f t="shared" si="118"/>
        <v>0</v>
      </c>
      <c r="AQ275" s="40">
        <f t="shared" si="118"/>
        <v>0</v>
      </c>
    </row>
    <row r="276" spans="27:43">
      <c r="AA276" s="41">
        <f t="shared" si="119"/>
        <v>273</v>
      </c>
      <c r="AB276" s="38">
        <f t="shared" si="115"/>
        <v>0</v>
      </c>
      <c r="AC276" s="39">
        <f t="shared" si="115"/>
        <v>0</v>
      </c>
      <c r="AD276" s="40">
        <f t="shared" si="115"/>
        <v>0</v>
      </c>
      <c r="AE276" s="38">
        <f t="shared" si="115"/>
        <v>0</v>
      </c>
      <c r="AF276" s="39">
        <f t="shared" si="116"/>
        <v>0</v>
      </c>
      <c r="AG276" s="40">
        <f t="shared" si="116"/>
        <v>0</v>
      </c>
      <c r="AH276" s="40">
        <f t="shared" si="116"/>
        <v>0</v>
      </c>
      <c r="AI276" s="40">
        <f t="shared" si="116"/>
        <v>0</v>
      </c>
      <c r="AJ276" s="40">
        <f t="shared" si="117"/>
        <v>0</v>
      </c>
      <c r="AK276" s="40">
        <f t="shared" si="117"/>
        <v>0</v>
      </c>
      <c r="AL276" s="40">
        <f t="shared" si="117"/>
        <v>0</v>
      </c>
      <c r="AM276" s="40">
        <f t="shared" si="117"/>
        <v>0</v>
      </c>
      <c r="AN276" s="40">
        <f t="shared" si="118"/>
        <v>0</v>
      </c>
      <c r="AO276" s="40">
        <f t="shared" si="118"/>
        <v>0</v>
      </c>
      <c r="AP276" s="40">
        <f t="shared" si="118"/>
        <v>0</v>
      </c>
      <c r="AQ276" s="40">
        <f t="shared" si="118"/>
        <v>0</v>
      </c>
    </row>
    <row r="277" spans="27:43">
      <c r="AA277" s="41">
        <f t="shared" si="119"/>
        <v>274</v>
      </c>
      <c r="AB277" s="38">
        <f t="shared" si="115"/>
        <v>0</v>
      </c>
      <c r="AC277" s="39">
        <f t="shared" si="115"/>
        <v>0</v>
      </c>
      <c r="AD277" s="40">
        <f t="shared" si="115"/>
        <v>0</v>
      </c>
      <c r="AE277" s="38">
        <f t="shared" si="115"/>
        <v>0</v>
      </c>
      <c r="AF277" s="39">
        <f t="shared" si="116"/>
        <v>0</v>
      </c>
      <c r="AG277" s="40">
        <f t="shared" si="116"/>
        <v>0</v>
      </c>
      <c r="AH277" s="40">
        <f t="shared" si="116"/>
        <v>0</v>
      </c>
      <c r="AI277" s="40">
        <f t="shared" si="116"/>
        <v>0</v>
      </c>
      <c r="AJ277" s="40">
        <f t="shared" si="117"/>
        <v>0</v>
      </c>
      <c r="AK277" s="40">
        <f t="shared" si="117"/>
        <v>0</v>
      </c>
      <c r="AL277" s="40">
        <f t="shared" si="117"/>
        <v>0</v>
      </c>
      <c r="AM277" s="40">
        <f t="shared" si="117"/>
        <v>0</v>
      </c>
      <c r="AN277" s="40">
        <f t="shared" si="118"/>
        <v>0</v>
      </c>
      <c r="AO277" s="40">
        <f t="shared" si="118"/>
        <v>0</v>
      </c>
      <c r="AP277" s="40">
        <f t="shared" si="118"/>
        <v>0</v>
      </c>
      <c r="AQ277" s="40">
        <f t="shared" si="118"/>
        <v>0</v>
      </c>
    </row>
    <row r="278" spans="27:43">
      <c r="AA278" s="41">
        <f t="shared" si="119"/>
        <v>275</v>
      </c>
      <c r="AB278" s="38">
        <f t="shared" si="115"/>
        <v>0</v>
      </c>
      <c r="AC278" s="39">
        <f t="shared" si="115"/>
        <v>0</v>
      </c>
      <c r="AD278" s="40">
        <f t="shared" si="115"/>
        <v>0</v>
      </c>
      <c r="AE278" s="38">
        <f t="shared" si="115"/>
        <v>0</v>
      </c>
      <c r="AF278" s="39">
        <f t="shared" si="116"/>
        <v>0</v>
      </c>
      <c r="AG278" s="40">
        <f t="shared" si="116"/>
        <v>0</v>
      </c>
      <c r="AH278" s="40">
        <f t="shared" si="116"/>
        <v>0</v>
      </c>
      <c r="AI278" s="40">
        <f t="shared" si="116"/>
        <v>0</v>
      </c>
      <c r="AJ278" s="40">
        <f t="shared" si="117"/>
        <v>0</v>
      </c>
      <c r="AK278" s="40">
        <f t="shared" si="117"/>
        <v>0</v>
      </c>
      <c r="AL278" s="40">
        <f t="shared" si="117"/>
        <v>0</v>
      </c>
      <c r="AM278" s="40">
        <f t="shared" si="117"/>
        <v>0</v>
      </c>
      <c r="AN278" s="40">
        <f t="shared" si="118"/>
        <v>0</v>
      </c>
      <c r="AO278" s="40">
        <f t="shared" si="118"/>
        <v>0</v>
      </c>
      <c r="AP278" s="40">
        <f t="shared" si="118"/>
        <v>0</v>
      </c>
      <c r="AQ278" s="40">
        <f t="shared" si="118"/>
        <v>0</v>
      </c>
    </row>
    <row r="279" spans="27:43">
      <c r="AA279" s="41">
        <f t="shared" si="119"/>
        <v>276</v>
      </c>
      <c r="AB279" s="38">
        <f t="shared" si="115"/>
        <v>0</v>
      </c>
      <c r="AC279" s="39">
        <f t="shared" si="115"/>
        <v>0</v>
      </c>
      <c r="AD279" s="40">
        <f t="shared" si="115"/>
        <v>0</v>
      </c>
      <c r="AE279" s="38">
        <f t="shared" si="115"/>
        <v>0</v>
      </c>
      <c r="AF279" s="39">
        <f t="shared" si="116"/>
        <v>0</v>
      </c>
      <c r="AG279" s="40">
        <f t="shared" si="116"/>
        <v>0</v>
      </c>
      <c r="AH279" s="40">
        <f t="shared" si="116"/>
        <v>0</v>
      </c>
      <c r="AI279" s="40">
        <f t="shared" si="116"/>
        <v>0</v>
      </c>
      <c r="AJ279" s="40">
        <f t="shared" si="117"/>
        <v>0</v>
      </c>
      <c r="AK279" s="40">
        <f t="shared" si="117"/>
        <v>0</v>
      </c>
      <c r="AL279" s="40">
        <f t="shared" si="117"/>
        <v>0</v>
      </c>
      <c r="AM279" s="40">
        <f t="shared" si="117"/>
        <v>0</v>
      </c>
      <c r="AN279" s="40">
        <f t="shared" si="118"/>
        <v>0</v>
      </c>
      <c r="AO279" s="40">
        <f t="shared" si="118"/>
        <v>0</v>
      </c>
      <c r="AP279" s="40">
        <f t="shared" si="118"/>
        <v>0</v>
      </c>
      <c r="AQ279" s="40">
        <f t="shared" si="118"/>
        <v>0</v>
      </c>
    </row>
    <row r="280" spans="27:43">
      <c r="AA280" s="41">
        <f t="shared" si="119"/>
        <v>277</v>
      </c>
      <c r="AB280" s="38">
        <f t="shared" si="115"/>
        <v>0</v>
      </c>
      <c r="AC280" s="39">
        <f t="shared" si="115"/>
        <v>0</v>
      </c>
      <c r="AD280" s="40">
        <f t="shared" si="115"/>
        <v>0</v>
      </c>
      <c r="AE280" s="38">
        <f t="shared" si="115"/>
        <v>0</v>
      </c>
      <c r="AF280" s="39">
        <f t="shared" si="116"/>
        <v>0</v>
      </c>
      <c r="AG280" s="40">
        <f t="shared" si="116"/>
        <v>0</v>
      </c>
      <c r="AH280" s="40">
        <f t="shared" si="116"/>
        <v>0</v>
      </c>
      <c r="AI280" s="40">
        <f t="shared" si="116"/>
        <v>0</v>
      </c>
      <c r="AJ280" s="40">
        <f t="shared" si="117"/>
        <v>0</v>
      </c>
      <c r="AK280" s="40">
        <f t="shared" si="117"/>
        <v>0</v>
      </c>
      <c r="AL280" s="40">
        <f t="shared" si="117"/>
        <v>0</v>
      </c>
      <c r="AM280" s="40">
        <f t="shared" si="117"/>
        <v>0</v>
      </c>
      <c r="AN280" s="40">
        <f t="shared" si="118"/>
        <v>0</v>
      </c>
      <c r="AO280" s="40">
        <f t="shared" si="118"/>
        <v>0</v>
      </c>
      <c r="AP280" s="40">
        <f t="shared" si="118"/>
        <v>0</v>
      </c>
      <c r="AQ280" s="40">
        <f t="shared" si="118"/>
        <v>0</v>
      </c>
    </row>
    <row r="281" spans="27:43">
      <c r="AA281" s="41">
        <f t="shared" si="119"/>
        <v>278</v>
      </c>
      <c r="AB281" s="38">
        <f t="shared" si="115"/>
        <v>0</v>
      </c>
      <c r="AC281" s="39">
        <f t="shared" si="115"/>
        <v>0</v>
      </c>
      <c r="AD281" s="40">
        <f t="shared" si="115"/>
        <v>0</v>
      </c>
      <c r="AE281" s="38">
        <f t="shared" si="115"/>
        <v>0</v>
      </c>
      <c r="AF281" s="39">
        <f t="shared" si="116"/>
        <v>0</v>
      </c>
      <c r="AG281" s="40">
        <f t="shared" si="116"/>
        <v>0</v>
      </c>
      <c r="AH281" s="40">
        <f t="shared" si="116"/>
        <v>0</v>
      </c>
      <c r="AI281" s="40">
        <f t="shared" si="116"/>
        <v>0</v>
      </c>
      <c r="AJ281" s="40">
        <f t="shared" si="117"/>
        <v>0</v>
      </c>
      <c r="AK281" s="40">
        <f t="shared" si="117"/>
        <v>0</v>
      </c>
      <c r="AL281" s="40">
        <f t="shared" si="117"/>
        <v>0</v>
      </c>
      <c r="AM281" s="40">
        <f t="shared" si="117"/>
        <v>0</v>
      </c>
      <c r="AN281" s="40">
        <f t="shared" si="118"/>
        <v>0</v>
      </c>
      <c r="AO281" s="40">
        <f t="shared" si="118"/>
        <v>0</v>
      </c>
      <c r="AP281" s="40">
        <f t="shared" si="118"/>
        <v>0</v>
      </c>
      <c r="AQ281" s="40">
        <f t="shared" si="118"/>
        <v>0</v>
      </c>
    </row>
    <row r="282" spans="27:43">
      <c r="AA282" s="41">
        <f t="shared" si="119"/>
        <v>279</v>
      </c>
      <c r="AB282" s="38">
        <f t="shared" si="115"/>
        <v>0</v>
      </c>
      <c r="AC282" s="39">
        <f t="shared" si="115"/>
        <v>0</v>
      </c>
      <c r="AD282" s="40">
        <f t="shared" si="115"/>
        <v>0</v>
      </c>
      <c r="AE282" s="38">
        <f t="shared" si="115"/>
        <v>0</v>
      </c>
      <c r="AF282" s="39">
        <f t="shared" si="116"/>
        <v>0</v>
      </c>
      <c r="AG282" s="40">
        <f t="shared" si="116"/>
        <v>0</v>
      </c>
      <c r="AH282" s="40">
        <f t="shared" si="116"/>
        <v>0</v>
      </c>
      <c r="AI282" s="40">
        <f t="shared" si="116"/>
        <v>0</v>
      </c>
      <c r="AJ282" s="40">
        <f t="shared" si="117"/>
        <v>0</v>
      </c>
      <c r="AK282" s="40">
        <f t="shared" si="117"/>
        <v>0</v>
      </c>
      <c r="AL282" s="40">
        <f t="shared" si="117"/>
        <v>0</v>
      </c>
      <c r="AM282" s="40">
        <f t="shared" si="117"/>
        <v>0</v>
      </c>
      <c r="AN282" s="40">
        <f t="shared" si="118"/>
        <v>0</v>
      </c>
      <c r="AO282" s="40">
        <f t="shared" si="118"/>
        <v>0</v>
      </c>
      <c r="AP282" s="40">
        <f t="shared" si="118"/>
        <v>0</v>
      </c>
      <c r="AQ282" s="40">
        <f t="shared" si="118"/>
        <v>0</v>
      </c>
    </row>
    <row r="283" spans="27:43">
      <c r="AA283" s="41">
        <f t="shared" si="119"/>
        <v>280</v>
      </c>
      <c r="AB283" s="38">
        <f t="shared" si="115"/>
        <v>0</v>
      </c>
      <c r="AC283" s="39">
        <f t="shared" si="115"/>
        <v>0</v>
      </c>
      <c r="AD283" s="40">
        <f t="shared" si="115"/>
        <v>0</v>
      </c>
      <c r="AE283" s="38">
        <f t="shared" si="115"/>
        <v>0</v>
      </c>
      <c r="AF283" s="39">
        <f t="shared" si="116"/>
        <v>0</v>
      </c>
      <c r="AG283" s="40">
        <f t="shared" si="116"/>
        <v>0</v>
      </c>
      <c r="AH283" s="40">
        <f t="shared" si="116"/>
        <v>0</v>
      </c>
      <c r="AI283" s="40">
        <f t="shared" si="116"/>
        <v>0</v>
      </c>
      <c r="AJ283" s="40">
        <f t="shared" si="117"/>
        <v>0</v>
      </c>
      <c r="AK283" s="40">
        <f t="shared" si="117"/>
        <v>0</v>
      </c>
      <c r="AL283" s="40">
        <f t="shared" si="117"/>
        <v>0</v>
      </c>
      <c r="AM283" s="40">
        <f t="shared" si="117"/>
        <v>0</v>
      </c>
      <c r="AN283" s="40">
        <f t="shared" si="118"/>
        <v>0</v>
      </c>
      <c r="AO283" s="40">
        <f t="shared" si="118"/>
        <v>0</v>
      </c>
      <c r="AP283" s="40">
        <f t="shared" si="118"/>
        <v>0</v>
      </c>
      <c r="AQ283" s="40">
        <f t="shared" si="118"/>
        <v>0</v>
      </c>
    </row>
    <row r="284" spans="27:43">
      <c r="AA284" s="41">
        <f t="shared" si="119"/>
        <v>281</v>
      </c>
      <c r="AB284" s="38">
        <f t="shared" si="115"/>
        <v>0</v>
      </c>
      <c r="AC284" s="39">
        <f t="shared" si="115"/>
        <v>0</v>
      </c>
      <c r="AD284" s="40">
        <f t="shared" si="115"/>
        <v>0</v>
      </c>
      <c r="AE284" s="38">
        <f t="shared" si="115"/>
        <v>0</v>
      </c>
      <c r="AF284" s="39">
        <f t="shared" si="116"/>
        <v>0</v>
      </c>
      <c r="AG284" s="40">
        <f t="shared" si="116"/>
        <v>0</v>
      </c>
      <c r="AH284" s="40">
        <f t="shared" si="116"/>
        <v>0</v>
      </c>
      <c r="AI284" s="40">
        <f t="shared" si="116"/>
        <v>0</v>
      </c>
      <c r="AJ284" s="40">
        <f t="shared" si="117"/>
        <v>0</v>
      </c>
      <c r="AK284" s="40">
        <f t="shared" si="117"/>
        <v>0</v>
      </c>
      <c r="AL284" s="40">
        <f t="shared" si="117"/>
        <v>0</v>
      </c>
      <c r="AM284" s="40">
        <f t="shared" si="117"/>
        <v>0</v>
      </c>
      <c r="AN284" s="40">
        <f t="shared" si="118"/>
        <v>0</v>
      </c>
      <c r="AO284" s="40">
        <f t="shared" si="118"/>
        <v>0</v>
      </c>
      <c r="AP284" s="40">
        <f t="shared" si="118"/>
        <v>0</v>
      </c>
      <c r="AQ284" s="40">
        <f t="shared" si="118"/>
        <v>0</v>
      </c>
    </row>
    <row r="285" spans="27:43">
      <c r="AA285" s="41">
        <f t="shared" si="119"/>
        <v>282</v>
      </c>
      <c r="AB285" s="38">
        <f t="shared" si="115"/>
        <v>0</v>
      </c>
      <c r="AC285" s="39">
        <f t="shared" si="115"/>
        <v>0</v>
      </c>
      <c r="AD285" s="40">
        <f t="shared" si="115"/>
        <v>0</v>
      </c>
      <c r="AE285" s="38">
        <f t="shared" si="115"/>
        <v>0</v>
      </c>
      <c r="AF285" s="39">
        <f t="shared" si="116"/>
        <v>0</v>
      </c>
      <c r="AG285" s="40">
        <f t="shared" si="116"/>
        <v>0</v>
      </c>
      <c r="AH285" s="40">
        <f t="shared" si="116"/>
        <v>0</v>
      </c>
      <c r="AI285" s="40">
        <f t="shared" si="116"/>
        <v>0</v>
      </c>
      <c r="AJ285" s="40">
        <f t="shared" si="117"/>
        <v>0</v>
      </c>
      <c r="AK285" s="40">
        <f t="shared" si="117"/>
        <v>0</v>
      </c>
      <c r="AL285" s="40">
        <f t="shared" si="117"/>
        <v>0</v>
      </c>
      <c r="AM285" s="40">
        <f t="shared" si="117"/>
        <v>0</v>
      </c>
      <c r="AN285" s="40">
        <f t="shared" si="118"/>
        <v>0</v>
      </c>
      <c r="AO285" s="40">
        <f t="shared" si="118"/>
        <v>0</v>
      </c>
      <c r="AP285" s="40">
        <f t="shared" si="118"/>
        <v>0</v>
      </c>
      <c r="AQ285" s="40">
        <f t="shared" si="118"/>
        <v>0</v>
      </c>
    </row>
    <row r="286" spans="27:43">
      <c r="AA286" s="41">
        <f t="shared" si="119"/>
        <v>283</v>
      </c>
      <c r="AB286" s="38">
        <f t="shared" si="115"/>
        <v>0</v>
      </c>
      <c r="AC286" s="39">
        <f t="shared" si="115"/>
        <v>0</v>
      </c>
      <c r="AD286" s="40">
        <f t="shared" si="115"/>
        <v>0</v>
      </c>
      <c r="AE286" s="38">
        <f t="shared" si="115"/>
        <v>0</v>
      </c>
      <c r="AF286" s="39">
        <f t="shared" si="116"/>
        <v>0</v>
      </c>
      <c r="AG286" s="40">
        <f t="shared" si="116"/>
        <v>0</v>
      </c>
      <c r="AH286" s="40">
        <f t="shared" si="116"/>
        <v>0</v>
      </c>
      <c r="AI286" s="40">
        <f t="shared" si="116"/>
        <v>0</v>
      </c>
      <c r="AJ286" s="40">
        <f t="shared" si="117"/>
        <v>0</v>
      </c>
      <c r="AK286" s="40">
        <f t="shared" si="117"/>
        <v>0</v>
      </c>
      <c r="AL286" s="40">
        <f t="shared" si="117"/>
        <v>0</v>
      </c>
      <c r="AM286" s="40">
        <f t="shared" si="117"/>
        <v>0</v>
      </c>
      <c r="AN286" s="40">
        <f t="shared" si="118"/>
        <v>0</v>
      </c>
      <c r="AO286" s="40">
        <f t="shared" si="118"/>
        <v>0</v>
      </c>
      <c r="AP286" s="40">
        <f t="shared" si="118"/>
        <v>0</v>
      </c>
      <c r="AQ286" s="40">
        <f t="shared" si="118"/>
        <v>0</v>
      </c>
    </row>
    <row r="287" spans="27:43">
      <c r="AA287" s="41">
        <f t="shared" si="119"/>
        <v>284</v>
      </c>
      <c r="AB287" s="38">
        <f t="shared" si="115"/>
        <v>0</v>
      </c>
      <c r="AC287" s="39">
        <f t="shared" si="115"/>
        <v>0</v>
      </c>
      <c r="AD287" s="40">
        <f t="shared" si="115"/>
        <v>0</v>
      </c>
      <c r="AE287" s="38">
        <f t="shared" si="115"/>
        <v>0</v>
      </c>
      <c r="AF287" s="39">
        <f t="shared" si="116"/>
        <v>0</v>
      </c>
      <c r="AG287" s="40">
        <f t="shared" si="116"/>
        <v>0</v>
      </c>
      <c r="AH287" s="40">
        <f t="shared" si="116"/>
        <v>0</v>
      </c>
      <c r="AI287" s="40">
        <f t="shared" si="116"/>
        <v>0</v>
      </c>
      <c r="AJ287" s="40">
        <f t="shared" si="117"/>
        <v>0</v>
      </c>
      <c r="AK287" s="40">
        <f t="shared" si="117"/>
        <v>0</v>
      </c>
      <c r="AL287" s="40">
        <f t="shared" si="117"/>
        <v>0</v>
      </c>
      <c r="AM287" s="40">
        <f t="shared" si="117"/>
        <v>0</v>
      </c>
      <c r="AN287" s="40">
        <f t="shared" si="118"/>
        <v>0</v>
      </c>
      <c r="AO287" s="40">
        <f t="shared" si="118"/>
        <v>0</v>
      </c>
      <c r="AP287" s="40">
        <f t="shared" si="118"/>
        <v>0</v>
      </c>
      <c r="AQ287" s="40">
        <f t="shared" si="118"/>
        <v>0</v>
      </c>
    </row>
    <row r="288" spans="27:43">
      <c r="AA288" s="41">
        <f t="shared" si="119"/>
        <v>285</v>
      </c>
      <c r="AB288" s="38">
        <f t="shared" si="115"/>
        <v>0</v>
      </c>
      <c r="AC288" s="39">
        <f t="shared" si="115"/>
        <v>0</v>
      </c>
      <c r="AD288" s="40">
        <f t="shared" si="115"/>
        <v>0</v>
      </c>
      <c r="AE288" s="38">
        <f t="shared" si="115"/>
        <v>0</v>
      </c>
      <c r="AF288" s="39">
        <f t="shared" si="116"/>
        <v>0</v>
      </c>
      <c r="AG288" s="40">
        <f t="shared" si="116"/>
        <v>0</v>
      </c>
      <c r="AH288" s="40">
        <f t="shared" si="116"/>
        <v>0</v>
      </c>
      <c r="AI288" s="40">
        <f t="shared" si="116"/>
        <v>0</v>
      </c>
      <c r="AJ288" s="40">
        <f t="shared" si="117"/>
        <v>0</v>
      </c>
      <c r="AK288" s="40">
        <f t="shared" si="117"/>
        <v>0</v>
      </c>
      <c r="AL288" s="40">
        <f t="shared" si="117"/>
        <v>0</v>
      </c>
      <c r="AM288" s="40">
        <f t="shared" si="117"/>
        <v>0</v>
      </c>
      <c r="AN288" s="40">
        <f t="shared" si="118"/>
        <v>0</v>
      </c>
      <c r="AO288" s="40">
        <f t="shared" si="118"/>
        <v>0</v>
      </c>
      <c r="AP288" s="40">
        <f t="shared" si="118"/>
        <v>0</v>
      </c>
      <c r="AQ288" s="40">
        <f t="shared" si="118"/>
        <v>0</v>
      </c>
    </row>
    <row r="289" spans="27:43">
      <c r="AA289" s="41">
        <f t="shared" si="119"/>
        <v>286</v>
      </c>
      <c r="AB289" s="38">
        <f t="shared" si="115"/>
        <v>0</v>
      </c>
      <c r="AC289" s="39">
        <f t="shared" si="115"/>
        <v>0</v>
      </c>
      <c r="AD289" s="40">
        <f t="shared" si="115"/>
        <v>0</v>
      </c>
      <c r="AE289" s="38">
        <f t="shared" si="115"/>
        <v>0</v>
      </c>
      <c r="AF289" s="39">
        <f t="shared" si="116"/>
        <v>0</v>
      </c>
      <c r="AG289" s="40">
        <f t="shared" si="116"/>
        <v>0</v>
      </c>
      <c r="AH289" s="40">
        <f t="shared" si="116"/>
        <v>0</v>
      </c>
      <c r="AI289" s="40">
        <f t="shared" si="116"/>
        <v>0</v>
      </c>
      <c r="AJ289" s="40">
        <f t="shared" si="117"/>
        <v>0</v>
      </c>
      <c r="AK289" s="40">
        <f t="shared" si="117"/>
        <v>0</v>
      </c>
      <c r="AL289" s="40">
        <f t="shared" si="117"/>
        <v>0</v>
      </c>
      <c r="AM289" s="40">
        <f t="shared" si="117"/>
        <v>0</v>
      </c>
      <c r="AN289" s="40">
        <f t="shared" si="118"/>
        <v>0</v>
      </c>
      <c r="AO289" s="40">
        <f t="shared" si="118"/>
        <v>0</v>
      </c>
      <c r="AP289" s="40">
        <f t="shared" si="118"/>
        <v>0</v>
      </c>
      <c r="AQ289" s="40">
        <f t="shared" si="118"/>
        <v>0</v>
      </c>
    </row>
    <row r="290" spans="27:43">
      <c r="AA290" s="41">
        <f t="shared" si="119"/>
        <v>287</v>
      </c>
      <c r="AB290" s="38">
        <f t="shared" si="115"/>
        <v>0</v>
      </c>
      <c r="AC290" s="39">
        <f t="shared" si="115"/>
        <v>0</v>
      </c>
      <c r="AD290" s="40">
        <f t="shared" si="115"/>
        <v>0</v>
      </c>
      <c r="AE290" s="38">
        <f t="shared" si="115"/>
        <v>0</v>
      </c>
      <c r="AF290" s="39">
        <f t="shared" si="116"/>
        <v>0</v>
      </c>
      <c r="AG290" s="40">
        <f t="shared" si="116"/>
        <v>0</v>
      </c>
      <c r="AH290" s="40">
        <f t="shared" si="116"/>
        <v>0</v>
      </c>
      <c r="AI290" s="40">
        <f t="shared" si="116"/>
        <v>0</v>
      </c>
      <c r="AJ290" s="40">
        <f t="shared" si="117"/>
        <v>0</v>
      </c>
      <c r="AK290" s="40">
        <f t="shared" si="117"/>
        <v>0</v>
      </c>
      <c r="AL290" s="40">
        <f t="shared" si="117"/>
        <v>0</v>
      </c>
      <c r="AM290" s="40">
        <f t="shared" si="117"/>
        <v>0</v>
      </c>
      <c r="AN290" s="40">
        <f t="shared" si="118"/>
        <v>0</v>
      </c>
      <c r="AO290" s="40">
        <f t="shared" si="118"/>
        <v>0</v>
      </c>
      <c r="AP290" s="40">
        <f t="shared" si="118"/>
        <v>0</v>
      </c>
      <c r="AQ290" s="40">
        <f t="shared" si="118"/>
        <v>0</v>
      </c>
    </row>
    <row r="291" spans="27:43">
      <c r="AA291" s="41">
        <f t="shared" si="119"/>
        <v>288</v>
      </c>
      <c r="AB291" s="38">
        <f t="shared" si="115"/>
        <v>0</v>
      </c>
      <c r="AC291" s="39">
        <f t="shared" si="115"/>
        <v>0</v>
      </c>
      <c r="AD291" s="40">
        <f t="shared" si="115"/>
        <v>0</v>
      </c>
      <c r="AE291" s="38">
        <f t="shared" si="115"/>
        <v>0</v>
      </c>
      <c r="AF291" s="39">
        <f t="shared" si="116"/>
        <v>0</v>
      </c>
      <c r="AG291" s="40">
        <f t="shared" si="116"/>
        <v>0</v>
      </c>
      <c r="AH291" s="40">
        <f t="shared" si="116"/>
        <v>0</v>
      </c>
      <c r="AI291" s="40">
        <f t="shared" si="116"/>
        <v>0</v>
      </c>
      <c r="AJ291" s="40">
        <f t="shared" si="117"/>
        <v>0</v>
      </c>
      <c r="AK291" s="40">
        <f t="shared" si="117"/>
        <v>0</v>
      </c>
      <c r="AL291" s="40">
        <f t="shared" si="117"/>
        <v>0</v>
      </c>
      <c r="AM291" s="40">
        <f t="shared" si="117"/>
        <v>0</v>
      </c>
      <c r="AN291" s="40">
        <f t="shared" si="118"/>
        <v>0</v>
      </c>
      <c r="AO291" s="40">
        <f t="shared" si="118"/>
        <v>0</v>
      </c>
      <c r="AP291" s="40">
        <f t="shared" si="118"/>
        <v>0</v>
      </c>
      <c r="AQ291" s="40">
        <f t="shared" si="118"/>
        <v>0</v>
      </c>
    </row>
    <row r="292" spans="27:43">
      <c r="AA292" s="41">
        <f t="shared" si="119"/>
        <v>289</v>
      </c>
      <c r="AB292" s="38">
        <f t="shared" si="115"/>
        <v>0</v>
      </c>
      <c r="AC292" s="39">
        <f t="shared" si="115"/>
        <v>0</v>
      </c>
      <c r="AD292" s="40">
        <f t="shared" si="115"/>
        <v>0</v>
      </c>
      <c r="AE292" s="38">
        <f t="shared" si="115"/>
        <v>0</v>
      </c>
      <c r="AF292" s="39">
        <f t="shared" si="116"/>
        <v>0</v>
      </c>
      <c r="AG292" s="40">
        <f t="shared" si="116"/>
        <v>0</v>
      </c>
      <c r="AH292" s="40">
        <f t="shared" si="116"/>
        <v>0</v>
      </c>
      <c r="AI292" s="40">
        <f t="shared" si="116"/>
        <v>0</v>
      </c>
      <c r="AJ292" s="40">
        <f t="shared" si="117"/>
        <v>0</v>
      </c>
      <c r="AK292" s="40">
        <f t="shared" si="117"/>
        <v>0</v>
      </c>
      <c r="AL292" s="40">
        <f t="shared" si="117"/>
        <v>0</v>
      </c>
      <c r="AM292" s="40">
        <f t="shared" si="117"/>
        <v>0</v>
      </c>
      <c r="AN292" s="40">
        <f t="shared" si="118"/>
        <v>0</v>
      </c>
      <c r="AO292" s="40">
        <f t="shared" si="118"/>
        <v>0</v>
      </c>
      <c r="AP292" s="40">
        <f t="shared" si="118"/>
        <v>0</v>
      </c>
      <c r="AQ292" s="40">
        <f t="shared" si="118"/>
        <v>0</v>
      </c>
    </row>
    <row r="293" spans="27:43">
      <c r="AA293" s="41">
        <f t="shared" si="119"/>
        <v>290</v>
      </c>
      <c r="AB293" s="38">
        <f t="shared" si="115"/>
        <v>0</v>
      </c>
      <c r="AC293" s="39">
        <f t="shared" si="115"/>
        <v>0</v>
      </c>
      <c r="AD293" s="40">
        <f t="shared" si="115"/>
        <v>0</v>
      </c>
      <c r="AE293" s="38">
        <f t="shared" si="115"/>
        <v>0</v>
      </c>
      <c r="AF293" s="39">
        <f t="shared" si="116"/>
        <v>0</v>
      </c>
      <c r="AG293" s="40">
        <f t="shared" si="116"/>
        <v>0</v>
      </c>
      <c r="AH293" s="40">
        <f t="shared" si="116"/>
        <v>0</v>
      </c>
      <c r="AI293" s="40">
        <f t="shared" si="116"/>
        <v>0</v>
      </c>
      <c r="AJ293" s="40">
        <f t="shared" si="117"/>
        <v>0</v>
      </c>
      <c r="AK293" s="40">
        <f t="shared" si="117"/>
        <v>0</v>
      </c>
      <c r="AL293" s="40">
        <f t="shared" si="117"/>
        <v>0</v>
      </c>
      <c r="AM293" s="40">
        <f t="shared" si="117"/>
        <v>0</v>
      </c>
      <c r="AN293" s="40">
        <f t="shared" si="118"/>
        <v>0</v>
      </c>
      <c r="AO293" s="40">
        <f t="shared" si="118"/>
        <v>0</v>
      </c>
      <c r="AP293" s="40">
        <f t="shared" si="118"/>
        <v>0</v>
      </c>
      <c r="AQ293" s="40">
        <f t="shared" si="118"/>
        <v>0</v>
      </c>
    </row>
    <row r="294" spans="27:43">
      <c r="AA294" s="41">
        <f t="shared" si="119"/>
        <v>291</v>
      </c>
      <c r="AB294" s="38">
        <f t="shared" si="115"/>
        <v>0</v>
      </c>
      <c r="AC294" s="39">
        <f t="shared" si="115"/>
        <v>0</v>
      </c>
      <c r="AD294" s="40">
        <f t="shared" si="115"/>
        <v>0</v>
      </c>
      <c r="AE294" s="38">
        <f t="shared" si="115"/>
        <v>0</v>
      </c>
      <c r="AF294" s="39">
        <f t="shared" si="116"/>
        <v>0</v>
      </c>
      <c r="AG294" s="40">
        <f t="shared" si="116"/>
        <v>0</v>
      </c>
      <c r="AH294" s="40">
        <f t="shared" si="116"/>
        <v>0</v>
      </c>
      <c r="AI294" s="40">
        <f t="shared" si="116"/>
        <v>0</v>
      </c>
      <c r="AJ294" s="40">
        <f t="shared" si="117"/>
        <v>0</v>
      </c>
      <c r="AK294" s="40">
        <f t="shared" si="117"/>
        <v>0</v>
      </c>
      <c r="AL294" s="40">
        <f t="shared" si="117"/>
        <v>0</v>
      </c>
      <c r="AM294" s="40">
        <f t="shared" si="117"/>
        <v>0</v>
      </c>
      <c r="AN294" s="40">
        <f t="shared" si="118"/>
        <v>0</v>
      </c>
      <c r="AO294" s="40">
        <f t="shared" si="118"/>
        <v>0</v>
      </c>
      <c r="AP294" s="40">
        <f t="shared" si="118"/>
        <v>0</v>
      </c>
      <c r="AQ294" s="40">
        <f t="shared" si="118"/>
        <v>0</v>
      </c>
    </row>
    <row r="295" spans="27:43">
      <c r="AA295" s="41">
        <f t="shared" si="119"/>
        <v>292</v>
      </c>
      <c r="AB295" s="38">
        <f t="shared" si="115"/>
        <v>0</v>
      </c>
      <c r="AC295" s="39">
        <f t="shared" si="115"/>
        <v>0</v>
      </c>
      <c r="AD295" s="40">
        <f t="shared" si="115"/>
        <v>0</v>
      </c>
      <c r="AE295" s="38">
        <f t="shared" si="115"/>
        <v>0</v>
      </c>
      <c r="AF295" s="39">
        <f t="shared" si="116"/>
        <v>0</v>
      </c>
      <c r="AG295" s="40">
        <f t="shared" si="116"/>
        <v>0</v>
      </c>
      <c r="AH295" s="40">
        <f t="shared" si="116"/>
        <v>0</v>
      </c>
      <c r="AI295" s="40">
        <f t="shared" si="116"/>
        <v>0</v>
      </c>
      <c r="AJ295" s="40">
        <f t="shared" si="117"/>
        <v>0</v>
      </c>
      <c r="AK295" s="40">
        <f t="shared" si="117"/>
        <v>0</v>
      </c>
      <c r="AL295" s="40">
        <f t="shared" si="117"/>
        <v>0</v>
      </c>
      <c r="AM295" s="40">
        <f t="shared" si="117"/>
        <v>0</v>
      </c>
      <c r="AN295" s="40">
        <f t="shared" si="118"/>
        <v>0</v>
      </c>
      <c r="AO295" s="40">
        <f t="shared" si="118"/>
        <v>0</v>
      </c>
      <c r="AP295" s="40">
        <f t="shared" si="118"/>
        <v>0</v>
      </c>
      <c r="AQ295" s="40">
        <f t="shared" si="118"/>
        <v>0</v>
      </c>
    </row>
    <row r="296" spans="27:43">
      <c r="AA296" s="41">
        <f t="shared" si="119"/>
        <v>293</v>
      </c>
      <c r="AB296" s="38">
        <f t="shared" si="115"/>
        <v>0</v>
      </c>
      <c r="AC296" s="39">
        <f t="shared" si="115"/>
        <v>0</v>
      </c>
      <c r="AD296" s="40">
        <f t="shared" si="115"/>
        <v>0</v>
      </c>
      <c r="AE296" s="38">
        <f t="shared" si="115"/>
        <v>0</v>
      </c>
      <c r="AF296" s="39">
        <f t="shared" si="116"/>
        <v>0</v>
      </c>
      <c r="AG296" s="40">
        <f t="shared" si="116"/>
        <v>0</v>
      </c>
      <c r="AH296" s="40">
        <f t="shared" si="116"/>
        <v>0</v>
      </c>
      <c r="AI296" s="40">
        <f t="shared" si="116"/>
        <v>0</v>
      </c>
      <c r="AJ296" s="40">
        <f t="shared" si="117"/>
        <v>0</v>
      </c>
      <c r="AK296" s="40">
        <f t="shared" si="117"/>
        <v>0</v>
      </c>
      <c r="AL296" s="40">
        <f t="shared" si="117"/>
        <v>0</v>
      </c>
      <c r="AM296" s="40">
        <f t="shared" si="117"/>
        <v>0</v>
      </c>
      <c r="AN296" s="40">
        <f t="shared" si="118"/>
        <v>0</v>
      </c>
      <c r="AO296" s="40">
        <f t="shared" si="118"/>
        <v>0</v>
      </c>
      <c r="AP296" s="40">
        <f t="shared" si="118"/>
        <v>0</v>
      </c>
      <c r="AQ296" s="40">
        <f t="shared" si="118"/>
        <v>0</v>
      </c>
    </row>
    <row r="297" spans="27:43">
      <c r="AA297" s="41">
        <f t="shared" si="119"/>
        <v>294</v>
      </c>
      <c r="AB297" s="38">
        <f t="shared" si="115"/>
        <v>0</v>
      </c>
      <c r="AC297" s="39">
        <f t="shared" si="115"/>
        <v>0</v>
      </c>
      <c r="AD297" s="40">
        <f t="shared" si="115"/>
        <v>0</v>
      </c>
      <c r="AE297" s="38">
        <f t="shared" si="115"/>
        <v>0</v>
      </c>
      <c r="AF297" s="39">
        <f t="shared" si="116"/>
        <v>0</v>
      </c>
      <c r="AG297" s="40">
        <f t="shared" si="116"/>
        <v>0</v>
      </c>
      <c r="AH297" s="40">
        <f t="shared" si="116"/>
        <v>0</v>
      </c>
      <c r="AI297" s="40">
        <f t="shared" si="116"/>
        <v>0</v>
      </c>
      <c r="AJ297" s="40">
        <f t="shared" si="117"/>
        <v>0</v>
      </c>
      <c r="AK297" s="40">
        <f t="shared" si="117"/>
        <v>0</v>
      </c>
      <c r="AL297" s="40">
        <f t="shared" si="117"/>
        <v>0</v>
      </c>
      <c r="AM297" s="40">
        <f t="shared" si="117"/>
        <v>0</v>
      </c>
      <c r="AN297" s="40">
        <f t="shared" si="118"/>
        <v>0</v>
      </c>
      <c r="AO297" s="40">
        <f t="shared" si="118"/>
        <v>0</v>
      </c>
      <c r="AP297" s="40">
        <f t="shared" si="118"/>
        <v>0</v>
      </c>
      <c r="AQ297" s="40">
        <f t="shared" si="118"/>
        <v>0</v>
      </c>
    </row>
    <row r="298" spans="27:43">
      <c r="AA298" s="41">
        <f t="shared" si="119"/>
        <v>295</v>
      </c>
      <c r="AB298" s="38">
        <f t="shared" si="115"/>
        <v>0</v>
      </c>
      <c r="AC298" s="39">
        <f t="shared" si="115"/>
        <v>0</v>
      </c>
      <c r="AD298" s="40">
        <f t="shared" si="115"/>
        <v>0</v>
      </c>
      <c r="AE298" s="38">
        <f t="shared" si="115"/>
        <v>0</v>
      </c>
      <c r="AF298" s="39">
        <f t="shared" si="116"/>
        <v>0</v>
      </c>
      <c r="AG298" s="40">
        <f t="shared" si="116"/>
        <v>0</v>
      </c>
      <c r="AH298" s="40">
        <f t="shared" si="116"/>
        <v>0</v>
      </c>
      <c r="AI298" s="40">
        <f t="shared" si="116"/>
        <v>0</v>
      </c>
      <c r="AJ298" s="40">
        <f t="shared" si="117"/>
        <v>0</v>
      </c>
      <c r="AK298" s="40">
        <f t="shared" si="117"/>
        <v>0</v>
      </c>
      <c r="AL298" s="40">
        <f t="shared" si="117"/>
        <v>0</v>
      </c>
      <c r="AM298" s="40">
        <f t="shared" si="117"/>
        <v>0</v>
      </c>
      <c r="AN298" s="40">
        <f t="shared" si="118"/>
        <v>0</v>
      </c>
      <c r="AO298" s="40">
        <f t="shared" si="118"/>
        <v>0</v>
      </c>
      <c r="AP298" s="40">
        <f t="shared" si="118"/>
        <v>0</v>
      </c>
      <c r="AQ298" s="40">
        <f t="shared" si="118"/>
        <v>0</v>
      </c>
    </row>
    <row r="299" spans="27:43">
      <c r="AA299" s="41">
        <f t="shared" si="119"/>
        <v>296</v>
      </c>
      <c r="AB299" s="38">
        <f t="shared" si="115"/>
        <v>0</v>
      </c>
      <c r="AC299" s="39">
        <f t="shared" si="115"/>
        <v>0</v>
      </c>
      <c r="AD299" s="40">
        <f t="shared" si="115"/>
        <v>0</v>
      </c>
      <c r="AE299" s="38">
        <f t="shared" si="115"/>
        <v>0</v>
      </c>
      <c r="AF299" s="39">
        <f t="shared" si="116"/>
        <v>0</v>
      </c>
      <c r="AG299" s="40">
        <f t="shared" si="116"/>
        <v>0</v>
      </c>
      <c r="AH299" s="40">
        <f t="shared" si="116"/>
        <v>0</v>
      </c>
      <c r="AI299" s="40">
        <f t="shared" si="116"/>
        <v>0</v>
      </c>
      <c r="AJ299" s="40">
        <f t="shared" si="117"/>
        <v>0</v>
      </c>
      <c r="AK299" s="40">
        <f t="shared" si="117"/>
        <v>0</v>
      </c>
      <c r="AL299" s="40">
        <f t="shared" si="117"/>
        <v>0</v>
      </c>
      <c r="AM299" s="40">
        <f t="shared" si="117"/>
        <v>0</v>
      </c>
      <c r="AN299" s="40">
        <f t="shared" si="118"/>
        <v>0</v>
      </c>
      <c r="AO299" s="40">
        <f t="shared" si="118"/>
        <v>0</v>
      </c>
      <c r="AP299" s="40">
        <f t="shared" si="118"/>
        <v>0</v>
      </c>
      <c r="AQ299" s="40">
        <f t="shared" si="118"/>
        <v>0</v>
      </c>
    </row>
    <row r="300" spans="27:43">
      <c r="AA300" s="41">
        <f t="shared" si="119"/>
        <v>297</v>
      </c>
      <c r="AB300" s="38">
        <f t="shared" si="115"/>
        <v>0</v>
      </c>
      <c r="AC300" s="39">
        <f t="shared" si="115"/>
        <v>0</v>
      </c>
      <c r="AD300" s="40">
        <f t="shared" si="115"/>
        <v>0</v>
      </c>
      <c r="AE300" s="38">
        <f t="shared" si="115"/>
        <v>0</v>
      </c>
      <c r="AF300" s="39">
        <f t="shared" si="116"/>
        <v>0</v>
      </c>
      <c r="AG300" s="40">
        <f t="shared" si="116"/>
        <v>0</v>
      </c>
      <c r="AH300" s="40">
        <f t="shared" si="116"/>
        <v>0</v>
      </c>
      <c r="AI300" s="40">
        <f t="shared" si="116"/>
        <v>0</v>
      </c>
      <c r="AJ300" s="40">
        <f t="shared" si="117"/>
        <v>0</v>
      </c>
      <c r="AK300" s="40">
        <f t="shared" si="117"/>
        <v>0</v>
      </c>
      <c r="AL300" s="40">
        <f t="shared" si="117"/>
        <v>0</v>
      </c>
      <c r="AM300" s="40">
        <f t="shared" si="117"/>
        <v>0</v>
      </c>
      <c r="AN300" s="40">
        <f t="shared" si="118"/>
        <v>0</v>
      </c>
      <c r="AO300" s="40">
        <f t="shared" si="118"/>
        <v>0</v>
      </c>
      <c r="AP300" s="40">
        <f t="shared" si="118"/>
        <v>0</v>
      </c>
      <c r="AQ300" s="40">
        <f t="shared" si="118"/>
        <v>0</v>
      </c>
    </row>
    <row r="301" spans="27:43">
      <c r="AA301" s="41">
        <f t="shared" si="119"/>
        <v>298</v>
      </c>
      <c r="AB301" s="38">
        <f t="shared" si="115"/>
        <v>0</v>
      </c>
      <c r="AC301" s="39">
        <f t="shared" si="115"/>
        <v>0</v>
      </c>
      <c r="AD301" s="40">
        <f t="shared" si="115"/>
        <v>0</v>
      </c>
      <c r="AE301" s="38">
        <f t="shared" si="115"/>
        <v>0</v>
      </c>
      <c r="AF301" s="39">
        <f t="shared" si="116"/>
        <v>0</v>
      </c>
      <c r="AG301" s="40">
        <f t="shared" si="116"/>
        <v>0</v>
      </c>
      <c r="AH301" s="40">
        <f t="shared" si="116"/>
        <v>0</v>
      </c>
      <c r="AI301" s="40">
        <f t="shared" si="116"/>
        <v>0</v>
      </c>
      <c r="AJ301" s="40">
        <f t="shared" si="117"/>
        <v>0</v>
      </c>
      <c r="AK301" s="40">
        <f t="shared" si="117"/>
        <v>0</v>
      </c>
      <c r="AL301" s="40">
        <f t="shared" si="117"/>
        <v>0</v>
      </c>
      <c r="AM301" s="40">
        <f t="shared" si="117"/>
        <v>0</v>
      </c>
      <c r="AN301" s="40">
        <f t="shared" si="118"/>
        <v>0</v>
      </c>
      <c r="AO301" s="40">
        <f t="shared" si="118"/>
        <v>0</v>
      </c>
      <c r="AP301" s="40">
        <f t="shared" si="118"/>
        <v>0</v>
      </c>
      <c r="AQ301" s="40">
        <f t="shared" si="118"/>
        <v>0</v>
      </c>
    </row>
    <row r="302" spans="27:43">
      <c r="AA302" s="41">
        <f t="shared" si="119"/>
        <v>299</v>
      </c>
      <c r="AB302" s="38">
        <f t="shared" si="115"/>
        <v>0</v>
      </c>
      <c r="AC302" s="39">
        <f t="shared" si="115"/>
        <v>0</v>
      </c>
      <c r="AD302" s="40">
        <f t="shared" si="115"/>
        <v>0</v>
      </c>
      <c r="AE302" s="38">
        <f t="shared" si="115"/>
        <v>0</v>
      </c>
      <c r="AF302" s="39">
        <f t="shared" si="116"/>
        <v>0</v>
      </c>
      <c r="AG302" s="40">
        <f t="shared" si="116"/>
        <v>0</v>
      </c>
      <c r="AH302" s="40">
        <f t="shared" si="116"/>
        <v>0</v>
      </c>
      <c r="AI302" s="40">
        <f t="shared" si="116"/>
        <v>0</v>
      </c>
      <c r="AJ302" s="40">
        <f t="shared" si="117"/>
        <v>0</v>
      </c>
      <c r="AK302" s="40">
        <f t="shared" si="117"/>
        <v>0</v>
      </c>
      <c r="AL302" s="40">
        <f t="shared" si="117"/>
        <v>0</v>
      </c>
      <c r="AM302" s="40">
        <f t="shared" si="117"/>
        <v>0</v>
      </c>
      <c r="AN302" s="40">
        <f t="shared" si="118"/>
        <v>0</v>
      </c>
      <c r="AO302" s="40">
        <f t="shared" si="118"/>
        <v>0</v>
      </c>
      <c r="AP302" s="40">
        <f t="shared" si="118"/>
        <v>0</v>
      </c>
      <c r="AQ302" s="40">
        <f t="shared" si="118"/>
        <v>0</v>
      </c>
    </row>
    <row r="303" spans="27:43">
      <c r="AA303" s="41">
        <f t="shared" si="119"/>
        <v>300</v>
      </c>
      <c r="AB303" s="38">
        <f t="shared" si="115"/>
        <v>0</v>
      </c>
      <c r="AC303" s="39">
        <f t="shared" si="115"/>
        <v>0</v>
      </c>
      <c r="AD303" s="40">
        <f t="shared" si="115"/>
        <v>0</v>
      </c>
      <c r="AE303" s="38">
        <f t="shared" si="115"/>
        <v>0</v>
      </c>
      <c r="AF303" s="39">
        <f t="shared" si="116"/>
        <v>0</v>
      </c>
      <c r="AG303" s="40">
        <f t="shared" si="116"/>
        <v>0</v>
      </c>
      <c r="AH303" s="40">
        <f t="shared" si="116"/>
        <v>0</v>
      </c>
      <c r="AI303" s="40">
        <f t="shared" si="116"/>
        <v>0</v>
      </c>
      <c r="AJ303" s="40">
        <f t="shared" si="117"/>
        <v>0</v>
      </c>
      <c r="AK303" s="40">
        <f t="shared" si="117"/>
        <v>0</v>
      </c>
      <c r="AL303" s="40">
        <f t="shared" si="117"/>
        <v>0</v>
      </c>
      <c r="AM303" s="40">
        <f t="shared" si="117"/>
        <v>0</v>
      </c>
      <c r="AN303" s="40">
        <f t="shared" si="118"/>
        <v>0</v>
      </c>
      <c r="AO303" s="40">
        <f t="shared" si="118"/>
        <v>0</v>
      </c>
      <c r="AP303" s="40">
        <f t="shared" si="118"/>
        <v>0</v>
      </c>
      <c r="AQ303" s="40">
        <f t="shared" si="118"/>
        <v>0</v>
      </c>
    </row>
    <row r="304" spans="27:43">
      <c r="AA304" s="41">
        <f t="shared" si="119"/>
        <v>301</v>
      </c>
      <c r="AB304" s="38">
        <f t="shared" si="115"/>
        <v>0</v>
      </c>
      <c r="AC304" s="39">
        <f t="shared" si="115"/>
        <v>0</v>
      </c>
      <c r="AD304" s="40">
        <f t="shared" si="115"/>
        <v>0</v>
      </c>
      <c r="AE304" s="38">
        <f t="shared" si="115"/>
        <v>0</v>
      </c>
      <c r="AF304" s="39">
        <f t="shared" si="116"/>
        <v>0</v>
      </c>
      <c r="AG304" s="40">
        <f t="shared" si="116"/>
        <v>0</v>
      </c>
      <c r="AH304" s="40">
        <f t="shared" si="116"/>
        <v>0</v>
      </c>
      <c r="AI304" s="40">
        <f t="shared" si="116"/>
        <v>0</v>
      </c>
      <c r="AJ304" s="40">
        <f t="shared" si="117"/>
        <v>0</v>
      </c>
      <c r="AK304" s="40">
        <f t="shared" si="117"/>
        <v>0</v>
      </c>
      <c r="AL304" s="40">
        <f t="shared" si="117"/>
        <v>0</v>
      </c>
      <c r="AM304" s="40">
        <f t="shared" si="117"/>
        <v>0</v>
      </c>
      <c r="AN304" s="40">
        <f t="shared" si="118"/>
        <v>0</v>
      </c>
      <c r="AO304" s="40">
        <f t="shared" si="118"/>
        <v>0</v>
      </c>
      <c r="AP304" s="40">
        <f t="shared" si="118"/>
        <v>0</v>
      </c>
      <c r="AQ304" s="40">
        <f t="shared" si="118"/>
        <v>0</v>
      </c>
    </row>
    <row r="305" spans="27:43">
      <c r="AA305" s="41">
        <f t="shared" si="119"/>
        <v>302</v>
      </c>
      <c r="AB305" s="38">
        <f t="shared" si="115"/>
        <v>0</v>
      </c>
      <c r="AC305" s="39">
        <f t="shared" si="115"/>
        <v>0</v>
      </c>
      <c r="AD305" s="40">
        <f t="shared" si="115"/>
        <v>0</v>
      </c>
      <c r="AE305" s="38">
        <f t="shared" si="115"/>
        <v>0</v>
      </c>
      <c r="AF305" s="39">
        <f t="shared" si="116"/>
        <v>0</v>
      </c>
      <c r="AG305" s="40">
        <f t="shared" si="116"/>
        <v>0</v>
      </c>
      <c r="AH305" s="40">
        <f t="shared" si="116"/>
        <v>0</v>
      </c>
      <c r="AI305" s="40">
        <f t="shared" si="116"/>
        <v>0</v>
      </c>
      <c r="AJ305" s="40">
        <f t="shared" si="117"/>
        <v>0</v>
      </c>
      <c r="AK305" s="40">
        <f t="shared" si="117"/>
        <v>0</v>
      </c>
      <c r="AL305" s="40">
        <f t="shared" si="117"/>
        <v>0</v>
      </c>
      <c r="AM305" s="40">
        <f t="shared" si="117"/>
        <v>0</v>
      </c>
      <c r="AN305" s="40">
        <f t="shared" si="118"/>
        <v>0</v>
      </c>
      <c r="AO305" s="40">
        <f t="shared" si="118"/>
        <v>0</v>
      </c>
      <c r="AP305" s="40">
        <f t="shared" si="118"/>
        <v>0</v>
      </c>
      <c r="AQ305" s="40">
        <f t="shared" si="118"/>
        <v>0</v>
      </c>
    </row>
    <row r="306" spans="27:43">
      <c r="AA306" s="41">
        <f t="shared" si="119"/>
        <v>303</v>
      </c>
      <c r="AB306" s="38">
        <f t="shared" si="115"/>
        <v>0</v>
      </c>
      <c r="AC306" s="39">
        <f t="shared" si="115"/>
        <v>0</v>
      </c>
      <c r="AD306" s="40">
        <f t="shared" si="115"/>
        <v>0</v>
      </c>
      <c r="AE306" s="38">
        <f t="shared" si="115"/>
        <v>0</v>
      </c>
      <c r="AF306" s="39">
        <f t="shared" si="116"/>
        <v>0</v>
      </c>
      <c r="AG306" s="40">
        <f t="shared" si="116"/>
        <v>0</v>
      </c>
      <c r="AH306" s="40">
        <f t="shared" si="116"/>
        <v>0</v>
      </c>
      <c r="AI306" s="40">
        <f t="shared" si="116"/>
        <v>0</v>
      </c>
      <c r="AJ306" s="40">
        <f t="shared" si="117"/>
        <v>0</v>
      </c>
      <c r="AK306" s="40">
        <f t="shared" si="117"/>
        <v>0</v>
      </c>
      <c r="AL306" s="40">
        <f t="shared" si="117"/>
        <v>0</v>
      </c>
      <c r="AM306" s="40">
        <f t="shared" si="117"/>
        <v>0</v>
      </c>
      <c r="AN306" s="40">
        <f t="shared" si="118"/>
        <v>0</v>
      </c>
      <c r="AO306" s="40">
        <f t="shared" si="118"/>
        <v>0</v>
      </c>
      <c r="AP306" s="40">
        <f t="shared" si="118"/>
        <v>0</v>
      </c>
      <c r="AQ306" s="40">
        <f t="shared" si="118"/>
        <v>0</v>
      </c>
    </row>
    <row r="307" spans="27:43">
      <c r="AA307" s="41">
        <f t="shared" si="119"/>
        <v>304</v>
      </c>
      <c r="AB307" s="38">
        <f t="shared" si="115"/>
        <v>0</v>
      </c>
      <c r="AC307" s="39">
        <f t="shared" si="115"/>
        <v>0</v>
      </c>
      <c r="AD307" s="40">
        <f t="shared" si="115"/>
        <v>0</v>
      </c>
      <c r="AE307" s="38">
        <f t="shared" si="115"/>
        <v>0</v>
      </c>
      <c r="AF307" s="39">
        <f t="shared" si="116"/>
        <v>0</v>
      </c>
      <c r="AG307" s="40">
        <f t="shared" si="116"/>
        <v>0</v>
      </c>
      <c r="AH307" s="40">
        <f t="shared" si="116"/>
        <v>0</v>
      </c>
      <c r="AI307" s="40">
        <f t="shared" si="116"/>
        <v>0</v>
      </c>
      <c r="AJ307" s="40">
        <f t="shared" si="117"/>
        <v>0</v>
      </c>
      <c r="AK307" s="40">
        <f t="shared" si="117"/>
        <v>0</v>
      </c>
      <c r="AL307" s="40">
        <f t="shared" si="117"/>
        <v>0</v>
      </c>
      <c r="AM307" s="40">
        <f t="shared" si="117"/>
        <v>0</v>
      </c>
      <c r="AN307" s="40">
        <f t="shared" si="118"/>
        <v>0</v>
      </c>
      <c r="AO307" s="40">
        <f t="shared" si="118"/>
        <v>0</v>
      </c>
      <c r="AP307" s="40">
        <f t="shared" si="118"/>
        <v>0</v>
      </c>
      <c r="AQ307" s="40">
        <f t="shared" si="118"/>
        <v>0</v>
      </c>
    </row>
    <row r="308" spans="27:43">
      <c r="AA308" s="41">
        <f t="shared" si="119"/>
        <v>305</v>
      </c>
      <c r="AB308" s="38">
        <f t="shared" si="115"/>
        <v>0</v>
      </c>
      <c r="AC308" s="39">
        <f t="shared" si="115"/>
        <v>0</v>
      </c>
      <c r="AD308" s="40">
        <f t="shared" si="115"/>
        <v>0</v>
      </c>
      <c r="AE308" s="38">
        <f t="shared" si="115"/>
        <v>0</v>
      </c>
      <c r="AF308" s="39">
        <f t="shared" si="116"/>
        <v>0</v>
      </c>
      <c r="AG308" s="40">
        <f t="shared" si="116"/>
        <v>0</v>
      </c>
      <c r="AH308" s="40">
        <f t="shared" si="116"/>
        <v>0</v>
      </c>
      <c r="AI308" s="40">
        <f t="shared" si="116"/>
        <v>0</v>
      </c>
      <c r="AJ308" s="40">
        <f t="shared" si="117"/>
        <v>0</v>
      </c>
      <c r="AK308" s="40">
        <f t="shared" si="117"/>
        <v>0</v>
      </c>
      <c r="AL308" s="40">
        <f t="shared" si="117"/>
        <v>0</v>
      </c>
      <c r="AM308" s="40">
        <f t="shared" si="117"/>
        <v>0</v>
      </c>
      <c r="AN308" s="40">
        <f t="shared" si="118"/>
        <v>0</v>
      </c>
      <c r="AO308" s="40">
        <f t="shared" si="118"/>
        <v>0</v>
      </c>
      <c r="AP308" s="40">
        <f t="shared" si="118"/>
        <v>0</v>
      </c>
      <c r="AQ308" s="40">
        <f t="shared" si="118"/>
        <v>0</v>
      </c>
    </row>
    <row r="309" spans="27:43">
      <c r="AA309" s="41">
        <f t="shared" si="119"/>
        <v>306</v>
      </c>
      <c r="AB309" s="38">
        <f t="shared" si="115"/>
        <v>0</v>
      </c>
      <c r="AC309" s="39">
        <f t="shared" si="115"/>
        <v>0</v>
      </c>
      <c r="AD309" s="40">
        <f t="shared" si="115"/>
        <v>0</v>
      </c>
      <c r="AE309" s="38">
        <f t="shared" si="115"/>
        <v>0</v>
      </c>
      <c r="AF309" s="39">
        <f t="shared" si="116"/>
        <v>0</v>
      </c>
      <c r="AG309" s="40">
        <f t="shared" si="116"/>
        <v>0</v>
      </c>
      <c r="AH309" s="40">
        <f t="shared" si="116"/>
        <v>0</v>
      </c>
      <c r="AI309" s="40">
        <f t="shared" si="116"/>
        <v>0</v>
      </c>
      <c r="AJ309" s="40">
        <f t="shared" si="117"/>
        <v>0</v>
      </c>
      <c r="AK309" s="40">
        <f t="shared" si="117"/>
        <v>0</v>
      </c>
      <c r="AL309" s="40">
        <f t="shared" si="117"/>
        <v>0</v>
      </c>
      <c r="AM309" s="40">
        <f t="shared" si="117"/>
        <v>0</v>
      </c>
      <c r="AN309" s="40">
        <f t="shared" si="118"/>
        <v>0</v>
      </c>
      <c r="AO309" s="40">
        <f t="shared" si="118"/>
        <v>0</v>
      </c>
      <c r="AP309" s="40">
        <f t="shared" si="118"/>
        <v>0</v>
      </c>
      <c r="AQ309" s="40">
        <f t="shared" si="118"/>
        <v>0</v>
      </c>
    </row>
    <row r="310" spans="27:43">
      <c r="AA310" s="41">
        <f t="shared" si="119"/>
        <v>307</v>
      </c>
      <c r="AB310" s="38">
        <f t="shared" si="115"/>
        <v>0</v>
      </c>
      <c r="AC310" s="39">
        <f t="shared" si="115"/>
        <v>0</v>
      </c>
      <c r="AD310" s="40">
        <f t="shared" si="115"/>
        <v>0</v>
      </c>
      <c r="AE310" s="38">
        <f t="shared" si="115"/>
        <v>0</v>
      </c>
      <c r="AF310" s="39">
        <f t="shared" si="116"/>
        <v>0</v>
      </c>
      <c r="AG310" s="40">
        <f t="shared" si="116"/>
        <v>0</v>
      </c>
      <c r="AH310" s="40">
        <f t="shared" si="116"/>
        <v>0</v>
      </c>
      <c r="AI310" s="40">
        <f t="shared" si="116"/>
        <v>0</v>
      </c>
      <c r="AJ310" s="40">
        <f t="shared" si="117"/>
        <v>0</v>
      </c>
      <c r="AK310" s="40">
        <f t="shared" si="117"/>
        <v>0</v>
      </c>
      <c r="AL310" s="40">
        <f t="shared" si="117"/>
        <v>0</v>
      </c>
      <c r="AM310" s="40">
        <f t="shared" si="117"/>
        <v>0</v>
      </c>
      <c r="AN310" s="40">
        <f t="shared" si="118"/>
        <v>0</v>
      </c>
      <c r="AO310" s="40">
        <f t="shared" si="118"/>
        <v>0</v>
      </c>
      <c r="AP310" s="40">
        <f t="shared" si="118"/>
        <v>0</v>
      </c>
      <c r="AQ310" s="40">
        <f t="shared" si="118"/>
        <v>0</v>
      </c>
    </row>
    <row r="311" spans="27:43">
      <c r="AA311" s="41">
        <f t="shared" si="119"/>
        <v>308</v>
      </c>
      <c r="AB311" s="38">
        <f t="shared" si="115"/>
        <v>0</v>
      </c>
      <c r="AC311" s="39">
        <f t="shared" si="115"/>
        <v>0</v>
      </c>
      <c r="AD311" s="40">
        <f t="shared" si="115"/>
        <v>0</v>
      </c>
      <c r="AE311" s="38">
        <f t="shared" si="115"/>
        <v>0</v>
      </c>
      <c r="AF311" s="39">
        <f t="shared" si="116"/>
        <v>0</v>
      </c>
      <c r="AG311" s="40">
        <f t="shared" si="116"/>
        <v>0</v>
      </c>
      <c r="AH311" s="40">
        <f t="shared" si="116"/>
        <v>0</v>
      </c>
      <c r="AI311" s="40">
        <f t="shared" si="116"/>
        <v>0</v>
      </c>
      <c r="AJ311" s="40">
        <f t="shared" si="117"/>
        <v>0</v>
      </c>
      <c r="AK311" s="40">
        <f t="shared" si="117"/>
        <v>0</v>
      </c>
      <c r="AL311" s="40">
        <f t="shared" si="117"/>
        <v>0</v>
      </c>
      <c r="AM311" s="40">
        <f t="shared" si="117"/>
        <v>0</v>
      </c>
      <c r="AN311" s="40">
        <f t="shared" si="118"/>
        <v>0</v>
      </c>
      <c r="AO311" s="40">
        <f t="shared" si="118"/>
        <v>0</v>
      </c>
      <c r="AP311" s="40">
        <f t="shared" si="118"/>
        <v>0</v>
      </c>
      <c r="AQ311" s="40">
        <f t="shared" si="118"/>
        <v>0</v>
      </c>
    </row>
    <row r="312" spans="27:43">
      <c r="AA312" s="41">
        <f t="shared" si="119"/>
        <v>309</v>
      </c>
      <c r="AB312" s="38">
        <f t="shared" si="115"/>
        <v>0</v>
      </c>
      <c r="AC312" s="39">
        <f t="shared" si="115"/>
        <v>0</v>
      </c>
      <c r="AD312" s="40">
        <f t="shared" si="115"/>
        <v>0</v>
      </c>
      <c r="AE312" s="38">
        <f t="shared" si="115"/>
        <v>0</v>
      </c>
      <c r="AF312" s="39">
        <f t="shared" si="116"/>
        <v>0</v>
      </c>
      <c r="AG312" s="40">
        <f t="shared" si="116"/>
        <v>0</v>
      </c>
      <c r="AH312" s="40">
        <f t="shared" si="116"/>
        <v>0</v>
      </c>
      <c r="AI312" s="40">
        <f t="shared" si="116"/>
        <v>0</v>
      </c>
      <c r="AJ312" s="40">
        <f t="shared" si="117"/>
        <v>0</v>
      </c>
      <c r="AK312" s="40">
        <f t="shared" si="117"/>
        <v>0</v>
      </c>
      <c r="AL312" s="40">
        <f t="shared" si="117"/>
        <v>0</v>
      </c>
      <c r="AM312" s="40">
        <f t="shared" si="117"/>
        <v>0</v>
      </c>
      <c r="AN312" s="40">
        <f t="shared" si="118"/>
        <v>0</v>
      </c>
      <c r="AO312" s="40">
        <f t="shared" si="118"/>
        <v>0</v>
      </c>
      <c r="AP312" s="40">
        <f t="shared" si="118"/>
        <v>0</v>
      </c>
      <c r="AQ312" s="40">
        <f t="shared" si="118"/>
        <v>0</v>
      </c>
    </row>
    <row r="313" spans="27:43">
      <c r="AA313" s="41">
        <f t="shared" si="119"/>
        <v>310</v>
      </c>
      <c r="AB313" s="38">
        <f t="shared" si="115"/>
        <v>0</v>
      </c>
      <c r="AC313" s="39">
        <f t="shared" si="115"/>
        <v>0</v>
      </c>
      <c r="AD313" s="40">
        <f t="shared" si="115"/>
        <v>0</v>
      </c>
      <c r="AE313" s="38">
        <f t="shared" si="115"/>
        <v>0</v>
      </c>
      <c r="AF313" s="39">
        <f t="shared" si="116"/>
        <v>0</v>
      </c>
      <c r="AG313" s="40">
        <f t="shared" si="116"/>
        <v>0</v>
      </c>
      <c r="AH313" s="40">
        <f t="shared" si="116"/>
        <v>0</v>
      </c>
      <c r="AI313" s="40">
        <f t="shared" si="116"/>
        <v>0</v>
      </c>
      <c r="AJ313" s="40">
        <f t="shared" si="117"/>
        <v>0</v>
      </c>
      <c r="AK313" s="40">
        <f t="shared" si="117"/>
        <v>0</v>
      </c>
      <c r="AL313" s="40">
        <f t="shared" si="117"/>
        <v>0</v>
      </c>
      <c r="AM313" s="40">
        <f t="shared" si="117"/>
        <v>0</v>
      </c>
      <c r="AN313" s="40">
        <f t="shared" si="118"/>
        <v>0</v>
      </c>
      <c r="AO313" s="40">
        <f t="shared" si="118"/>
        <v>0</v>
      </c>
      <c r="AP313" s="40">
        <f t="shared" si="118"/>
        <v>0</v>
      </c>
      <c r="AQ313" s="40">
        <f t="shared" si="118"/>
        <v>0</v>
      </c>
    </row>
    <row r="314" spans="27:43">
      <c r="AA314" s="41">
        <f t="shared" si="119"/>
        <v>311</v>
      </c>
      <c r="AB314" s="38">
        <f t="shared" si="115"/>
        <v>0</v>
      </c>
      <c r="AC314" s="39">
        <f t="shared" si="115"/>
        <v>0</v>
      </c>
      <c r="AD314" s="40">
        <f t="shared" si="115"/>
        <v>0</v>
      </c>
      <c r="AE314" s="38">
        <f t="shared" si="115"/>
        <v>0</v>
      </c>
      <c r="AF314" s="39">
        <f t="shared" si="116"/>
        <v>0</v>
      </c>
      <c r="AG314" s="40">
        <f t="shared" si="116"/>
        <v>0</v>
      </c>
      <c r="AH314" s="40">
        <f t="shared" si="116"/>
        <v>0</v>
      </c>
      <c r="AI314" s="40">
        <f t="shared" si="116"/>
        <v>0</v>
      </c>
      <c r="AJ314" s="40">
        <f t="shared" si="117"/>
        <v>0</v>
      </c>
      <c r="AK314" s="40">
        <f t="shared" si="117"/>
        <v>0</v>
      </c>
      <c r="AL314" s="40">
        <f t="shared" si="117"/>
        <v>0</v>
      </c>
      <c r="AM314" s="40">
        <f t="shared" si="117"/>
        <v>0</v>
      </c>
      <c r="AN314" s="40">
        <f t="shared" si="118"/>
        <v>0</v>
      </c>
      <c r="AO314" s="40">
        <f t="shared" si="118"/>
        <v>0</v>
      </c>
      <c r="AP314" s="40">
        <f t="shared" si="118"/>
        <v>0</v>
      </c>
      <c r="AQ314" s="40">
        <f t="shared" si="118"/>
        <v>0</v>
      </c>
    </row>
    <row r="315" spans="27:43">
      <c r="AA315" s="41">
        <f t="shared" si="119"/>
        <v>312</v>
      </c>
      <c r="AB315" s="38">
        <f t="shared" si="115"/>
        <v>0</v>
      </c>
      <c r="AC315" s="39">
        <f t="shared" si="115"/>
        <v>0</v>
      </c>
      <c r="AD315" s="40">
        <f t="shared" si="115"/>
        <v>0</v>
      </c>
      <c r="AE315" s="38">
        <f t="shared" si="115"/>
        <v>0</v>
      </c>
      <c r="AF315" s="39">
        <f t="shared" si="116"/>
        <v>0</v>
      </c>
      <c r="AG315" s="40">
        <f t="shared" si="116"/>
        <v>0</v>
      </c>
      <c r="AH315" s="40">
        <f t="shared" si="116"/>
        <v>0</v>
      </c>
      <c r="AI315" s="40">
        <f t="shared" si="116"/>
        <v>0</v>
      </c>
      <c r="AJ315" s="40">
        <f t="shared" si="117"/>
        <v>0</v>
      </c>
      <c r="AK315" s="40">
        <f t="shared" si="117"/>
        <v>0</v>
      </c>
      <c r="AL315" s="40">
        <f t="shared" si="117"/>
        <v>0</v>
      </c>
      <c r="AM315" s="40">
        <f t="shared" si="117"/>
        <v>0</v>
      </c>
      <c r="AN315" s="40">
        <f t="shared" si="118"/>
        <v>0</v>
      </c>
      <c r="AO315" s="40">
        <f t="shared" si="118"/>
        <v>0</v>
      </c>
      <c r="AP315" s="40">
        <f t="shared" si="118"/>
        <v>0</v>
      </c>
      <c r="AQ315" s="40">
        <f t="shared" si="118"/>
        <v>0</v>
      </c>
    </row>
    <row r="316" spans="27:43">
      <c r="AA316" s="41">
        <f t="shared" si="119"/>
        <v>313</v>
      </c>
      <c r="AB316" s="38">
        <f t="shared" si="115"/>
        <v>0</v>
      </c>
      <c r="AC316" s="39">
        <f t="shared" si="115"/>
        <v>0</v>
      </c>
      <c r="AD316" s="40">
        <f t="shared" si="115"/>
        <v>0</v>
      </c>
      <c r="AE316" s="38">
        <f t="shared" si="115"/>
        <v>0</v>
      </c>
      <c r="AF316" s="39">
        <f t="shared" si="116"/>
        <v>0</v>
      </c>
      <c r="AG316" s="40">
        <f t="shared" si="116"/>
        <v>0</v>
      </c>
      <c r="AH316" s="40">
        <f t="shared" si="116"/>
        <v>0</v>
      </c>
      <c r="AI316" s="40">
        <f t="shared" si="116"/>
        <v>0</v>
      </c>
      <c r="AJ316" s="40">
        <f t="shared" si="117"/>
        <v>0</v>
      </c>
      <c r="AK316" s="40">
        <f t="shared" si="117"/>
        <v>0</v>
      </c>
      <c r="AL316" s="40">
        <f t="shared" si="117"/>
        <v>0</v>
      </c>
      <c r="AM316" s="40">
        <f t="shared" si="117"/>
        <v>0</v>
      </c>
      <c r="AN316" s="40">
        <f t="shared" si="118"/>
        <v>0</v>
      </c>
      <c r="AO316" s="40">
        <f t="shared" si="118"/>
        <v>0</v>
      </c>
      <c r="AP316" s="40">
        <f t="shared" si="118"/>
        <v>0</v>
      </c>
      <c r="AQ316" s="40">
        <f t="shared" si="118"/>
        <v>0</v>
      </c>
    </row>
    <row r="317" spans="27:43">
      <c r="AA317" s="41">
        <f t="shared" si="119"/>
        <v>314</v>
      </c>
      <c r="AB317" s="38">
        <f t="shared" si="115"/>
        <v>0</v>
      </c>
      <c r="AC317" s="39">
        <f t="shared" si="115"/>
        <v>0</v>
      </c>
      <c r="AD317" s="40">
        <f t="shared" si="115"/>
        <v>0</v>
      </c>
      <c r="AE317" s="38">
        <f t="shared" si="115"/>
        <v>0</v>
      </c>
      <c r="AF317" s="39">
        <f t="shared" si="116"/>
        <v>0</v>
      </c>
      <c r="AG317" s="40">
        <f t="shared" si="116"/>
        <v>0</v>
      </c>
      <c r="AH317" s="40">
        <f t="shared" si="116"/>
        <v>0</v>
      </c>
      <c r="AI317" s="40">
        <f t="shared" si="116"/>
        <v>0</v>
      </c>
      <c r="AJ317" s="40">
        <f t="shared" si="117"/>
        <v>0</v>
      </c>
      <c r="AK317" s="40">
        <f t="shared" si="117"/>
        <v>0</v>
      </c>
      <c r="AL317" s="40">
        <f t="shared" si="117"/>
        <v>0</v>
      </c>
      <c r="AM317" s="40">
        <f t="shared" si="117"/>
        <v>0</v>
      </c>
      <c r="AN317" s="40">
        <f t="shared" si="118"/>
        <v>0</v>
      </c>
      <c r="AO317" s="40">
        <f t="shared" si="118"/>
        <v>0</v>
      </c>
      <c r="AP317" s="40">
        <f t="shared" si="118"/>
        <v>0</v>
      </c>
      <c r="AQ317" s="40">
        <f t="shared" si="118"/>
        <v>0</v>
      </c>
    </row>
    <row r="318" spans="27:43">
      <c r="AA318" s="41">
        <f t="shared" si="119"/>
        <v>315</v>
      </c>
      <c r="AB318" s="38">
        <f t="shared" si="115"/>
        <v>0</v>
      </c>
      <c r="AC318" s="39">
        <f t="shared" si="115"/>
        <v>0</v>
      </c>
      <c r="AD318" s="40">
        <f t="shared" si="115"/>
        <v>0</v>
      </c>
      <c r="AE318" s="38">
        <f t="shared" si="115"/>
        <v>0</v>
      </c>
      <c r="AF318" s="39">
        <f t="shared" si="116"/>
        <v>0</v>
      </c>
      <c r="AG318" s="40">
        <f t="shared" si="116"/>
        <v>0</v>
      </c>
      <c r="AH318" s="40">
        <f t="shared" si="116"/>
        <v>0</v>
      </c>
      <c r="AI318" s="40">
        <f t="shared" si="116"/>
        <v>0</v>
      </c>
      <c r="AJ318" s="40">
        <f t="shared" si="117"/>
        <v>0</v>
      </c>
      <c r="AK318" s="40">
        <f t="shared" si="117"/>
        <v>0</v>
      </c>
      <c r="AL318" s="40">
        <f t="shared" si="117"/>
        <v>0</v>
      </c>
      <c r="AM318" s="40">
        <f t="shared" si="117"/>
        <v>0</v>
      </c>
      <c r="AN318" s="40">
        <f t="shared" si="118"/>
        <v>0</v>
      </c>
      <c r="AO318" s="40">
        <f t="shared" si="118"/>
        <v>0</v>
      </c>
      <c r="AP318" s="40">
        <f t="shared" si="118"/>
        <v>0</v>
      </c>
      <c r="AQ318" s="40">
        <f t="shared" si="118"/>
        <v>0</v>
      </c>
    </row>
    <row r="319" spans="27:43">
      <c r="AA319" s="41">
        <f t="shared" si="119"/>
        <v>316</v>
      </c>
      <c r="AB319" s="38">
        <f t="shared" si="115"/>
        <v>0</v>
      </c>
      <c r="AC319" s="39">
        <f t="shared" si="115"/>
        <v>0</v>
      </c>
      <c r="AD319" s="40">
        <f t="shared" si="115"/>
        <v>0</v>
      </c>
      <c r="AE319" s="38">
        <f t="shared" si="115"/>
        <v>0</v>
      </c>
      <c r="AF319" s="39">
        <f t="shared" si="116"/>
        <v>0</v>
      </c>
      <c r="AG319" s="40">
        <f t="shared" si="116"/>
        <v>0</v>
      </c>
      <c r="AH319" s="40">
        <f t="shared" si="116"/>
        <v>0</v>
      </c>
      <c r="AI319" s="40">
        <f t="shared" si="116"/>
        <v>0</v>
      </c>
      <c r="AJ319" s="40">
        <f t="shared" si="117"/>
        <v>0</v>
      </c>
      <c r="AK319" s="40">
        <f t="shared" si="117"/>
        <v>0</v>
      </c>
      <c r="AL319" s="40">
        <f t="shared" si="117"/>
        <v>0</v>
      </c>
      <c r="AM319" s="40">
        <f t="shared" si="117"/>
        <v>0</v>
      </c>
      <c r="AN319" s="40">
        <f t="shared" si="118"/>
        <v>0</v>
      </c>
      <c r="AO319" s="40">
        <f t="shared" si="118"/>
        <v>0</v>
      </c>
      <c r="AP319" s="40">
        <f t="shared" si="118"/>
        <v>0</v>
      </c>
      <c r="AQ319" s="40">
        <f t="shared" si="118"/>
        <v>0</v>
      </c>
    </row>
    <row r="320" spans="27:43">
      <c r="AA320" s="41">
        <f t="shared" si="119"/>
        <v>317</v>
      </c>
      <c r="AB320" s="38">
        <f t="shared" si="115"/>
        <v>0</v>
      </c>
      <c r="AC320" s="39">
        <f t="shared" si="115"/>
        <v>0</v>
      </c>
      <c r="AD320" s="40">
        <f t="shared" si="115"/>
        <v>0</v>
      </c>
      <c r="AE320" s="38">
        <f t="shared" si="115"/>
        <v>0</v>
      </c>
      <c r="AF320" s="39">
        <f t="shared" si="116"/>
        <v>0</v>
      </c>
      <c r="AG320" s="40">
        <f t="shared" si="116"/>
        <v>0</v>
      </c>
      <c r="AH320" s="40">
        <f t="shared" si="116"/>
        <v>0</v>
      </c>
      <c r="AI320" s="40">
        <f t="shared" si="116"/>
        <v>0</v>
      </c>
      <c r="AJ320" s="40">
        <f t="shared" si="117"/>
        <v>0</v>
      </c>
      <c r="AK320" s="40">
        <f t="shared" si="117"/>
        <v>0</v>
      </c>
      <c r="AL320" s="40">
        <f t="shared" si="117"/>
        <v>0</v>
      </c>
      <c r="AM320" s="40">
        <f t="shared" si="117"/>
        <v>0</v>
      </c>
      <c r="AN320" s="40">
        <f t="shared" si="118"/>
        <v>0</v>
      </c>
      <c r="AO320" s="40">
        <f t="shared" si="118"/>
        <v>0</v>
      </c>
      <c r="AP320" s="40">
        <f t="shared" si="118"/>
        <v>0</v>
      </c>
      <c r="AQ320" s="40">
        <f t="shared" si="118"/>
        <v>0</v>
      </c>
    </row>
    <row r="321" spans="27:43">
      <c r="AA321" s="41">
        <f t="shared" si="119"/>
        <v>318</v>
      </c>
      <c r="AB321" s="38">
        <f t="shared" si="115"/>
        <v>0</v>
      </c>
      <c r="AC321" s="39">
        <f t="shared" si="115"/>
        <v>0</v>
      </c>
      <c r="AD321" s="40">
        <f t="shared" si="115"/>
        <v>0</v>
      </c>
      <c r="AE321" s="38">
        <f t="shared" si="115"/>
        <v>0</v>
      </c>
      <c r="AF321" s="39">
        <f t="shared" si="116"/>
        <v>0</v>
      </c>
      <c r="AG321" s="40">
        <f t="shared" si="116"/>
        <v>0</v>
      </c>
      <c r="AH321" s="40">
        <f t="shared" si="116"/>
        <v>0</v>
      </c>
      <c r="AI321" s="40">
        <f t="shared" si="116"/>
        <v>0</v>
      </c>
      <c r="AJ321" s="40">
        <f t="shared" si="117"/>
        <v>0</v>
      </c>
      <c r="AK321" s="40">
        <f t="shared" si="117"/>
        <v>0</v>
      </c>
      <c r="AL321" s="40">
        <f t="shared" si="117"/>
        <v>0</v>
      </c>
      <c r="AM321" s="40">
        <f t="shared" si="117"/>
        <v>0</v>
      </c>
      <c r="AN321" s="40">
        <f t="shared" si="118"/>
        <v>0</v>
      </c>
      <c r="AO321" s="40">
        <f t="shared" si="118"/>
        <v>0</v>
      </c>
      <c r="AP321" s="40">
        <f t="shared" si="118"/>
        <v>0</v>
      </c>
      <c r="AQ321" s="40">
        <f t="shared" si="118"/>
        <v>0</v>
      </c>
    </row>
    <row r="322" spans="27:43">
      <c r="AA322" s="41">
        <f t="shared" si="119"/>
        <v>319</v>
      </c>
      <c r="AB322" s="38">
        <f t="shared" si="115"/>
        <v>0</v>
      </c>
      <c r="AC322" s="39">
        <f t="shared" si="115"/>
        <v>0</v>
      </c>
      <c r="AD322" s="40">
        <f t="shared" si="115"/>
        <v>0</v>
      </c>
      <c r="AE322" s="38">
        <f t="shared" si="115"/>
        <v>0</v>
      </c>
      <c r="AF322" s="39">
        <f t="shared" si="116"/>
        <v>0</v>
      </c>
      <c r="AG322" s="40">
        <f t="shared" si="116"/>
        <v>0</v>
      </c>
      <c r="AH322" s="40">
        <f t="shared" si="116"/>
        <v>0</v>
      </c>
      <c r="AI322" s="40">
        <f t="shared" si="116"/>
        <v>0</v>
      </c>
      <c r="AJ322" s="40">
        <f t="shared" si="117"/>
        <v>0</v>
      </c>
      <c r="AK322" s="40">
        <f t="shared" si="117"/>
        <v>0</v>
      </c>
      <c r="AL322" s="40">
        <f t="shared" si="117"/>
        <v>0</v>
      </c>
      <c r="AM322" s="40">
        <f t="shared" si="117"/>
        <v>0</v>
      </c>
      <c r="AN322" s="40">
        <f t="shared" si="118"/>
        <v>0</v>
      </c>
      <c r="AO322" s="40">
        <f t="shared" si="118"/>
        <v>0</v>
      </c>
      <c r="AP322" s="40">
        <f t="shared" si="118"/>
        <v>0</v>
      </c>
      <c r="AQ322" s="40">
        <f t="shared" si="118"/>
        <v>0</v>
      </c>
    </row>
    <row r="323" spans="27:43">
      <c r="AA323" s="41">
        <f t="shared" si="119"/>
        <v>320</v>
      </c>
      <c r="AB323" s="38">
        <f t="shared" si="115"/>
        <v>0</v>
      </c>
      <c r="AC323" s="39">
        <f t="shared" si="115"/>
        <v>0</v>
      </c>
      <c r="AD323" s="40">
        <f t="shared" si="115"/>
        <v>0</v>
      </c>
      <c r="AE323" s="38">
        <f t="shared" si="115"/>
        <v>0</v>
      </c>
      <c r="AF323" s="39">
        <f t="shared" si="116"/>
        <v>0</v>
      </c>
      <c r="AG323" s="40">
        <f t="shared" si="116"/>
        <v>0</v>
      </c>
      <c r="AH323" s="40">
        <f t="shared" si="116"/>
        <v>0</v>
      </c>
      <c r="AI323" s="40">
        <f t="shared" si="116"/>
        <v>0</v>
      </c>
      <c r="AJ323" s="40">
        <f t="shared" si="117"/>
        <v>0</v>
      </c>
      <c r="AK323" s="40">
        <f t="shared" si="117"/>
        <v>0</v>
      </c>
      <c r="AL323" s="40">
        <f t="shared" si="117"/>
        <v>0</v>
      </c>
      <c r="AM323" s="40">
        <f t="shared" si="117"/>
        <v>0</v>
      </c>
      <c r="AN323" s="40">
        <f t="shared" si="118"/>
        <v>0</v>
      </c>
      <c r="AO323" s="40">
        <f t="shared" si="118"/>
        <v>0</v>
      </c>
      <c r="AP323" s="40">
        <f t="shared" si="118"/>
        <v>0</v>
      </c>
      <c r="AQ323" s="40">
        <f t="shared" si="118"/>
        <v>0</v>
      </c>
    </row>
    <row r="324" spans="27:43">
      <c r="AA324" s="41">
        <f t="shared" si="119"/>
        <v>321</v>
      </c>
      <c r="AB324" s="38">
        <f t="shared" si="115"/>
        <v>0</v>
      </c>
      <c r="AC324" s="39">
        <f t="shared" si="115"/>
        <v>0</v>
      </c>
      <c r="AD324" s="40">
        <f t="shared" si="115"/>
        <v>0</v>
      </c>
      <c r="AE324" s="38">
        <f t="shared" ref="AE324:AH373" si="120">AE323</f>
        <v>0</v>
      </c>
      <c r="AF324" s="39">
        <f t="shared" si="116"/>
        <v>0</v>
      </c>
      <c r="AG324" s="40">
        <f t="shared" si="116"/>
        <v>0</v>
      </c>
      <c r="AH324" s="40">
        <f t="shared" si="116"/>
        <v>0</v>
      </c>
      <c r="AI324" s="40">
        <f t="shared" ref="AI324:AL373" si="121">AI323</f>
        <v>0</v>
      </c>
      <c r="AJ324" s="40">
        <f t="shared" si="117"/>
        <v>0</v>
      </c>
      <c r="AK324" s="40">
        <f t="shared" si="117"/>
        <v>0</v>
      </c>
      <c r="AL324" s="40">
        <f t="shared" si="117"/>
        <v>0</v>
      </c>
      <c r="AM324" s="40">
        <f t="shared" ref="AM324:AQ373" si="122">AM323</f>
        <v>0</v>
      </c>
      <c r="AN324" s="40">
        <f t="shared" si="118"/>
        <v>0</v>
      </c>
      <c r="AO324" s="40">
        <f t="shared" si="118"/>
        <v>0</v>
      </c>
      <c r="AP324" s="40">
        <f t="shared" si="118"/>
        <v>0</v>
      </c>
      <c r="AQ324" s="40">
        <f t="shared" ref="AQ324" si="123">AQ323</f>
        <v>0</v>
      </c>
    </row>
    <row r="325" spans="27:43">
      <c r="AA325" s="41">
        <f t="shared" si="119"/>
        <v>322</v>
      </c>
      <c r="AB325" s="38">
        <f t="shared" ref="AB325:AD373" si="124">AB324</f>
        <v>0</v>
      </c>
      <c r="AC325" s="39">
        <f t="shared" si="124"/>
        <v>0</v>
      </c>
      <c r="AD325" s="40">
        <f t="shared" si="124"/>
        <v>0</v>
      </c>
      <c r="AE325" s="38">
        <f t="shared" si="120"/>
        <v>0</v>
      </c>
      <c r="AF325" s="39">
        <f t="shared" si="120"/>
        <v>0</v>
      </c>
      <c r="AG325" s="40">
        <f t="shared" si="120"/>
        <v>0</v>
      </c>
      <c r="AH325" s="40">
        <f t="shared" si="120"/>
        <v>0</v>
      </c>
      <c r="AI325" s="40">
        <f t="shared" si="121"/>
        <v>0</v>
      </c>
      <c r="AJ325" s="40">
        <f t="shared" si="121"/>
        <v>0</v>
      </c>
      <c r="AK325" s="40">
        <f t="shared" si="121"/>
        <v>0</v>
      </c>
      <c r="AL325" s="40">
        <f t="shared" si="121"/>
        <v>0</v>
      </c>
      <c r="AM325" s="40">
        <f t="shared" si="122"/>
        <v>0</v>
      </c>
      <c r="AN325" s="40">
        <f t="shared" si="122"/>
        <v>0</v>
      </c>
      <c r="AO325" s="40">
        <f t="shared" si="122"/>
        <v>0</v>
      </c>
      <c r="AP325" s="40">
        <f t="shared" si="122"/>
        <v>0</v>
      </c>
      <c r="AQ325" s="40">
        <f t="shared" si="122"/>
        <v>0</v>
      </c>
    </row>
    <row r="326" spans="27:43">
      <c r="AA326" s="41">
        <f t="shared" ref="AA326:AA373" si="125">AA325+1</f>
        <v>323</v>
      </c>
      <c r="AB326" s="38">
        <f t="shared" si="124"/>
        <v>0</v>
      </c>
      <c r="AC326" s="39">
        <f t="shared" si="124"/>
        <v>0</v>
      </c>
      <c r="AD326" s="40">
        <f t="shared" si="124"/>
        <v>0</v>
      </c>
      <c r="AE326" s="38">
        <f t="shared" si="120"/>
        <v>0</v>
      </c>
      <c r="AF326" s="39">
        <f t="shared" si="120"/>
        <v>0</v>
      </c>
      <c r="AG326" s="40">
        <f t="shared" si="120"/>
        <v>0</v>
      </c>
      <c r="AH326" s="40">
        <f t="shared" si="120"/>
        <v>0</v>
      </c>
      <c r="AI326" s="40">
        <f t="shared" si="121"/>
        <v>0</v>
      </c>
      <c r="AJ326" s="40">
        <f t="shared" si="121"/>
        <v>0</v>
      </c>
      <c r="AK326" s="40">
        <f t="shared" si="121"/>
        <v>0</v>
      </c>
      <c r="AL326" s="40">
        <f t="shared" si="121"/>
        <v>0</v>
      </c>
      <c r="AM326" s="40">
        <f t="shared" si="122"/>
        <v>0</v>
      </c>
      <c r="AN326" s="40">
        <f t="shared" si="122"/>
        <v>0</v>
      </c>
      <c r="AO326" s="40">
        <f t="shared" si="122"/>
        <v>0</v>
      </c>
      <c r="AP326" s="40">
        <f t="shared" si="122"/>
        <v>0</v>
      </c>
      <c r="AQ326" s="40">
        <f t="shared" si="122"/>
        <v>0</v>
      </c>
    </row>
    <row r="327" spans="27:43">
      <c r="AA327" s="41">
        <f t="shared" si="125"/>
        <v>324</v>
      </c>
      <c r="AB327" s="38">
        <f t="shared" si="124"/>
        <v>0</v>
      </c>
      <c r="AC327" s="39">
        <f t="shared" si="124"/>
        <v>0</v>
      </c>
      <c r="AD327" s="40">
        <f t="shared" si="124"/>
        <v>0</v>
      </c>
      <c r="AE327" s="38">
        <f t="shared" si="120"/>
        <v>0</v>
      </c>
      <c r="AF327" s="39">
        <f t="shared" si="120"/>
        <v>0</v>
      </c>
      <c r="AG327" s="40">
        <f t="shared" si="120"/>
        <v>0</v>
      </c>
      <c r="AH327" s="40">
        <f t="shared" si="120"/>
        <v>0</v>
      </c>
      <c r="AI327" s="40">
        <f t="shared" si="121"/>
        <v>0</v>
      </c>
      <c r="AJ327" s="40">
        <f t="shared" si="121"/>
        <v>0</v>
      </c>
      <c r="AK327" s="40">
        <f t="shared" si="121"/>
        <v>0</v>
      </c>
      <c r="AL327" s="40">
        <f t="shared" si="121"/>
        <v>0</v>
      </c>
      <c r="AM327" s="40">
        <f t="shared" si="122"/>
        <v>0</v>
      </c>
      <c r="AN327" s="40">
        <f t="shared" si="122"/>
        <v>0</v>
      </c>
      <c r="AO327" s="40">
        <f t="shared" si="122"/>
        <v>0</v>
      </c>
      <c r="AP327" s="40">
        <f t="shared" si="122"/>
        <v>0</v>
      </c>
      <c r="AQ327" s="40">
        <f t="shared" si="122"/>
        <v>0</v>
      </c>
    </row>
    <row r="328" spans="27:43">
      <c r="AA328" s="41">
        <f t="shared" si="125"/>
        <v>325</v>
      </c>
      <c r="AB328" s="38">
        <f t="shared" si="124"/>
        <v>0</v>
      </c>
      <c r="AC328" s="39">
        <f t="shared" si="124"/>
        <v>0</v>
      </c>
      <c r="AD328" s="40">
        <f t="shared" si="124"/>
        <v>0</v>
      </c>
      <c r="AE328" s="38">
        <f t="shared" si="120"/>
        <v>0</v>
      </c>
      <c r="AF328" s="39">
        <f t="shared" si="120"/>
        <v>0</v>
      </c>
      <c r="AG328" s="40">
        <f t="shared" si="120"/>
        <v>0</v>
      </c>
      <c r="AH328" s="40">
        <f t="shared" si="120"/>
        <v>0</v>
      </c>
      <c r="AI328" s="40">
        <f t="shared" si="121"/>
        <v>0</v>
      </c>
      <c r="AJ328" s="40">
        <f t="shared" si="121"/>
        <v>0</v>
      </c>
      <c r="AK328" s="40">
        <f t="shared" si="121"/>
        <v>0</v>
      </c>
      <c r="AL328" s="40">
        <f t="shared" si="121"/>
        <v>0</v>
      </c>
      <c r="AM328" s="40">
        <f t="shared" si="122"/>
        <v>0</v>
      </c>
      <c r="AN328" s="40">
        <f t="shared" si="122"/>
        <v>0</v>
      </c>
      <c r="AO328" s="40">
        <f t="shared" si="122"/>
        <v>0</v>
      </c>
      <c r="AP328" s="40">
        <f t="shared" si="122"/>
        <v>0</v>
      </c>
      <c r="AQ328" s="40">
        <f t="shared" si="122"/>
        <v>0</v>
      </c>
    </row>
    <row r="329" spans="27:43">
      <c r="AA329" s="41">
        <f t="shared" si="125"/>
        <v>326</v>
      </c>
      <c r="AB329" s="38">
        <f t="shared" si="124"/>
        <v>0</v>
      </c>
      <c r="AC329" s="39">
        <f t="shared" si="124"/>
        <v>0</v>
      </c>
      <c r="AD329" s="40">
        <f t="shared" si="124"/>
        <v>0</v>
      </c>
      <c r="AE329" s="38">
        <f t="shared" si="120"/>
        <v>0</v>
      </c>
      <c r="AF329" s="39">
        <f t="shared" si="120"/>
        <v>0</v>
      </c>
      <c r="AG329" s="40">
        <f t="shared" si="120"/>
        <v>0</v>
      </c>
      <c r="AH329" s="40">
        <f t="shared" si="120"/>
        <v>0</v>
      </c>
      <c r="AI329" s="40">
        <f t="shared" si="121"/>
        <v>0</v>
      </c>
      <c r="AJ329" s="40">
        <f t="shared" si="121"/>
        <v>0</v>
      </c>
      <c r="AK329" s="40">
        <f t="shared" si="121"/>
        <v>0</v>
      </c>
      <c r="AL329" s="40">
        <f t="shared" si="121"/>
        <v>0</v>
      </c>
      <c r="AM329" s="40">
        <f t="shared" si="122"/>
        <v>0</v>
      </c>
      <c r="AN329" s="40">
        <f t="shared" si="122"/>
        <v>0</v>
      </c>
      <c r="AO329" s="40">
        <f t="shared" si="122"/>
        <v>0</v>
      </c>
      <c r="AP329" s="40">
        <f t="shared" si="122"/>
        <v>0</v>
      </c>
      <c r="AQ329" s="40">
        <f t="shared" si="122"/>
        <v>0</v>
      </c>
    </row>
    <row r="330" spans="27:43">
      <c r="AA330" s="41">
        <f t="shared" si="125"/>
        <v>327</v>
      </c>
      <c r="AB330" s="38">
        <f t="shared" si="124"/>
        <v>0</v>
      </c>
      <c r="AC330" s="39">
        <f t="shared" si="124"/>
        <v>0</v>
      </c>
      <c r="AD330" s="40">
        <f t="shared" si="124"/>
        <v>0</v>
      </c>
      <c r="AE330" s="38">
        <f t="shared" si="120"/>
        <v>0</v>
      </c>
      <c r="AF330" s="39">
        <f t="shared" si="120"/>
        <v>0</v>
      </c>
      <c r="AG330" s="40">
        <f t="shared" si="120"/>
        <v>0</v>
      </c>
      <c r="AH330" s="40">
        <f t="shared" si="120"/>
        <v>0</v>
      </c>
      <c r="AI330" s="40">
        <f t="shared" si="121"/>
        <v>0</v>
      </c>
      <c r="AJ330" s="40">
        <f t="shared" si="121"/>
        <v>0</v>
      </c>
      <c r="AK330" s="40">
        <f t="shared" si="121"/>
        <v>0</v>
      </c>
      <c r="AL330" s="40">
        <f t="shared" si="121"/>
        <v>0</v>
      </c>
      <c r="AM330" s="40">
        <f t="shared" si="122"/>
        <v>0</v>
      </c>
      <c r="AN330" s="40">
        <f t="shared" si="122"/>
        <v>0</v>
      </c>
      <c r="AO330" s="40">
        <f t="shared" si="122"/>
        <v>0</v>
      </c>
      <c r="AP330" s="40">
        <f t="shared" si="122"/>
        <v>0</v>
      </c>
      <c r="AQ330" s="40">
        <f t="shared" si="122"/>
        <v>0</v>
      </c>
    </row>
    <row r="331" spans="27:43">
      <c r="AA331" s="41">
        <f t="shared" si="125"/>
        <v>328</v>
      </c>
      <c r="AB331" s="38">
        <f t="shared" si="124"/>
        <v>0</v>
      </c>
      <c r="AC331" s="39">
        <f t="shared" si="124"/>
        <v>0</v>
      </c>
      <c r="AD331" s="40">
        <f t="shared" si="124"/>
        <v>0</v>
      </c>
      <c r="AE331" s="38">
        <f t="shared" si="120"/>
        <v>0</v>
      </c>
      <c r="AF331" s="39">
        <f t="shared" si="120"/>
        <v>0</v>
      </c>
      <c r="AG331" s="40">
        <f t="shared" si="120"/>
        <v>0</v>
      </c>
      <c r="AH331" s="40">
        <f t="shared" si="120"/>
        <v>0</v>
      </c>
      <c r="AI331" s="40">
        <f t="shared" si="121"/>
        <v>0</v>
      </c>
      <c r="AJ331" s="40">
        <f t="shared" si="121"/>
        <v>0</v>
      </c>
      <c r="AK331" s="40">
        <f t="shared" si="121"/>
        <v>0</v>
      </c>
      <c r="AL331" s="40">
        <f t="shared" si="121"/>
        <v>0</v>
      </c>
      <c r="AM331" s="40">
        <f t="shared" si="122"/>
        <v>0</v>
      </c>
      <c r="AN331" s="40">
        <f t="shared" si="122"/>
        <v>0</v>
      </c>
      <c r="AO331" s="40">
        <f t="shared" si="122"/>
        <v>0</v>
      </c>
      <c r="AP331" s="40">
        <f t="shared" si="122"/>
        <v>0</v>
      </c>
      <c r="AQ331" s="40">
        <f t="shared" si="122"/>
        <v>0</v>
      </c>
    </row>
    <row r="332" spans="27:43">
      <c r="AA332" s="41">
        <f t="shared" si="125"/>
        <v>329</v>
      </c>
      <c r="AB332" s="38">
        <f t="shared" si="124"/>
        <v>0</v>
      </c>
      <c r="AC332" s="39">
        <f t="shared" si="124"/>
        <v>0</v>
      </c>
      <c r="AD332" s="40">
        <f t="shared" si="124"/>
        <v>0</v>
      </c>
      <c r="AE332" s="38">
        <f t="shared" si="120"/>
        <v>0</v>
      </c>
      <c r="AF332" s="39">
        <f t="shared" si="120"/>
        <v>0</v>
      </c>
      <c r="AG332" s="40">
        <f t="shared" si="120"/>
        <v>0</v>
      </c>
      <c r="AH332" s="40">
        <f t="shared" si="120"/>
        <v>0</v>
      </c>
      <c r="AI332" s="40">
        <f t="shared" si="121"/>
        <v>0</v>
      </c>
      <c r="AJ332" s="40">
        <f t="shared" si="121"/>
        <v>0</v>
      </c>
      <c r="AK332" s="40">
        <f t="shared" si="121"/>
        <v>0</v>
      </c>
      <c r="AL332" s="40">
        <f t="shared" si="121"/>
        <v>0</v>
      </c>
      <c r="AM332" s="40">
        <f t="shared" si="122"/>
        <v>0</v>
      </c>
      <c r="AN332" s="40">
        <f t="shared" si="122"/>
        <v>0</v>
      </c>
      <c r="AO332" s="40">
        <f t="shared" si="122"/>
        <v>0</v>
      </c>
      <c r="AP332" s="40">
        <f t="shared" si="122"/>
        <v>0</v>
      </c>
      <c r="AQ332" s="40">
        <f t="shared" si="122"/>
        <v>0</v>
      </c>
    </row>
    <row r="333" spans="27:43">
      <c r="AA333" s="41">
        <f t="shared" si="125"/>
        <v>330</v>
      </c>
      <c r="AB333" s="38">
        <f t="shared" si="124"/>
        <v>0</v>
      </c>
      <c r="AC333" s="39">
        <f t="shared" si="124"/>
        <v>0</v>
      </c>
      <c r="AD333" s="40">
        <f t="shared" si="124"/>
        <v>0</v>
      </c>
      <c r="AE333" s="38">
        <f t="shared" si="120"/>
        <v>0</v>
      </c>
      <c r="AF333" s="39">
        <f t="shared" si="120"/>
        <v>0</v>
      </c>
      <c r="AG333" s="40">
        <f t="shared" si="120"/>
        <v>0</v>
      </c>
      <c r="AH333" s="40">
        <f t="shared" si="120"/>
        <v>0</v>
      </c>
      <c r="AI333" s="40">
        <f t="shared" si="121"/>
        <v>0</v>
      </c>
      <c r="AJ333" s="40">
        <f t="shared" si="121"/>
        <v>0</v>
      </c>
      <c r="AK333" s="40">
        <f t="shared" si="121"/>
        <v>0</v>
      </c>
      <c r="AL333" s="40">
        <f t="shared" si="121"/>
        <v>0</v>
      </c>
      <c r="AM333" s="40">
        <f t="shared" si="122"/>
        <v>0</v>
      </c>
      <c r="AN333" s="40">
        <f t="shared" si="122"/>
        <v>0</v>
      </c>
      <c r="AO333" s="40">
        <f t="shared" si="122"/>
        <v>0</v>
      </c>
      <c r="AP333" s="40">
        <f t="shared" si="122"/>
        <v>0</v>
      </c>
      <c r="AQ333" s="40">
        <f t="shared" si="122"/>
        <v>0</v>
      </c>
    </row>
    <row r="334" spans="27:43">
      <c r="AA334" s="41">
        <f t="shared" si="125"/>
        <v>331</v>
      </c>
      <c r="AB334" s="38">
        <f t="shared" si="124"/>
        <v>0</v>
      </c>
      <c r="AC334" s="39">
        <f t="shared" si="124"/>
        <v>0</v>
      </c>
      <c r="AD334" s="40">
        <f t="shared" si="124"/>
        <v>0</v>
      </c>
      <c r="AE334" s="38">
        <f t="shared" si="120"/>
        <v>0</v>
      </c>
      <c r="AF334" s="39">
        <f t="shared" si="120"/>
        <v>0</v>
      </c>
      <c r="AG334" s="40">
        <f t="shared" si="120"/>
        <v>0</v>
      </c>
      <c r="AH334" s="40">
        <f t="shared" si="120"/>
        <v>0</v>
      </c>
      <c r="AI334" s="40">
        <f t="shared" si="121"/>
        <v>0</v>
      </c>
      <c r="AJ334" s="40">
        <f t="shared" si="121"/>
        <v>0</v>
      </c>
      <c r="AK334" s="40">
        <f t="shared" si="121"/>
        <v>0</v>
      </c>
      <c r="AL334" s="40">
        <f t="shared" si="121"/>
        <v>0</v>
      </c>
      <c r="AM334" s="40">
        <f t="shared" si="122"/>
        <v>0</v>
      </c>
      <c r="AN334" s="40">
        <f t="shared" si="122"/>
        <v>0</v>
      </c>
      <c r="AO334" s="40">
        <f t="shared" si="122"/>
        <v>0</v>
      </c>
      <c r="AP334" s="40">
        <f t="shared" si="122"/>
        <v>0</v>
      </c>
      <c r="AQ334" s="40">
        <f t="shared" si="122"/>
        <v>0</v>
      </c>
    </row>
    <row r="335" spans="27:43">
      <c r="AA335" s="41">
        <f t="shared" si="125"/>
        <v>332</v>
      </c>
      <c r="AB335" s="38">
        <f t="shared" si="124"/>
        <v>0</v>
      </c>
      <c r="AC335" s="39">
        <f t="shared" si="124"/>
        <v>0</v>
      </c>
      <c r="AD335" s="40">
        <f t="shared" si="124"/>
        <v>0</v>
      </c>
      <c r="AE335" s="38">
        <f t="shared" si="120"/>
        <v>0</v>
      </c>
      <c r="AF335" s="39">
        <f t="shared" si="120"/>
        <v>0</v>
      </c>
      <c r="AG335" s="40">
        <f t="shared" si="120"/>
        <v>0</v>
      </c>
      <c r="AH335" s="40">
        <f t="shared" si="120"/>
        <v>0</v>
      </c>
      <c r="AI335" s="40">
        <f t="shared" si="121"/>
        <v>0</v>
      </c>
      <c r="AJ335" s="40">
        <f t="shared" si="121"/>
        <v>0</v>
      </c>
      <c r="AK335" s="40">
        <f t="shared" si="121"/>
        <v>0</v>
      </c>
      <c r="AL335" s="40">
        <f t="shared" si="121"/>
        <v>0</v>
      </c>
      <c r="AM335" s="40">
        <f t="shared" si="122"/>
        <v>0</v>
      </c>
      <c r="AN335" s="40">
        <f t="shared" si="122"/>
        <v>0</v>
      </c>
      <c r="AO335" s="40">
        <f t="shared" si="122"/>
        <v>0</v>
      </c>
      <c r="AP335" s="40">
        <f t="shared" si="122"/>
        <v>0</v>
      </c>
      <c r="AQ335" s="40">
        <f t="shared" si="122"/>
        <v>0</v>
      </c>
    </row>
    <row r="336" spans="27:43">
      <c r="AA336" s="41">
        <f t="shared" si="125"/>
        <v>333</v>
      </c>
      <c r="AB336" s="38">
        <f t="shared" si="124"/>
        <v>0</v>
      </c>
      <c r="AC336" s="39">
        <f t="shared" si="124"/>
        <v>0</v>
      </c>
      <c r="AD336" s="40">
        <f t="shared" si="124"/>
        <v>0</v>
      </c>
      <c r="AE336" s="38">
        <f t="shared" si="120"/>
        <v>0</v>
      </c>
      <c r="AF336" s="39">
        <f t="shared" si="120"/>
        <v>0</v>
      </c>
      <c r="AG336" s="40">
        <f t="shared" si="120"/>
        <v>0</v>
      </c>
      <c r="AH336" s="40">
        <f t="shared" si="120"/>
        <v>0</v>
      </c>
      <c r="AI336" s="40">
        <f t="shared" si="121"/>
        <v>0</v>
      </c>
      <c r="AJ336" s="40">
        <f t="shared" si="121"/>
        <v>0</v>
      </c>
      <c r="AK336" s="40">
        <f t="shared" si="121"/>
        <v>0</v>
      </c>
      <c r="AL336" s="40">
        <f t="shared" si="121"/>
        <v>0</v>
      </c>
      <c r="AM336" s="40">
        <f t="shared" si="122"/>
        <v>0</v>
      </c>
      <c r="AN336" s="40">
        <f t="shared" si="122"/>
        <v>0</v>
      </c>
      <c r="AO336" s="40">
        <f t="shared" si="122"/>
        <v>0</v>
      </c>
      <c r="AP336" s="40">
        <f t="shared" si="122"/>
        <v>0</v>
      </c>
      <c r="AQ336" s="40">
        <f t="shared" si="122"/>
        <v>0</v>
      </c>
    </row>
    <row r="337" spans="27:43">
      <c r="AA337" s="41">
        <f t="shared" si="125"/>
        <v>334</v>
      </c>
      <c r="AB337" s="38">
        <f t="shared" si="124"/>
        <v>0</v>
      </c>
      <c r="AC337" s="39">
        <f t="shared" si="124"/>
        <v>0</v>
      </c>
      <c r="AD337" s="40">
        <f t="shared" si="124"/>
        <v>0</v>
      </c>
      <c r="AE337" s="38">
        <f t="shared" si="120"/>
        <v>0</v>
      </c>
      <c r="AF337" s="39">
        <f t="shared" si="120"/>
        <v>0</v>
      </c>
      <c r="AG337" s="40">
        <f t="shared" si="120"/>
        <v>0</v>
      </c>
      <c r="AH337" s="40">
        <f t="shared" si="120"/>
        <v>0</v>
      </c>
      <c r="AI337" s="40">
        <f t="shared" si="121"/>
        <v>0</v>
      </c>
      <c r="AJ337" s="40">
        <f t="shared" si="121"/>
        <v>0</v>
      </c>
      <c r="AK337" s="40">
        <f t="shared" si="121"/>
        <v>0</v>
      </c>
      <c r="AL337" s="40">
        <f t="shared" si="121"/>
        <v>0</v>
      </c>
      <c r="AM337" s="40">
        <f t="shared" si="122"/>
        <v>0</v>
      </c>
      <c r="AN337" s="40">
        <f t="shared" si="122"/>
        <v>0</v>
      </c>
      <c r="AO337" s="40">
        <f t="shared" si="122"/>
        <v>0</v>
      </c>
      <c r="AP337" s="40">
        <f t="shared" si="122"/>
        <v>0</v>
      </c>
      <c r="AQ337" s="40">
        <f t="shared" si="122"/>
        <v>0</v>
      </c>
    </row>
    <row r="338" spans="27:43">
      <c r="AA338" s="41">
        <f t="shared" si="125"/>
        <v>335</v>
      </c>
      <c r="AB338" s="38">
        <f t="shared" si="124"/>
        <v>0</v>
      </c>
      <c r="AC338" s="39">
        <f t="shared" si="124"/>
        <v>0</v>
      </c>
      <c r="AD338" s="40">
        <f t="shared" si="124"/>
        <v>0</v>
      </c>
      <c r="AE338" s="38">
        <f t="shared" si="120"/>
        <v>0</v>
      </c>
      <c r="AF338" s="39">
        <f t="shared" si="120"/>
        <v>0</v>
      </c>
      <c r="AG338" s="40">
        <f t="shared" si="120"/>
        <v>0</v>
      </c>
      <c r="AH338" s="40">
        <f t="shared" si="120"/>
        <v>0</v>
      </c>
      <c r="AI338" s="40">
        <f t="shared" si="121"/>
        <v>0</v>
      </c>
      <c r="AJ338" s="40">
        <f t="shared" si="121"/>
        <v>0</v>
      </c>
      <c r="AK338" s="40">
        <f t="shared" si="121"/>
        <v>0</v>
      </c>
      <c r="AL338" s="40">
        <f t="shared" si="121"/>
        <v>0</v>
      </c>
      <c r="AM338" s="40">
        <f t="shared" si="122"/>
        <v>0</v>
      </c>
      <c r="AN338" s="40">
        <f t="shared" si="122"/>
        <v>0</v>
      </c>
      <c r="AO338" s="40">
        <f t="shared" si="122"/>
        <v>0</v>
      </c>
      <c r="AP338" s="40">
        <f t="shared" si="122"/>
        <v>0</v>
      </c>
      <c r="AQ338" s="40">
        <f t="shared" si="122"/>
        <v>0</v>
      </c>
    </row>
    <row r="339" spans="27:43">
      <c r="AA339" s="41">
        <f t="shared" si="125"/>
        <v>336</v>
      </c>
      <c r="AB339" s="38">
        <f t="shared" si="124"/>
        <v>0</v>
      </c>
      <c r="AC339" s="39">
        <f t="shared" si="124"/>
        <v>0</v>
      </c>
      <c r="AD339" s="40">
        <f t="shared" si="124"/>
        <v>0</v>
      </c>
      <c r="AE339" s="38">
        <f t="shared" si="120"/>
        <v>0</v>
      </c>
      <c r="AF339" s="39">
        <f t="shared" si="120"/>
        <v>0</v>
      </c>
      <c r="AG339" s="40">
        <f t="shared" si="120"/>
        <v>0</v>
      </c>
      <c r="AH339" s="40">
        <f t="shared" si="120"/>
        <v>0</v>
      </c>
      <c r="AI339" s="40">
        <f t="shared" si="121"/>
        <v>0</v>
      </c>
      <c r="AJ339" s="40">
        <f t="shared" si="121"/>
        <v>0</v>
      </c>
      <c r="AK339" s="40">
        <f t="shared" si="121"/>
        <v>0</v>
      </c>
      <c r="AL339" s="40">
        <f t="shared" si="121"/>
        <v>0</v>
      </c>
      <c r="AM339" s="40">
        <f t="shared" si="122"/>
        <v>0</v>
      </c>
      <c r="AN339" s="40">
        <f t="shared" si="122"/>
        <v>0</v>
      </c>
      <c r="AO339" s="40">
        <f t="shared" si="122"/>
        <v>0</v>
      </c>
      <c r="AP339" s="40">
        <f t="shared" si="122"/>
        <v>0</v>
      </c>
      <c r="AQ339" s="40">
        <f t="shared" si="122"/>
        <v>0</v>
      </c>
    </row>
    <row r="340" spans="27:43">
      <c r="AA340" s="41">
        <f t="shared" si="125"/>
        <v>337</v>
      </c>
      <c r="AB340" s="38">
        <f t="shared" si="124"/>
        <v>0</v>
      </c>
      <c r="AC340" s="39">
        <f t="shared" si="124"/>
        <v>0</v>
      </c>
      <c r="AD340" s="40">
        <f t="shared" si="124"/>
        <v>0</v>
      </c>
      <c r="AE340" s="38">
        <f t="shared" si="120"/>
        <v>0</v>
      </c>
      <c r="AF340" s="39">
        <f t="shared" si="120"/>
        <v>0</v>
      </c>
      <c r="AG340" s="40">
        <f t="shared" si="120"/>
        <v>0</v>
      </c>
      <c r="AH340" s="40">
        <f t="shared" si="120"/>
        <v>0</v>
      </c>
      <c r="AI340" s="40">
        <f t="shared" si="121"/>
        <v>0</v>
      </c>
      <c r="AJ340" s="40">
        <f t="shared" si="121"/>
        <v>0</v>
      </c>
      <c r="AK340" s="40">
        <f t="shared" si="121"/>
        <v>0</v>
      </c>
      <c r="AL340" s="40">
        <f t="shared" si="121"/>
        <v>0</v>
      </c>
      <c r="AM340" s="40">
        <f t="shared" si="122"/>
        <v>0</v>
      </c>
      <c r="AN340" s="40">
        <f t="shared" si="122"/>
        <v>0</v>
      </c>
      <c r="AO340" s="40">
        <f t="shared" si="122"/>
        <v>0</v>
      </c>
      <c r="AP340" s="40">
        <f t="shared" si="122"/>
        <v>0</v>
      </c>
      <c r="AQ340" s="40">
        <f t="shared" si="122"/>
        <v>0</v>
      </c>
    </row>
    <row r="341" spans="27:43">
      <c r="AA341" s="41">
        <f t="shared" si="125"/>
        <v>338</v>
      </c>
      <c r="AB341" s="38">
        <f t="shared" si="124"/>
        <v>0</v>
      </c>
      <c r="AC341" s="39">
        <f t="shared" si="124"/>
        <v>0</v>
      </c>
      <c r="AD341" s="40">
        <f t="shared" si="124"/>
        <v>0</v>
      </c>
      <c r="AE341" s="38">
        <f t="shared" si="120"/>
        <v>0</v>
      </c>
      <c r="AF341" s="39">
        <f t="shared" si="120"/>
        <v>0</v>
      </c>
      <c r="AG341" s="40">
        <f t="shared" si="120"/>
        <v>0</v>
      </c>
      <c r="AH341" s="40">
        <f t="shared" si="120"/>
        <v>0</v>
      </c>
      <c r="AI341" s="40">
        <f t="shared" si="121"/>
        <v>0</v>
      </c>
      <c r="AJ341" s="40">
        <f t="shared" si="121"/>
        <v>0</v>
      </c>
      <c r="AK341" s="40">
        <f t="shared" si="121"/>
        <v>0</v>
      </c>
      <c r="AL341" s="40">
        <f t="shared" si="121"/>
        <v>0</v>
      </c>
      <c r="AM341" s="40">
        <f t="shared" si="122"/>
        <v>0</v>
      </c>
      <c r="AN341" s="40">
        <f t="shared" si="122"/>
        <v>0</v>
      </c>
      <c r="AO341" s="40">
        <f t="shared" si="122"/>
        <v>0</v>
      </c>
      <c r="AP341" s="40">
        <f t="shared" si="122"/>
        <v>0</v>
      </c>
      <c r="AQ341" s="40">
        <f t="shared" si="122"/>
        <v>0</v>
      </c>
    </row>
    <row r="342" spans="27:43">
      <c r="AA342" s="41">
        <f t="shared" si="125"/>
        <v>339</v>
      </c>
      <c r="AB342" s="38">
        <f t="shared" si="124"/>
        <v>0</v>
      </c>
      <c r="AC342" s="39">
        <f t="shared" si="124"/>
        <v>0</v>
      </c>
      <c r="AD342" s="40">
        <f t="shared" si="124"/>
        <v>0</v>
      </c>
      <c r="AE342" s="38">
        <f t="shared" si="120"/>
        <v>0</v>
      </c>
      <c r="AF342" s="39">
        <f t="shared" si="120"/>
        <v>0</v>
      </c>
      <c r="AG342" s="40">
        <f t="shared" si="120"/>
        <v>0</v>
      </c>
      <c r="AH342" s="40">
        <f t="shared" si="120"/>
        <v>0</v>
      </c>
      <c r="AI342" s="40">
        <f t="shared" si="121"/>
        <v>0</v>
      </c>
      <c r="AJ342" s="40">
        <f t="shared" si="121"/>
        <v>0</v>
      </c>
      <c r="AK342" s="40">
        <f t="shared" si="121"/>
        <v>0</v>
      </c>
      <c r="AL342" s="40">
        <f t="shared" si="121"/>
        <v>0</v>
      </c>
      <c r="AM342" s="40">
        <f t="shared" si="122"/>
        <v>0</v>
      </c>
      <c r="AN342" s="40">
        <f t="shared" si="122"/>
        <v>0</v>
      </c>
      <c r="AO342" s="40">
        <f t="shared" si="122"/>
        <v>0</v>
      </c>
      <c r="AP342" s="40">
        <f t="shared" si="122"/>
        <v>0</v>
      </c>
      <c r="AQ342" s="40">
        <f t="shared" si="122"/>
        <v>0</v>
      </c>
    </row>
    <row r="343" spans="27:43">
      <c r="AA343" s="41">
        <f t="shared" si="125"/>
        <v>340</v>
      </c>
      <c r="AB343" s="38">
        <f t="shared" si="124"/>
        <v>0</v>
      </c>
      <c r="AC343" s="39">
        <f t="shared" si="124"/>
        <v>0</v>
      </c>
      <c r="AD343" s="40">
        <f t="shared" si="124"/>
        <v>0</v>
      </c>
      <c r="AE343" s="38">
        <f t="shared" si="120"/>
        <v>0</v>
      </c>
      <c r="AF343" s="39">
        <f t="shared" si="120"/>
        <v>0</v>
      </c>
      <c r="AG343" s="40">
        <f t="shared" si="120"/>
        <v>0</v>
      </c>
      <c r="AH343" s="40">
        <f t="shared" si="120"/>
        <v>0</v>
      </c>
      <c r="AI343" s="40">
        <f t="shared" si="121"/>
        <v>0</v>
      </c>
      <c r="AJ343" s="40">
        <f t="shared" si="121"/>
        <v>0</v>
      </c>
      <c r="AK343" s="40">
        <f t="shared" si="121"/>
        <v>0</v>
      </c>
      <c r="AL343" s="40">
        <f t="shared" si="121"/>
        <v>0</v>
      </c>
      <c r="AM343" s="40">
        <f t="shared" si="122"/>
        <v>0</v>
      </c>
      <c r="AN343" s="40">
        <f t="shared" si="122"/>
        <v>0</v>
      </c>
      <c r="AO343" s="40">
        <f t="shared" si="122"/>
        <v>0</v>
      </c>
      <c r="AP343" s="40">
        <f t="shared" si="122"/>
        <v>0</v>
      </c>
      <c r="AQ343" s="40">
        <f t="shared" si="122"/>
        <v>0</v>
      </c>
    </row>
    <row r="344" spans="27:43">
      <c r="AA344" s="41">
        <f t="shared" si="125"/>
        <v>341</v>
      </c>
      <c r="AB344" s="38">
        <f t="shared" si="124"/>
        <v>0</v>
      </c>
      <c r="AC344" s="39">
        <f t="shared" si="124"/>
        <v>0</v>
      </c>
      <c r="AD344" s="40">
        <f t="shared" si="124"/>
        <v>0</v>
      </c>
      <c r="AE344" s="38">
        <f t="shared" si="120"/>
        <v>0</v>
      </c>
      <c r="AF344" s="39">
        <f t="shared" si="120"/>
        <v>0</v>
      </c>
      <c r="AG344" s="40">
        <f t="shared" si="120"/>
        <v>0</v>
      </c>
      <c r="AH344" s="40">
        <f t="shared" si="120"/>
        <v>0</v>
      </c>
      <c r="AI344" s="40">
        <f t="shared" si="121"/>
        <v>0</v>
      </c>
      <c r="AJ344" s="40">
        <f t="shared" si="121"/>
        <v>0</v>
      </c>
      <c r="AK344" s="40">
        <f t="shared" si="121"/>
        <v>0</v>
      </c>
      <c r="AL344" s="40">
        <f t="shared" si="121"/>
        <v>0</v>
      </c>
      <c r="AM344" s="40">
        <f t="shared" si="122"/>
        <v>0</v>
      </c>
      <c r="AN344" s="40">
        <f t="shared" si="122"/>
        <v>0</v>
      </c>
      <c r="AO344" s="40">
        <f t="shared" si="122"/>
        <v>0</v>
      </c>
      <c r="AP344" s="40">
        <f t="shared" si="122"/>
        <v>0</v>
      </c>
      <c r="AQ344" s="40">
        <f t="shared" si="122"/>
        <v>0</v>
      </c>
    </row>
    <row r="345" spans="27:43">
      <c r="AA345" s="41">
        <f t="shared" si="125"/>
        <v>342</v>
      </c>
      <c r="AB345" s="38">
        <f t="shared" si="124"/>
        <v>0</v>
      </c>
      <c r="AC345" s="39">
        <f t="shared" si="124"/>
        <v>0</v>
      </c>
      <c r="AD345" s="40">
        <f t="shared" si="124"/>
        <v>0</v>
      </c>
      <c r="AE345" s="38">
        <f t="shared" si="120"/>
        <v>0</v>
      </c>
      <c r="AF345" s="39">
        <f t="shared" si="120"/>
        <v>0</v>
      </c>
      <c r="AG345" s="40">
        <f t="shared" si="120"/>
        <v>0</v>
      </c>
      <c r="AH345" s="40">
        <f t="shared" si="120"/>
        <v>0</v>
      </c>
      <c r="AI345" s="40">
        <f t="shared" si="121"/>
        <v>0</v>
      </c>
      <c r="AJ345" s="40">
        <f t="shared" si="121"/>
        <v>0</v>
      </c>
      <c r="AK345" s="40">
        <f t="shared" si="121"/>
        <v>0</v>
      </c>
      <c r="AL345" s="40">
        <f t="shared" si="121"/>
        <v>0</v>
      </c>
      <c r="AM345" s="40">
        <f t="shared" si="122"/>
        <v>0</v>
      </c>
      <c r="AN345" s="40">
        <f t="shared" si="122"/>
        <v>0</v>
      </c>
      <c r="AO345" s="40">
        <f t="shared" si="122"/>
        <v>0</v>
      </c>
      <c r="AP345" s="40">
        <f t="shared" si="122"/>
        <v>0</v>
      </c>
      <c r="AQ345" s="40">
        <f t="shared" si="122"/>
        <v>0</v>
      </c>
    </row>
    <row r="346" spans="27:43">
      <c r="AA346" s="41">
        <f t="shared" si="125"/>
        <v>343</v>
      </c>
      <c r="AB346" s="38">
        <f t="shared" si="124"/>
        <v>0</v>
      </c>
      <c r="AC346" s="39">
        <f t="shared" si="124"/>
        <v>0</v>
      </c>
      <c r="AD346" s="40">
        <f t="shared" si="124"/>
        <v>0</v>
      </c>
      <c r="AE346" s="38">
        <f t="shared" si="120"/>
        <v>0</v>
      </c>
      <c r="AF346" s="39">
        <f t="shared" si="120"/>
        <v>0</v>
      </c>
      <c r="AG346" s="40">
        <f t="shared" si="120"/>
        <v>0</v>
      </c>
      <c r="AH346" s="40">
        <f t="shared" si="120"/>
        <v>0</v>
      </c>
      <c r="AI346" s="40">
        <f t="shared" si="121"/>
        <v>0</v>
      </c>
      <c r="AJ346" s="40">
        <f t="shared" si="121"/>
        <v>0</v>
      </c>
      <c r="AK346" s="40">
        <f t="shared" si="121"/>
        <v>0</v>
      </c>
      <c r="AL346" s="40">
        <f t="shared" si="121"/>
        <v>0</v>
      </c>
      <c r="AM346" s="40">
        <f t="shared" si="122"/>
        <v>0</v>
      </c>
      <c r="AN346" s="40">
        <f t="shared" si="122"/>
        <v>0</v>
      </c>
      <c r="AO346" s="40">
        <f t="shared" si="122"/>
        <v>0</v>
      </c>
      <c r="AP346" s="40">
        <f t="shared" si="122"/>
        <v>0</v>
      </c>
      <c r="AQ346" s="40">
        <f t="shared" si="122"/>
        <v>0</v>
      </c>
    </row>
    <row r="347" spans="27:43">
      <c r="AA347" s="41">
        <f t="shared" si="125"/>
        <v>344</v>
      </c>
      <c r="AB347" s="38">
        <f t="shared" si="124"/>
        <v>0</v>
      </c>
      <c r="AC347" s="39">
        <f t="shared" si="124"/>
        <v>0</v>
      </c>
      <c r="AD347" s="40">
        <f t="shared" si="124"/>
        <v>0</v>
      </c>
      <c r="AE347" s="38">
        <f t="shared" si="120"/>
        <v>0</v>
      </c>
      <c r="AF347" s="39">
        <f t="shared" si="120"/>
        <v>0</v>
      </c>
      <c r="AG347" s="40">
        <f t="shared" si="120"/>
        <v>0</v>
      </c>
      <c r="AH347" s="40">
        <f t="shared" si="120"/>
        <v>0</v>
      </c>
      <c r="AI347" s="40">
        <f t="shared" si="121"/>
        <v>0</v>
      </c>
      <c r="AJ347" s="40">
        <f t="shared" si="121"/>
        <v>0</v>
      </c>
      <c r="AK347" s="40">
        <f t="shared" si="121"/>
        <v>0</v>
      </c>
      <c r="AL347" s="40">
        <f t="shared" si="121"/>
        <v>0</v>
      </c>
      <c r="AM347" s="40">
        <f t="shared" si="122"/>
        <v>0</v>
      </c>
      <c r="AN347" s="40">
        <f t="shared" si="122"/>
        <v>0</v>
      </c>
      <c r="AO347" s="40">
        <f t="shared" si="122"/>
        <v>0</v>
      </c>
      <c r="AP347" s="40">
        <f t="shared" si="122"/>
        <v>0</v>
      </c>
      <c r="AQ347" s="40">
        <f t="shared" si="122"/>
        <v>0</v>
      </c>
    </row>
    <row r="348" spans="27:43">
      <c r="AA348" s="41">
        <f t="shared" si="125"/>
        <v>345</v>
      </c>
      <c r="AB348" s="38">
        <f t="shared" si="124"/>
        <v>0</v>
      </c>
      <c r="AC348" s="39">
        <f t="shared" si="124"/>
        <v>0</v>
      </c>
      <c r="AD348" s="40">
        <f t="shared" si="124"/>
        <v>0</v>
      </c>
      <c r="AE348" s="38">
        <f t="shared" si="120"/>
        <v>0</v>
      </c>
      <c r="AF348" s="39">
        <f t="shared" si="120"/>
        <v>0</v>
      </c>
      <c r="AG348" s="40">
        <f t="shared" si="120"/>
        <v>0</v>
      </c>
      <c r="AH348" s="40">
        <f t="shared" si="120"/>
        <v>0</v>
      </c>
      <c r="AI348" s="40">
        <f t="shared" si="121"/>
        <v>0</v>
      </c>
      <c r="AJ348" s="40">
        <f t="shared" si="121"/>
        <v>0</v>
      </c>
      <c r="AK348" s="40">
        <f t="shared" si="121"/>
        <v>0</v>
      </c>
      <c r="AL348" s="40">
        <f t="shared" si="121"/>
        <v>0</v>
      </c>
      <c r="AM348" s="40">
        <f t="shared" si="122"/>
        <v>0</v>
      </c>
      <c r="AN348" s="40">
        <f t="shared" si="122"/>
        <v>0</v>
      </c>
      <c r="AO348" s="40">
        <f t="shared" si="122"/>
        <v>0</v>
      </c>
      <c r="AP348" s="40">
        <f t="shared" si="122"/>
        <v>0</v>
      </c>
      <c r="AQ348" s="40">
        <f t="shared" si="122"/>
        <v>0</v>
      </c>
    </row>
    <row r="349" spans="27:43">
      <c r="AA349" s="41">
        <f t="shared" si="125"/>
        <v>346</v>
      </c>
      <c r="AB349" s="38">
        <f t="shared" si="124"/>
        <v>0</v>
      </c>
      <c r="AC349" s="39">
        <f t="shared" si="124"/>
        <v>0</v>
      </c>
      <c r="AD349" s="40">
        <f t="shared" si="124"/>
        <v>0</v>
      </c>
      <c r="AE349" s="38">
        <f t="shared" si="120"/>
        <v>0</v>
      </c>
      <c r="AF349" s="39">
        <f t="shared" si="120"/>
        <v>0</v>
      </c>
      <c r="AG349" s="40">
        <f t="shared" si="120"/>
        <v>0</v>
      </c>
      <c r="AH349" s="40">
        <f t="shared" si="120"/>
        <v>0</v>
      </c>
      <c r="AI349" s="40">
        <f t="shared" si="121"/>
        <v>0</v>
      </c>
      <c r="AJ349" s="40">
        <f t="shared" si="121"/>
        <v>0</v>
      </c>
      <c r="AK349" s="40">
        <f t="shared" si="121"/>
        <v>0</v>
      </c>
      <c r="AL349" s="40">
        <f t="shared" si="121"/>
        <v>0</v>
      </c>
      <c r="AM349" s="40">
        <f t="shared" si="122"/>
        <v>0</v>
      </c>
      <c r="AN349" s="40">
        <f t="shared" si="122"/>
        <v>0</v>
      </c>
      <c r="AO349" s="40">
        <f t="shared" si="122"/>
        <v>0</v>
      </c>
      <c r="AP349" s="40">
        <f t="shared" si="122"/>
        <v>0</v>
      </c>
      <c r="AQ349" s="40">
        <f t="shared" si="122"/>
        <v>0</v>
      </c>
    </row>
    <row r="350" spans="27:43">
      <c r="AA350" s="41">
        <f t="shared" si="125"/>
        <v>347</v>
      </c>
      <c r="AB350" s="38">
        <f t="shared" si="124"/>
        <v>0</v>
      </c>
      <c r="AC350" s="39">
        <f t="shared" si="124"/>
        <v>0</v>
      </c>
      <c r="AD350" s="40">
        <f t="shared" si="124"/>
        <v>0</v>
      </c>
      <c r="AE350" s="38">
        <f t="shared" si="120"/>
        <v>0</v>
      </c>
      <c r="AF350" s="39">
        <f t="shared" si="120"/>
        <v>0</v>
      </c>
      <c r="AG350" s="40">
        <f t="shared" si="120"/>
        <v>0</v>
      </c>
      <c r="AH350" s="40">
        <f t="shared" si="120"/>
        <v>0</v>
      </c>
      <c r="AI350" s="40">
        <f t="shared" si="121"/>
        <v>0</v>
      </c>
      <c r="AJ350" s="40">
        <f t="shared" si="121"/>
        <v>0</v>
      </c>
      <c r="AK350" s="40">
        <f t="shared" si="121"/>
        <v>0</v>
      </c>
      <c r="AL350" s="40">
        <f t="shared" si="121"/>
        <v>0</v>
      </c>
      <c r="AM350" s="40">
        <f t="shared" si="122"/>
        <v>0</v>
      </c>
      <c r="AN350" s="40">
        <f t="shared" si="122"/>
        <v>0</v>
      </c>
      <c r="AO350" s="40">
        <f t="shared" si="122"/>
        <v>0</v>
      </c>
      <c r="AP350" s="40">
        <f t="shared" si="122"/>
        <v>0</v>
      </c>
      <c r="AQ350" s="40">
        <f t="shared" si="122"/>
        <v>0</v>
      </c>
    </row>
    <row r="351" spans="27:43">
      <c r="AA351" s="41">
        <f t="shared" si="125"/>
        <v>348</v>
      </c>
      <c r="AB351" s="38">
        <f t="shared" si="124"/>
        <v>0</v>
      </c>
      <c r="AC351" s="39">
        <f t="shared" si="124"/>
        <v>0</v>
      </c>
      <c r="AD351" s="40">
        <f t="shared" si="124"/>
        <v>0</v>
      </c>
      <c r="AE351" s="38">
        <f t="shared" si="120"/>
        <v>0</v>
      </c>
      <c r="AF351" s="39">
        <f t="shared" si="120"/>
        <v>0</v>
      </c>
      <c r="AG351" s="40">
        <f t="shared" si="120"/>
        <v>0</v>
      </c>
      <c r="AH351" s="40">
        <f t="shared" si="120"/>
        <v>0</v>
      </c>
      <c r="AI351" s="40">
        <f t="shared" si="121"/>
        <v>0</v>
      </c>
      <c r="AJ351" s="40">
        <f t="shared" si="121"/>
        <v>0</v>
      </c>
      <c r="AK351" s="40">
        <f t="shared" si="121"/>
        <v>0</v>
      </c>
      <c r="AL351" s="40">
        <f t="shared" si="121"/>
        <v>0</v>
      </c>
      <c r="AM351" s="40">
        <f t="shared" si="122"/>
        <v>0</v>
      </c>
      <c r="AN351" s="40">
        <f t="shared" si="122"/>
        <v>0</v>
      </c>
      <c r="AO351" s="40">
        <f t="shared" si="122"/>
        <v>0</v>
      </c>
      <c r="AP351" s="40">
        <f t="shared" si="122"/>
        <v>0</v>
      </c>
      <c r="AQ351" s="40">
        <f t="shared" si="122"/>
        <v>0</v>
      </c>
    </row>
    <row r="352" spans="27:43">
      <c r="AA352" s="41">
        <f t="shared" si="125"/>
        <v>349</v>
      </c>
      <c r="AB352" s="38">
        <f t="shared" si="124"/>
        <v>0</v>
      </c>
      <c r="AC352" s="39">
        <f t="shared" si="124"/>
        <v>0</v>
      </c>
      <c r="AD352" s="40">
        <f t="shared" si="124"/>
        <v>0</v>
      </c>
      <c r="AE352" s="38">
        <f t="shared" si="120"/>
        <v>0</v>
      </c>
      <c r="AF352" s="39">
        <f t="shared" si="120"/>
        <v>0</v>
      </c>
      <c r="AG352" s="40">
        <f t="shared" si="120"/>
        <v>0</v>
      </c>
      <c r="AH352" s="40">
        <f t="shared" si="120"/>
        <v>0</v>
      </c>
      <c r="AI352" s="40">
        <f t="shared" si="121"/>
        <v>0</v>
      </c>
      <c r="AJ352" s="40">
        <f t="shared" si="121"/>
        <v>0</v>
      </c>
      <c r="AK352" s="40">
        <f t="shared" si="121"/>
        <v>0</v>
      </c>
      <c r="AL352" s="40">
        <f t="shared" si="121"/>
        <v>0</v>
      </c>
      <c r="AM352" s="40">
        <f t="shared" si="122"/>
        <v>0</v>
      </c>
      <c r="AN352" s="40">
        <f t="shared" si="122"/>
        <v>0</v>
      </c>
      <c r="AO352" s="40">
        <f t="shared" si="122"/>
        <v>0</v>
      </c>
      <c r="AP352" s="40">
        <f t="shared" si="122"/>
        <v>0</v>
      </c>
      <c r="AQ352" s="40">
        <f t="shared" si="122"/>
        <v>0</v>
      </c>
    </row>
    <row r="353" spans="27:43">
      <c r="AA353" s="41">
        <f t="shared" si="125"/>
        <v>350</v>
      </c>
      <c r="AB353" s="38">
        <f t="shared" si="124"/>
        <v>0</v>
      </c>
      <c r="AC353" s="39">
        <f t="shared" si="124"/>
        <v>0</v>
      </c>
      <c r="AD353" s="40">
        <f t="shared" si="124"/>
        <v>0</v>
      </c>
      <c r="AE353" s="38">
        <f t="shared" si="120"/>
        <v>0</v>
      </c>
      <c r="AF353" s="39">
        <f t="shared" si="120"/>
        <v>0</v>
      </c>
      <c r="AG353" s="40">
        <f t="shared" si="120"/>
        <v>0</v>
      </c>
      <c r="AH353" s="40">
        <f t="shared" si="120"/>
        <v>0</v>
      </c>
      <c r="AI353" s="40">
        <f t="shared" si="121"/>
        <v>0</v>
      </c>
      <c r="AJ353" s="40">
        <f t="shared" si="121"/>
        <v>0</v>
      </c>
      <c r="AK353" s="40">
        <f t="shared" si="121"/>
        <v>0</v>
      </c>
      <c r="AL353" s="40">
        <f t="shared" si="121"/>
        <v>0</v>
      </c>
      <c r="AM353" s="40">
        <f t="shared" si="122"/>
        <v>0</v>
      </c>
      <c r="AN353" s="40">
        <f t="shared" si="122"/>
        <v>0</v>
      </c>
      <c r="AO353" s="40">
        <f t="shared" si="122"/>
        <v>0</v>
      </c>
      <c r="AP353" s="40">
        <f t="shared" si="122"/>
        <v>0</v>
      </c>
      <c r="AQ353" s="40">
        <f t="shared" si="122"/>
        <v>0</v>
      </c>
    </row>
    <row r="354" spans="27:43">
      <c r="AA354" s="41">
        <f t="shared" si="125"/>
        <v>351</v>
      </c>
      <c r="AB354" s="38">
        <f t="shared" si="124"/>
        <v>0</v>
      </c>
      <c r="AC354" s="39">
        <f t="shared" si="124"/>
        <v>0</v>
      </c>
      <c r="AD354" s="40">
        <f t="shared" si="124"/>
        <v>0</v>
      </c>
      <c r="AE354" s="38">
        <f t="shared" si="120"/>
        <v>0</v>
      </c>
      <c r="AF354" s="39">
        <f t="shared" si="120"/>
        <v>0</v>
      </c>
      <c r="AG354" s="40">
        <f t="shared" si="120"/>
        <v>0</v>
      </c>
      <c r="AH354" s="40">
        <f t="shared" si="120"/>
        <v>0</v>
      </c>
      <c r="AI354" s="40">
        <f t="shared" si="121"/>
        <v>0</v>
      </c>
      <c r="AJ354" s="40">
        <f t="shared" si="121"/>
        <v>0</v>
      </c>
      <c r="AK354" s="40">
        <f t="shared" si="121"/>
        <v>0</v>
      </c>
      <c r="AL354" s="40">
        <f t="shared" si="121"/>
        <v>0</v>
      </c>
      <c r="AM354" s="40">
        <f t="shared" si="122"/>
        <v>0</v>
      </c>
      <c r="AN354" s="40">
        <f t="shared" si="122"/>
        <v>0</v>
      </c>
      <c r="AO354" s="40">
        <f t="shared" si="122"/>
        <v>0</v>
      </c>
      <c r="AP354" s="40">
        <f t="shared" si="122"/>
        <v>0</v>
      </c>
      <c r="AQ354" s="40">
        <f t="shared" si="122"/>
        <v>0</v>
      </c>
    </row>
    <row r="355" spans="27:43">
      <c r="AA355" s="41">
        <f t="shared" si="125"/>
        <v>352</v>
      </c>
      <c r="AB355" s="38">
        <f t="shared" si="124"/>
        <v>0</v>
      </c>
      <c r="AC355" s="39">
        <f t="shared" si="124"/>
        <v>0</v>
      </c>
      <c r="AD355" s="40">
        <f t="shared" si="124"/>
        <v>0</v>
      </c>
      <c r="AE355" s="38">
        <f t="shared" si="120"/>
        <v>0</v>
      </c>
      <c r="AF355" s="39">
        <f t="shared" si="120"/>
        <v>0</v>
      </c>
      <c r="AG355" s="40">
        <f t="shared" si="120"/>
        <v>0</v>
      </c>
      <c r="AH355" s="40">
        <f t="shared" si="120"/>
        <v>0</v>
      </c>
      <c r="AI355" s="40">
        <f t="shared" si="121"/>
        <v>0</v>
      </c>
      <c r="AJ355" s="40">
        <f t="shared" si="121"/>
        <v>0</v>
      </c>
      <c r="AK355" s="40">
        <f t="shared" si="121"/>
        <v>0</v>
      </c>
      <c r="AL355" s="40">
        <f t="shared" si="121"/>
        <v>0</v>
      </c>
      <c r="AM355" s="40">
        <f t="shared" si="122"/>
        <v>0</v>
      </c>
      <c r="AN355" s="40">
        <f t="shared" si="122"/>
        <v>0</v>
      </c>
      <c r="AO355" s="40">
        <f t="shared" si="122"/>
        <v>0</v>
      </c>
      <c r="AP355" s="40">
        <f t="shared" si="122"/>
        <v>0</v>
      </c>
      <c r="AQ355" s="40">
        <f t="shared" si="122"/>
        <v>0</v>
      </c>
    </row>
    <row r="356" spans="27:43">
      <c r="AA356" s="41">
        <f t="shared" si="125"/>
        <v>353</v>
      </c>
      <c r="AB356" s="38">
        <f t="shared" si="124"/>
        <v>0</v>
      </c>
      <c r="AC356" s="39">
        <f t="shared" si="124"/>
        <v>0</v>
      </c>
      <c r="AD356" s="40">
        <f t="shared" si="124"/>
        <v>0</v>
      </c>
      <c r="AE356" s="38">
        <f t="shared" si="120"/>
        <v>0</v>
      </c>
      <c r="AF356" s="39">
        <f t="shared" si="120"/>
        <v>0</v>
      </c>
      <c r="AG356" s="40">
        <f t="shared" si="120"/>
        <v>0</v>
      </c>
      <c r="AH356" s="40">
        <f t="shared" si="120"/>
        <v>0</v>
      </c>
      <c r="AI356" s="40">
        <f t="shared" si="121"/>
        <v>0</v>
      </c>
      <c r="AJ356" s="40">
        <f t="shared" si="121"/>
        <v>0</v>
      </c>
      <c r="AK356" s="40">
        <f t="shared" si="121"/>
        <v>0</v>
      </c>
      <c r="AL356" s="40">
        <f t="shared" si="121"/>
        <v>0</v>
      </c>
      <c r="AM356" s="40">
        <f t="shared" si="122"/>
        <v>0</v>
      </c>
      <c r="AN356" s="40">
        <f t="shared" si="122"/>
        <v>0</v>
      </c>
      <c r="AO356" s="40">
        <f t="shared" si="122"/>
        <v>0</v>
      </c>
      <c r="AP356" s="40">
        <f t="shared" si="122"/>
        <v>0</v>
      </c>
      <c r="AQ356" s="40">
        <f t="shared" si="122"/>
        <v>0</v>
      </c>
    </row>
    <row r="357" spans="27:43">
      <c r="AA357" s="41">
        <f t="shared" si="125"/>
        <v>354</v>
      </c>
      <c r="AB357" s="38">
        <f t="shared" si="124"/>
        <v>0</v>
      </c>
      <c r="AC357" s="39">
        <f t="shared" si="124"/>
        <v>0</v>
      </c>
      <c r="AD357" s="40">
        <f t="shared" si="124"/>
        <v>0</v>
      </c>
      <c r="AE357" s="38">
        <f t="shared" si="120"/>
        <v>0</v>
      </c>
      <c r="AF357" s="39">
        <f t="shared" si="120"/>
        <v>0</v>
      </c>
      <c r="AG357" s="40">
        <f t="shared" si="120"/>
        <v>0</v>
      </c>
      <c r="AH357" s="40">
        <f t="shared" si="120"/>
        <v>0</v>
      </c>
      <c r="AI357" s="40">
        <f t="shared" si="121"/>
        <v>0</v>
      </c>
      <c r="AJ357" s="40">
        <f t="shared" si="121"/>
        <v>0</v>
      </c>
      <c r="AK357" s="40">
        <f t="shared" si="121"/>
        <v>0</v>
      </c>
      <c r="AL357" s="40">
        <f t="shared" si="121"/>
        <v>0</v>
      </c>
      <c r="AM357" s="40">
        <f t="shared" si="122"/>
        <v>0</v>
      </c>
      <c r="AN357" s="40">
        <f t="shared" si="122"/>
        <v>0</v>
      </c>
      <c r="AO357" s="40">
        <f t="shared" si="122"/>
        <v>0</v>
      </c>
      <c r="AP357" s="40">
        <f t="shared" si="122"/>
        <v>0</v>
      </c>
      <c r="AQ357" s="40">
        <f t="shared" si="122"/>
        <v>0</v>
      </c>
    </row>
    <row r="358" spans="27:43">
      <c r="AA358" s="41">
        <f t="shared" si="125"/>
        <v>355</v>
      </c>
      <c r="AB358" s="38">
        <f t="shared" si="124"/>
        <v>0</v>
      </c>
      <c r="AC358" s="39">
        <f t="shared" si="124"/>
        <v>0</v>
      </c>
      <c r="AD358" s="40">
        <f t="shared" si="124"/>
        <v>0</v>
      </c>
      <c r="AE358" s="38">
        <f t="shared" si="120"/>
        <v>0</v>
      </c>
      <c r="AF358" s="39">
        <f t="shared" si="120"/>
        <v>0</v>
      </c>
      <c r="AG358" s="40">
        <f t="shared" si="120"/>
        <v>0</v>
      </c>
      <c r="AH358" s="40">
        <f t="shared" si="120"/>
        <v>0</v>
      </c>
      <c r="AI358" s="40">
        <f t="shared" si="121"/>
        <v>0</v>
      </c>
      <c r="AJ358" s="40">
        <f t="shared" si="121"/>
        <v>0</v>
      </c>
      <c r="AK358" s="40">
        <f t="shared" si="121"/>
        <v>0</v>
      </c>
      <c r="AL358" s="40">
        <f t="shared" si="121"/>
        <v>0</v>
      </c>
      <c r="AM358" s="40">
        <f t="shared" si="122"/>
        <v>0</v>
      </c>
      <c r="AN358" s="40">
        <f t="shared" si="122"/>
        <v>0</v>
      </c>
      <c r="AO358" s="40">
        <f t="shared" si="122"/>
        <v>0</v>
      </c>
      <c r="AP358" s="40">
        <f t="shared" si="122"/>
        <v>0</v>
      </c>
      <c r="AQ358" s="40">
        <f t="shared" si="122"/>
        <v>0</v>
      </c>
    </row>
    <row r="359" spans="27:43">
      <c r="AA359" s="41">
        <f t="shared" si="125"/>
        <v>356</v>
      </c>
      <c r="AB359" s="38">
        <f t="shared" si="124"/>
        <v>0</v>
      </c>
      <c r="AC359" s="39">
        <f t="shared" si="124"/>
        <v>0</v>
      </c>
      <c r="AD359" s="40">
        <f t="shared" si="124"/>
        <v>0</v>
      </c>
      <c r="AE359" s="38">
        <f t="shared" si="120"/>
        <v>0</v>
      </c>
      <c r="AF359" s="39">
        <f t="shared" si="120"/>
        <v>0</v>
      </c>
      <c r="AG359" s="40">
        <f t="shared" si="120"/>
        <v>0</v>
      </c>
      <c r="AH359" s="40">
        <f t="shared" si="120"/>
        <v>0</v>
      </c>
      <c r="AI359" s="40">
        <f t="shared" si="121"/>
        <v>0</v>
      </c>
      <c r="AJ359" s="40">
        <f t="shared" si="121"/>
        <v>0</v>
      </c>
      <c r="AK359" s="40">
        <f t="shared" si="121"/>
        <v>0</v>
      </c>
      <c r="AL359" s="40">
        <f t="shared" si="121"/>
        <v>0</v>
      </c>
      <c r="AM359" s="40">
        <f t="shared" si="122"/>
        <v>0</v>
      </c>
      <c r="AN359" s="40">
        <f t="shared" si="122"/>
        <v>0</v>
      </c>
      <c r="AO359" s="40">
        <f t="shared" si="122"/>
        <v>0</v>
      </c>
      <c r="AP359" s="40">
        <f t="shared" si="122"/>
        <v>0</v>
      </c>
      <c r="AQ359" s="40">
        <f t="shared" si="122"/>
        <v>0</v>
      </c>
    </row>
    <row r="360" spans="27:43">
      <c r="AA360" s="41">
        <f t="shared" si="125"/>
        <v>357</v>
      </c>
      <c r="AB360" s="38">
        <f t="shared" si="124"/>
        <v>0</v>
      </c>
      <c r="AC360" s="39">
        <f t="shared" si="124"/>
        <v>0</v>
      </c>
      <c r="AD360" s="40">
        <f t="shared" si="124"/>
        <v>0</v>
      </c>
      <c r="AE360" s="38">
        <f t="shared" si="120"/>
        <v>0</v>
      </c>
      <c r="AF360" s="39">
        <f t="shared" si="120"/>
        <v>0</v>
      </c>
      <c r="AG360" s="40">
        <f t="shared" si="120"/>
        <v>0</v>
      </c>
      <c r="AH360" s="40">
        <f t="shared" si="120"/>
        <v>0</v>
      </c>
      <c r="AI360" s="40">
        <f t="shared" si="121"/>
        <v>0</v>
      </c>
      <c r="AJ360" s="40">
        <f t="shared" si="121"/>
        <v>0</v>
      </c>
      <c r="AK360" s="40">
        <f t="shared" si="121"/>
        <v>0</v>
      </c>
      <c r="AL360" s="40">
        <f t="shared" si="121"/>
        <v>0</v>
      </c>
      <c r="AM360" s="40">
        <f t="shared" si="122"/>
        <v>0</v>
      </c>
      <c r="AN360" s="40">
        <f t="shared" si="122"/>
        <v>0</v>
      </c>
      <c r="AO360" s="40">
        <f t="shared" si="122"/>
        <v>0</v>
      </c>
      <c r="AP360" s="40">
        <f t="shared" si="122"/>
        <v>0</v>
      </c>
      <c r="AQ360" s="40">
        <f t="shared" si="122"/>
        <v>0</v>
      </c>
    </row>
    <row r="361" spans="27:43">
      <c r="AA361" s="41">
        <f t="shared" si="125"/>
        <v>358</v>
      </c>
      <c r="AB361" s="38">
        <f t="shared" si="124"/>
        <v>0</v>
      </c>
      <c r="AC361" s="39">
        <f t="shared" si="124"/>
        <v>0</v>
      </c>
      <c r="AD361" s="40">
        <f t="shared" si="124"/>
        <v>0</v>
      </c>
      <c r="AE361" s="38">
        <f t="shared" si="120"/>
        <v>0</v>
      </c>
      <c r="AF361" s="39">
        <f t="shared" si="120"/>
        <v>0</v>
      </c>
      <c r="AG361" s="40">
        <f t="shared" si="120"/>
        <v>0</v>
      </c>
      <c r="AH361" s="40">
        <f t="shared" si="120"/>
        <v>0</v>
      </c>
      <c r="AI361" s="40">
        <f t="shared" si="121"/>
        <v>0</v>
      </c>
      <c r="AJ361" s="40">
        <f t="shared" si="121"/>
        <v>0</v>
      </c>
      <c r="AK361" s="40">
        <f t="shared" si="121"/>
        <v>0</v>
      </c>
      <c r="AL361" s="40">
        <f t="shared" si="121"/>
        <v>0</v>
      </c>
      <c r="AM361" s="40">
        <f t="shared" si="122"/>
        <v>0</v>
      </c>
      <c r="AN361" s="40">
        <f t="shared" si="122"/>
        <v>0</v>
      </c>
      <c r="AO361" s="40">
        <f t="shared" si="122"/>
        <v>0</v>
      </c>
      <c r="AP361" s="40">
        <f t="shared" si="122"/>
        <v>0</v>
      </c>
      <c r="AQ361" s="40">
        <f t="shared" si="122"/>
        <v>0</v>
      </c>
    </row>
    <row r="362" spans="27:43">
      <c r="AA362" s="41">
        <f t="shared" si="125"/>
        <v>359</v>
      </c>
      <c r="AB362" s="38">
        <f t="shared" si="124"/>
        <v>0</v>
      </c>
      <c r="AC362" s="39">
        <f t="shared" si="124"/>
        <v>0</v>
      </c>
      <c r="AD362" s="40">
        <f t="shared" si="124"/>
        <v>0</v>
      </c>
      <c r="AE362" s="38">
        <f t="shared" si="120"/>
        <v>0</v>
      </c>
      <c r="AF362" s="39">
        <f t="shared" si="120"/>
        <v>0</v>
      </c>
      <c r="AG362" s="40">
        <f t="shared" si="120"/>
        <v>0</v>
      </c>
      <c r="AH362" s="40">
        <f t="shared" si="120"/>
        <v>0</v>
      </c>
      <c r="AI362" s="40">
        <f t="shared" si="121"/>
        <v>0</v>
      </c>
      <c r="AJ362" s="40">
        <f t="shared" si="121"/>
        <v>0</v>
      </c>
      <c r="AK362" s="40">
        <f t="shared" si="121"/>
        <v>0</v>
      </c>
      <c r="AL362" s="40">
        <f t="shared" si="121"/>
        <v>0</v>
      </c>
      <c r="AM362" s="40">
        <f t="shared" si="122"/>
        <v>0</v>
      </c>
      <c r="AN362" s="40">
        <f t="shared" si="122"/>
        <v>0</v>
      </c>
      <c r="AO362" s="40">
        <f t="shared" si="122"/>
        <v>0</v>
      </c>
      <c r="AP362" s="40">
        <f t="shared" si="122"/>
        <v>0</v>
      </c>
      <c r="AQ362" s="40">
        <f t="shared" si="122"/>
        <v>0</v>
      </c>
    </row>
    <row r="363" spans="27:43">
      <c r="AA363" s="41">
        <f t="shared" si="125"/>
        <v>360</v>
      </c>
      <c r="AB363" s="38">
        <f t="shared" si="124"/>
        <v>0</v>
      </c>
      <c r="AC363" s="39">
        <f t="shared" si="124"/>
        <v>0</v>
      </c>
      <c r="AD363" s="40">
        <f t="shared" si="124"/>
        <v>0</v>
      </c>
      <c r="AE363" s="38">
        <f t="shared" si="120"/>
        <v>0</v>
      </c>
      <c r="AF363" s="39">
        <f t="shared" si="120"/>
        <v>0</v>
      </c>
      <c r="AG363" s="40">
        <f t="shared" si="120"/>
        <v>0</v>
      </c>
      <c r="AH363" s="40">
        <f t="shared" si="120"/>
        <v>0</v>
      </c>
      <c r="AI363" s="40">
        <f t="shared" si="121"/>
        <v>0</v>
      </c>
      <c r="AJ363" s="40">
        <f t="shared" si="121"/>
        <v>0</v>
      </c>
      <c r="AK363" s="40">
        <f t="shared" si="121"/>
        <v>0</v>
      </c>
      <c r="AL363" s="40">
        <f t="shared" si="121"/>
        <v>0</v>
      </c>
      <c r="AM363" s="40">
        <f t="shared" si="122"/>
        <v>0</v>
      </c>
      <c r="AN363" s="40">
        <f t="shared" si="122"/>
        <v>0</v>
      </c>
      <c r="AO363" s="40">
        <f t="shared" si="122"/>
        <v>0</v>
      </c>
      <c r="AP363" s="40">
        <f t="shared" si="122"/>
        <v>0</v>
      </c>
      <c r="AQ363" s="40">
        <f t="shared" si="122"/>
        <v>0</v>
      </c>
    </row>
    <row r="364" spans="27:43">
      <c r="AA364" s="41">
        <f t="shared" si="125"/>
        <v>361</v>
      </c>
      <c r="AB364" s="38">
        <f t="shared" si="124"/>
        <v>0</v>
      </c>
      <c r="AC364" s="39">
        <f t="shared" si="124"/>
        <v>0</v>
      </c>
      <c r="AD364" s="40">
        <f t="shared" si="124"/>
        <v>0</v>
      </c>
      <c r="AE364" s="38">
        <f t="shared" si="120"/>
        <v>0</v>
      </c>
      <c r="AF364" s="39">
        <f t="shared" si="120"/>
        <v>0</v>
      </c>
      <c r="AG364" s="40">
        <f t="shared" si="120"/>
        <v>0</v>
      </c>
      <c r="AH364" s="40">
        <f t="shared" si="120"/>
        <v>0</v>
      </c>
      <c r="AI364" s="40">
        <f t="shared" si="121"/>
        <v>0</v>
      </c>
      <c r="AJ364" s="40">
        <f t="shared" si="121"/>
        <v>0</v>
      </c>
      <c r="AK364" s="40">
        <f t="shared" si="121"/>
        <v>0</v>
      </c>
      <c r="AL364" s="40">
        <f t="shared" si="121"/>
        <v>0</v>
      </c>
      <c r="AM364" s="40">
        <f t="shared" si="122"/>
        <v>0</v>
      </c>
      <c r="AN364" s="40">
        <f t="shared" si="122"/>
        <v>0</v>
      </c>
      <c r="AO364" s="40">
        <f t="shared" si="122"/>
        <v>0</v>
      </c>
      <c r="AP364" s="40">
        <f t="shared" si="122"/>
        <v>0</v>
      </c>
      <c r="AQ364" s="40">
        <f t="shared" si="122"/>
        <v>0</v>
      </c>
    </row>
    <row r="365" spans="27:43">
      <c r="AA365" s="41">
        <f t="shared" si="125"/>
        <v>362</v>
      </c>
      <c r="AB365" s="38">
        <f t="shared" si="124"/>
        <v>0</v>
      </c>
      <c r="AC365" s="39">
        <f t="shared" si="124"/>
        <v>0</v>
      </c>
      <c r="AD365" s="40">
        <f t="shared" si="124"/>
        <v>0</v>
      </c>
      <c r="AE365" s="38">
        <f t="shared" si="120"/>
        <v>0</v>
      </c>
      <c r="AF365" s="39">
        <f t="shared" si="120"/>
        <v>0</v>
      </c>
      <c r="AG365" s="40">
        <f t="shared" si="120"/>
        <v>0</v>
      </c>
      <c r="AH365" s="40">
        <f t="shared" si="120"/>
        <v>0</v>
      </c>
      <c r="AI365" s="40">
        <f t="shared" si="121"/>
        <v>0</v>
      </c>
      <c r="AJ365" s="40">
        <f t="shared" si="121"/>
        <v>0</v>
      </c>
      <c r="AK365" s="40">
        <f t="shared" si="121"/>
        <v>0</v>
      </c>
      <c r="AL365" s="40">
        <f t="shared" si="121"/>
        <v>0</v>
      </c>
      <c r="AM365" s="40">
        <f t="shared" si="122"/>
        <v>0</v>
      </c>
      <c r="AN365" s="40">
        <f t="shared" si="122"/>
        <v>0</v>
      </c>
      <c r="AO365" s="40">
        <f t="shared" si="122"/>
        <v>0</v>
      </c>
      <c r="AP365" s="40">
        <f t="shared" si="122"/>
        <v>0</v>
      </c>
      <c r="AQ365" s="40">
        <f t="shared" si="122"/>
        <v>0</v>
      </c>
    </row>
    <row r="366" spans="27:43">
      <c r="AA366" s="41">
        <f t="shared" si="125"/>
        <v>363</v>
      </c>
      <c r="AB366" s="38">
        <f t="shared" si="124"/>
        <v>0</v>
      </c>
      <c r="AC366" s="39">
        <f t="shared" si="124"/>
        <v>0</v>
      </c>
      <c r="AD366" s="40">
        <f t="shared" si="124"/>
        <v>0</v>
      </c>
      <c r="AE366" s="38">
        <f t="shared" si="120"/>
        <v>0</v>
      </c>
      <c r="AF366" s="39">
        <f t="shared" si="120"/>
        <v>0</v>
      </c>
      <c r="AG366" s="40">
        <f t="shared" si="120"/>
        <v>0</v>
      </c>
      <c r="AH366" s="40">
        <f t="shared" si="120"/>
        <v>0</v>
      </c>
      <c r="AI366" s="40">
        <f t="shared" si="121"/>
        <v>0</v>
      </c>
      <c r="AJ366" s="40">
        <f t="shared" si="121"/>
        <v>0</v>
      </c>
      <c r="AK366" s="40">
        <f t="shared" si="121"/>
        <v>0</v>
      </c>
      <c r="AL366" s="40">
        <f t="shared" si="121"/>
        <v>0</v>
      </c>
      <c r="AM366" s="40">
        <f t="shared" si="122"/>
        <v>0</v>
      </c>
      <c r="AN366" s="40">
        <f t="shared" si="122"/>
        <v>0</v>
      </c>
      <c r="AO366" s="40">
        <f t="shared" si="122"/>
        <v>0</v>
      </c>
      <c r="AP366" s="40">
        <f t="shared" si="122"/>
        <v>0</v>
      </c>
      <c r="AQ366" s="40">
        <f t="shared" si="122"/>
        <v>0</v>
      </c>
    </row>
    <row r="367" spans="27:43">
      <c r="AA367" s="41">
        <f t="shared" si="125"/>
        <v>364</v>
      </c>
      <c r="AB367" s="38">
        <f t="shared" si="124"/>
        <v>0</v>
      </c>
      <c r="AC367" s="39">
        <f t="shared" si="124"/>
        <v>0</v>
      </c>
      <c r="AD367" s="40">
        <f t="shared" si="124"/>
        <v>0</v>
      </c>
      <c r="AE367" s="38">
        <f t="shared" si="120"/>
        <v>0</v>
      </c>
      <c r="AF367" s="39">
        <f t="shared" si="120"/>
        <v>0</v>
      </c>
      <c r="AG367" s="40">
        <f t="shared" si="120"/>
        <v>0</v>
      </c>
      <c r="AH367" s="40">
        <f t="shared" si="120"/>
        <v>0</v>
      </c>
      <c r="AI367" s="40">
        <f t="shared" si="121"/>
        <v>0</v>
      </c>
      <c r="AJ367" s="40">
        <f t="shared" si="121"/>
        <v>0</v>
      </c>
      <c r="AK367" s="40">
        <f t="shared" si="121"/>
        <v>0</v>
      </c>
      <c r="AL367" s="40">
        <f t="shared" si="121"/>
        <v>0</v>
      </c>
      <c r="AM367" s="40">
        <f t="shared" si="122"/>
        <v>0</v>
      </c>
      <c r="AN367" s="40">
        <f t="shared" si="122"/>
        <v>0</v>
      </c>
      <c r="AO367" s="40">
        <f t="shared" si="122"/>
        <v>0</v>
      </c>
      <c r="AP367" s="40">
        <f t="shared" si="122"/>
        <v>0</v>
      </c>
      <c r="AQ367" s="40">
        <f t="shared" si="122"/>
        <v>0</v>
      </c>
    </row>
    <row r="368" spans="27:43">
      <c r="AA368" s="41">
        <f t="shared" si="125"/>
        <v>365</v>
      </c>
      <c r="AB368" s="38">
        <f t="shared" si="124"/>
        <v>0</v>
      </c>
      <c r="AC368" s="39">
        <f t="shared" si="124"/>
        <v>0</v>
      </c>
      <c r="AD368" s="40">
        <f t="shared" si="124"/>
        <v>0</v>
      </c>
      <c r="AE368" s="38">
        <f t="shared" si="120"/>
        <v>0</v>
      </c>
      <c r="AF368" s="39">
        <f t="shared" si="120"/>
        <v>0</v>
      </c>
      <c r="AG368" s="40">
        <f t="shared" si="120"/>
        <v>0</v>
      </c>
      <c r="AH368" s="40">
        <f t="shared" si="120"/>
        <v>0</v>
      </c>
      <c r="AI368" s="40">
        <f t="shared" si="121"/>
        <v>0</v>
      </c>
      <c r="AJ368" s="40">
        <f t="shared" si="121"/>
        <v>0</v>
      </c>
      <c r="AK368" s="40">
        <f t="shared" si="121"/>
        <v>0</v>
      </c>
      <c r="AL368" s="40">
        <f t="shared" si="121"/>
        <v>0</v>
      </c>
      <c r="AM368" s="40">
        <f t="shared" si="122"/>
        <v>0</v>
      </c>
      <c r="AN368" s="40">
        <f t="shared" si="122"/>
        <v>0</v>
      </c>
      <c r="AO368" s="40">
        <f t="shared" si="122"/>
        <v>0</v>
      </c>
      <c r="AP368" s="40">
        <f t="shared" si="122"/>
        <v>0</v>
      </c>
      <c r="AQ368" s="40">
        <f t="shared" si="122"/>
        <v>0</v>
      </c>
    </row>
    <row r="369" spans="27:43">
      <c r="AA369" s="41">
        <f t="shared" si="125"/>
        <v>366</v>
      </c>
      <c r="AB369" s="38">
        <f t="shared" si="124"/>
        <v>0</v>
      </c>
      <c r="AC369" s="39">
        <f t="shared" si="124"/>
        <v>0</v>
      </c>
      <c r="AD369" s="40">
        <f t="shared" si="124"/>
        <v>0</v>
      </c>
      <c r="AE369" s="38">
        <f t="shared" si="120"/>
        <v>0</v>
      </c>
      <c r="AF369" s="39">
        <f t="shared" si="120"/>
        <v>0</v>
      </c>
      <c r="AG369" s="40">
        <f t="shared" si="120"/>
        <v>0</v>
      </c>
      <c r="AH369" s="40">
        <f t="shared" si="120"/>
        <v>0</v>
      </c>
      <c r="AI369" s="40">
        <f t="shared" si="121"/>
        <v>0</v>
      </c>
      <c r="AJ369" s="40">
        <f t="shared" si="121"/>
        <v>0</v>
      </c>
      <c r="AK369" s="40">
        <f t="shared" si="121"/>
        <v>0</v>
      </c>
      <c r="AL369" s="40">
        <f t="shared" si="121"/>
        <v>0</v>
      </c>
      <c r="AM369" s="40">
        <f t="shared" si="122"/>
        <v>0</v>
      </c>
      <c r="AN369" s="40">
        <f t="shared" si="122"/>
        <v>0</v>
      </c>
      <c r="AO369" s="40">
        <f t="shared" si="122"/>
        <v>0</v>
      </c>
      <c r="AP369" s="40">
        <f t="shared" si="122"/>
        <v>0</v>
      </c>
      <c r="AQ369" s="40">
        <f t="shared" si="122"/>
        <v>0</v>
      </c>
    </row>
    <row r="370" spans="27:43">
      <c r="AA370" s="41">
        <f t="shared" si="125"/>
        <v>367</v>
      </c>
      <c r="AB370" s="38">
        <f t="shared" si="124"/>
        <v>0</v>
      </c>
      <c r="AC370" s="39">
        <f t="shared" si="124"/>
        <v>0</v>
      </c>
      <c r="AD370" s="40">
        <f t="shared" si="124"/>
        <v>0</v>
      </c>
      <c r="AE370" s="38">
        <f t="shared" si="120"/>
        <v>0</v>
      </c>
      <c r="AF370" s="39">
        <f t="shared" si="120"/>
        <v>0</v>
      </c>
      <c r="AG370" s="40">
        <f t="shared" si="120"/>
        <v>0</v>
      </c>
      <c r="AH370" s="40">
        <f t="shared" si="120"/>
        <v>0</v>
      </c>
      <c r="AI370" s="40">
        <f t="shared" si="121"/>
        <v>0</v>
      </c>
      <c r="AJ370" s="40">
        <f t="shared" si="121"/>
        <v>0</v>
      </c>
      <c r="AK370" s="40">
        <f t="shared" si="121"/>
        <v>0</v>
      </c>
      <c r="AL370" s="40">
        <f t="shared" si="121"/>
        <v>0</v>
      </c>
      <c r="AM370" s="40">
        <f t="shared" si="122"/>
        <v>0</v>
      </c>
      <c r="AN370" s="40">
        <f t="shared" si="122"/>
        <v>0</v>
      </c>
      <c r="AO370" s="40">
        <f t="shared" si="122"/>
        <v>0</v>
      </c>
      <c r="AP370" s="40">
        <f t="shared" si="122"/>
        <v>0</v>
      </c>
      <c r="AQ370" s="40">
        <f t="shared" si="122"/>
        <v>0</v>
      </c>
    </row>
    <row r="371" spans="27:43">
      <c r="AA371" s="41">
        <f t="shared" si="125"/>
        <v>368</v>
      </c>
      <c r="AB371" s="38">
        <f t="shared" si="124"/>
        <v>0</v>
      </c>
      <c r="AC371" s="39">
        <f t="shared" si="124"/>
        <v>0</v>
      </c>
      <c r="AD371" s="40">
        <f t="shared" si="124"/>
        <v>0</v>
      </c>
      <c r="AE371" s="38">
        <f t="shared" si="120"/>
        <v>0</v>
      </c>
      <c r="AF371" s="39">
        <f t="shared" si="120"/>
        <v>0</v>
      </c>
      <c r="AG371" s="40">
        <f t="shared" si="120"/>
        <v>0</v>
      </c>
      <c r="AH371" s="40">
        <f t="shared" si="120"/>
        <v>0</v>
      </c>
      <c r="AI371" s="40">
        <f t="shared" si="121"/>
        <v>0</v>
      </c>
      <c r="AJ371" s="40">
        <f t="shared" si="121"/>
        <v>0</v>
      </c>
      <c r="AK371" s="40">
        <f t="shared" si="121"/>
        <v>0</v>
      </c>
      <c r="AL371" s="40">
        <f t="shared" si="121"/>
        <v>0</v>
      </c>
      <c r="AM371" s="40">
        <f t="shared" si="122"/>
        <v>0</v>
      </c>
      <c r="AN371" s="40">
        <f t="shared" si="122"/>
        <v>0</v>
      </c>
      <c r="AO371" s="40">
        <f t="shared" si="122"/>
        <v>0</v>
      </c>
      <c r="AP371" s="40">
        <f t="shared" si="122"/>
        <v>0</v>
      </c>
      <c r="AQ371" s="40">
        <f t="shared" si="122"/>
        <v>0</v>
      </c>
    </row>
    <row r="372" spans="27:43">
      <c r="AA372" s="41">
        <f t="shared" si="125"/>
        <v>369</v>
      </c>
      <c r="AB372" s="38">
        <f t="shared" si="124"/>
        <v>0</v>
      </c>
      <c r="AC372" s="39">
        <f t="shared" si="124"/>
        <v>0</v>
      </c>
      <c r="AD372" s="40">
        <f t="shared" si="124"/>
        <v>0</v>
      </c>
      <c r="AE372" s="38">
        <f t="shared" si="120"/>
        <v>0</v>
      </c>
      <c r="AF372" s="39">
        <f t="shared" si="120"/>
        <v>0</v>
      </c>
      <c r="AG372" s="40">
        <f t="shared" si="120"/>
        <v>0</v>
      </c>
      <c r="AH372" s="40">
        <f t="shared" si="120"/>
        <v>0</v>
      </c>
      <c r="AI372" s="40">
        <f t="shared" si="121"/>
        <v>0</v>
      </c>
      <c r="AJ372" s="40">
        <f t="shared" si="121"/>
        <v>0</v>
      </c>
      <c r="AK372" s="40">
        <f t="shared" si="121"/>
        <v>0</v>
      </c>
      <c r="AL372" s="40">
        <f t="shared" si="121"/>
        <v>0</v>
      </c>
      <c r="AM372" s="40">
        <f t="shared" si="122"/>
        <v>0</v>
      </c>
      <c r="AN372" s="40">
        <f t="shared" si="122"/>
        <v>0</v>
      </c>
      <c r="AO372" s="40">
        <f t="shared" si="122"/>
        <v>0</v>
      </c>
      <c r="AP372" s="40">
        <f t="shared" si="122"/>
        <v>0</v>
      </c>
      <c r="AQ372" s="40">
        <f t="shared" si="122"/>
        <v>0</v>
      </c>
    </row>
    <row r="373" spans="27:43">
      <c r="AA373" s="41">
        <f t="shared" si="125"/>
        <v>370</v>
      </c>
      <c r="AB373" s="38">
        <f t="shared" si="124"/>
        <v>0</v>
      </c>
      <c r="AC373" s="39">
        <f t="shared" si="124"/>
        <v>0</v>
      </c>
      <c r="AD373" s="40">
        <f t="shared" si="124"/>
        <v>0</v>
      </c>
      <c r="AE373" s="38">
        <f t="shared" si="120"/>
        <v>0</v>
      </c>
      <c r="AF373" s="39">
        <f t="shared" si="120"/>
        <v>0</v>
      </c>
      <c r="AG373" s="40">
        <f t="shared" si="120"/>
        <v>0</v>
      </c>
      <c r="AH373" s="40">
        <f t="shared" si="120"/>
        <v>0</v>
      </c>
      <c r="AI373" s="40">
        <f t="shared" si="121"/>
        <v>0</v>
      </c>
      <c r="AJ373" s="40">
        <f t="shared" si="121"/>
        <v>0</v>
      </c>
      <c r="AK373" s="40">
        <f t="shared" si="121"/>
        <v>0</v>
      </c>
      <c r="AL373" s="40">
        <f t="shared" si="121"/>
        <v>0</v>
      </c>
      <c r="AM373" s="40">
        <f t="shared" si="122"/>
        <v>0</v>
      </c>
      <c r="AN373" s="40">
        <f t="shared" si="122"/>
        <v>0</v>
      </c>
      <c r="AO373" s="40">
        <f t="shared" si="122"/>
        <v>0</v>
      </c>
      <c r="AP373" s="40">
        <f t="shared" si="122"/>
        <v>0</v>
      </c>
      <c r="AQ373" s="40">
        <f t="shared" si="122"/>
        <v>0</v>
      </c>
    </row>
    <row r="374" spans="27:43">
      <c r="AA374" s="41"/>
    </row>
    <row r="375" spans="27:43">
      <c r="AA375" s="41"/>
    </row>
    <row r="376" spans="27:43">
      <c r="AA376" s="41"/>
    </row>
    <row r="377" spans="27:43">
      <c r="AA377" s="41"/>
    </row>
    <row r="378" spans="27:43">
      <c r="AA378" s="41"/>
    </row>
    <row r="379" spans="27:43">
      <c r="AA379" s="41"/>
    </row>
    <row r="380" spans="27:43">
      <c r="AA380" s="41"/>
    </row>
    <row r="381" spans="27:43">
      <c r="AA381" s="41"/>
    </row>
    <row r="382" spans="27:43">
      <c r="AA382" s="41"/>
    </row>
    <row r="383" spans="27:43">
      <c r="AA383" s="41"/>
    </row>
    <row r="384" spans="27:43">
      <c r="AA384" s="41"/>
    </row>
    <row r="385" spans="27:27">
      <c r="AA385" s="41"/>
    </row>
    <row r="386" spans="27:27">
      <c r="AA386" s="41"/>
    </row>
    <row r="387" spans="27:27">
      <c r="AA387" s="41"/>
    </row>
    <row r="388" spans="27:27">
      <c r="AA388" s="41"/>
    </row>
    <row r="389" spans="27:27">
      <c r="AA389" s="41"/>
    </row>
    <row r="390" spans="27:27">
      <c r="AA390" s="41"/>
    </row>
    <row r="391" spans="27:27">
      <c r="AA391" s="41"/>
    </row>
    <row r="392" spans="27:27">
      <c r="AA392" s="41"/>
    </row>
    <row r="393" spans="27:27">
      <c r="AA393" s="41"/>
    </row>
    <row r="394" spans="27:27">
      <c r="AA394" s="41"/>
    </row>
    <row r="395" spans="27:27">
      <c r="AA395" s="41"/>
    </row>
    <row r="396" spans="27:27">
      <c r="AA396" s="41"/>
    </row>
    <row r="397" spans="27:27">
      <c r="AA397" s="41"/>
    </row>
    <row r="398" spans="27:27">
      <c r="AA398" s="41"/>
    </row>
    <row r="399" spans="27:27">
      <c r="AA399" s="41"/>
    </row>
    <row r="400" spans="27:27">
      <c r="AA400" s="41"/>
    </row>
    <row r="401" spans="27:27">
      <c r="AA401" s="41"/>
    </row>
    <row r="402" spans="27:27">
      <c r="AA402" s="41"/>
    </row>
    <row r="403" spans="27:27">
      <c r="AA403" s="41"/>
    </row>
    <row r="404" spans="27:27">
      <c r="AA404" s="41"/>
    </row>
    <row r="405" spans="27:27">
      <c r="AA405" s="41"/>
    </row>
  </sheetData>
  <sheetProtection password="85F4" sheet="1" objects="1" scenarios="1"/>
  <mergeCells count="8">
    <mergeCell ref="AN2:AP2"/>
    <mergeCell ref="V3:X3"/>
    <mergeCell ref="V4:V6"/>
    <mergeCell ref="V7:V9"/>
    <mergeCell ref="AE2:AG2"/>
    <mergeCell ref="AB2:AD2"/>
    <mergeCell ref="AK2:AM2"/>
    <mergeCell ref="AH2:AJ2"/>
  </mergeCells>
  <phoneticPr fontId="25"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READ ME</vt:lpstr>
      <vt:lpstr>Points to Consider</vt:lpstr>
      <vt:lpstr>INPUTS</vt:lpstr>
      <vt:lpstr>upper bound Kenaga</vt:lpstr>
      <vt:lpstr>Mean Kenaga</vt:lpstr>
      <vt:lpstr>LD50 ft-2</vt:lpstr>
      <vt:lpstr>Granular Characterization Calcs</vt:lpstr>
      <vt:lpstr>Seed Treatments</vt:lpstr>
      <vt:lpstr>Graphs</vt:lpstr>
      <vt:lpstr>Print Results</vt:lpstr>
      <vt:lpstr>_1App_Freq</vt:lpstr>
      <vt:lpstr>_2App_Rate</vt:lpstr>
      <vt:lpstr>_3Broadleaf_Initial</vt:lpstr>
      <vt:lpstr>_4Max___Apps</vt:lpstr>
      <vt:lpstr>_5Rate_Constant</vt:lpstr>
      <vt:lpstr>_6Short_Grass_Initial</vt:lpstr>
      <vt:lpstr>_7T1_2</vt:lpstr>
      <vt:lpstr>_8Tall_Grass_Initial</vt:lpstr>
      <vt:lpstr>Length</vt:lpstr>
      <vt:lpstr>'READ ME'!OLE_LINK4</vt:lpstr>
      <vt:lpstr>'Granular Characterization Calcs'!Print_Area</vt:lpstr>
      <vt:lpstr>INPUTS!Print_Area</vt:lpstr>
      <vt:lpstr>'LD50 ft-2'!Print_Area</vt:lpstr>
      <vt:lpstr>'Mean Kenaga'!Print_Area</vt:lpstr>
      <vt:lpstr>'Points to Consider'!Print_Area</vt:lpstr>
      <vt:lpstr>'Print Results'!Print_Area</vt:lpstr>
      <vt:lpstr>'READ ME'!Print_Area</vt:lpstr>
      <vt:lpstr>'Seed Treatments'!Print_Area</vt:lpstr>
      <vt:lpstr>'upper bound Kenaga'!Print_Area</vt:lpstr>
      <vt:lpstr>Seeds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TeriJustin</dc:creator>
  <cp:lastModifiedBy>Egelmann</cp:lastModifiedBy>
  <cp:lastPrinted>2011-12-14T20:49:25Z</cp:lastPrinted>
  <dcterms:created xsi:type="dcterms:W3CDTF">2001-06-19T21:30:58Z</dcterms:created>
  <dcterms:modified xsi:type="dcterms:W3CDTF">2013-06-06T17:28:27Z</dcterms:modified>
</cp:coreProperties>
</file>