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a.ad.epa.gov\ord\RTP\Users\A-D\bwrigh02\Net MyDocuments\EPA Protocol Gases\2016 Protocol\"/>
    </mc:Choice>
  </mc:AlternateContent>
  <bookViews>
    <workbookView xWindow="120" yWindow="120" windowWidth="9720" windowHeight="7005"/>
  </bookViews>
  <sheets>
    <sheet name="Assay Comparison" sheetId="1" r:id="rId1"/>
    <sheet name="CAL 1A" sheetId="2" r:id="rId2"/>
    <sheet name="CAL 1B" sheetId="3" r:id="rId3"/>
    <sheet name="CAL 2A" sheetId="4" r:id="rId4"/>
  </sheets>
  <definedNames>
    <definedName name="Case">'Assay Comparison'!$G$69</definedName>
    <definedName name="Matches">'Assay Comparison'!$N$68</definedName>
    <definedName name="N">'Assay Comparison'!$C$34</definedName>
  </definedNames>
  <calcPr calcId="152511" calcOnSave="0"/>
</workbook>
</file>

<file path=xl/calcChain.xml><?xml version="1.0" encoding="utf-8"?>
<calcChain xmlns="http://schemas.openxmlformats.org/spreadsheetml/2006/main">
  <c r="L20" i="1" l="1"/>
  <c r="N20" i="1"/>
  <c r="O20" i="1"/>
  <c r="L22" i="1"/>
  <c r="L28" i="1"/>
  <c r="N28" i="1"/>
  <c r="O28" i="1"/>
  <c r="S28" i="1"/>
  <c r="Q28" i="1" s="1"/>
  <c r="T28" i="1"/>
  <c r="L30" i="1"/>
  <c r="Q30" i="1"/>
  <c r="C34" i="1"/>
  <c r="A79" i="1" s="1"/>
  <c r="G45" i="1"/>
  <c r="H45" i="1"/>
  <c r="I45" i="1"/>
  <c r="A46" i="1"/>
  <c r="B46" i="1" s="1"/>
  <c r="G46" i="1"/>
  <c r="H46" i="1"/>
  <c r="I46" i="1"/>
  <c r="G54" i="1"/>
  <c r="H54" i="1"/>
  <c r="I54" i="1"/>
  <c r="A64" i="1"/>
  <c r="G64" i="1"/>
  <c r="H64" i="1" s="1"/>
  <c r="A78" i="1"/>
  <c r="A104" i="1"/>
  <c r="A7" i="2"/>
  <c r="B10" i="2"/>
  <c r="B11" i="2"/>
  <c r="B10" i="3"/>
  <c r="B11" i="3"/>
  <c r="I64" i="1" l="1"/>
  <c r="B10" i="4"/>
  <c r="C79" i="1"/>
  <c r="B79" i="1"/>
  <c r="A65" i="1"/>
  <c r="D46" i="1"/>
  <c r="F46" i="1" s="1"/>
  <c r="N46" i="1" s="1"/>
  <c r="G69" i="1"/>
  <c r="C46" i="1"/>
  <c r="E46" i="1" s="1"/>
  <c r="A55" i="1"/>
  <c r="A3" i="4" l="1"/>
  <c r="C77" i="1"/>
  <c r="B77" i="1"/>
  <c r="A3" i="2"/>
  <c r="A3" i="3"/>
  <c r="C65" i="1"/>
  <c r="G65" i="1"/>
  <c r="A7" i="4" s="1"/>
  <c r="D65" i="1"/>
  <c r="H65" i="1"/>
  <c r="B11" i="4" s="1"/>
  <c r="B65" i="1"/>
  <c r="E65" i="1"/>
  <c r="I65" i="1"/>
  <c r="B78" i="1"/>
  <c r="C78" i="1"/>
  <c r="B55" i="1"/>
  <c r="F55" i="1"/>
  <c r="D55" i="1"/>
  <c r="C55" i="1"/>
  <c r="E55" i="1" s="1"/>
  <c r="N55" i="1" s="1"/>
  <c r="G55" i="1"/>
  <c r="A7" i="3" s="1"/>
  <c r="N65" i="1" l="1"/>
  <c r="N68" i="1" s="1"/>
  <c r="H55" i="1"/>
  <c r="F65" i="1"/>
  <c r="E11" i="3" l="1"/>
  <c r="E10" i="2"/>
  <c r="E11" i="2"/>
  <c r="E10" i="3"/>
  <c r="E12" i="3"/>
  <c r="E10" i="4"/>
  <c r="F10" i="4" s="1"/>
  <c r="E11" i="4"/>
  <c r="E78" i="1"/>
  <c r="E79" i="1"/>
  <c r="E77" i="1"/>
  <c r="F77" i="1" s="1"/>
  <c r="B12" i="3"/>
  <c r="I55" i="1"/>
  <c r="F11" i="4" l="1"/>
  <c r="H10" i="4"/>
  <c r="F79" i="1"/>
  <c r="F10" i="2"/>
  <c r="H77" i="1"/>
  <c r="G77" i="1"/>
  <c r="F78" i="1"/>
  <c r="F11" i="3"/>
  <c r="H11" i="3" s="1"/>
  <c r="F10" i="3"/>
  <c r="H10" i="3" l="1"/>
  <c r="F12" i="3"/>
  <c r="H11" i="4"/>
  <c r="A15" i="4" s="1"/>
  <c r="B12" i="4"/>
  <c r="A18" i="4" s="1"/>
  <c r="F11" i="2"/>
  <c r="H10" i="2"/>
  <c r="H79" i="1"/>
  <c r="A82" i="1" s="1"/>
  <c r="G79" i="1"/>
  <c r="A81" i="1" s="1"/>
  <c r="H78" i="1"/>
  <c r="G78" i="1"/>
  <c r="A83" i="1" l="1"/>
  <c r="A110" i="1" s="1"/>
  <c r="B12" i="2"/>
  <c r="H11" i="2"/>
  <c r="A15" i="2" s="1"/>
  <c r="H12" i="3"/>
  <c r="A16" i="3" s="1"/>
  <c r="B13" i="3"/>
  <c r="A19" i="3" s="1"/>
  <c r="A18" i="2" l="1"/>
</calcChain>
</file>

<file path=xl/comments1.xml><?xml version="1.0" encoding="utf-8"?>
<comments xmlns="http://schemas.openxmlformats.org/spreadsheetml/2006/main">
  <authors>
    <author/>
  </authors>
  <commentList>
    <comment ref="N68" authorId="0" shapeId="0">
      <text>
        <r>
          <rPr>
            <sz val="9"/>
            <color indexed="81"/>
            <rFont val="Tahoma"/>
            <charset val="1"/>
          </rPr>
          <t xml:space="preserve">The number of Total Matches can only take on 8 values;
0 - There are no matches
1 - Assay 1 &amp; Assay 2 Match
2 - Assay 1 &amp; Assay 3 Match
3 - Assay 1 &amp; Assay 2 Match, and Assay 1 &amp; Assay 3 Match*
4 - Assay 2 &amp; Assay 3 Match
5 - Assay 1 &amp; Assay 2 Match, and Assay 2 &amp; Assay 3 Match*
6 - Assay 1 &amp; Assay 3 Match, and Assay 2 &amp; Assay 3 Match*
7 - Assay 1 &amp; Assay 2 Match, and Assay 1 &amp; Assay 3 Match, and Assay 2 &amp; Assay 3 Match
* In the case of 3, 5 or 6, they will be treated as 7
</t>
        </r>
      </text>
    </comment>
    <comment ref="G69" authorId="0" shapeId="0">
      <text>
        <r>
          <rPr>
            <sz val="9"/>
            <color indexed="81"/>
            <rFont val="Tahoma"/>
            <charset val="1"/>
          </rPr>
          <t xml:space="preserve">Case  --&gt; [cal no, cal no, cal no]
1    --&gt; [1,-,-]
4   --&gt; [1,1,-]
6   --&gt; [1,2,-]
9   --&gt; [1,1,1]
12 --&gt; [1,1,2]
15 --&gt; [1,2,2]
18 --&gt; [1,2,3]
4 and 6 are cases where there is no 3rd Assay.  In case 4, the two assays share a common calibration.  In case 6, the two assays have different calibrations.
</t>
        </r>
      </text>
    </comment>
  </commentList>
</comments>
</file>

<file path=xl/sharedStrings.xml><?xml version="1.0" encoding="utf-8"?>
<sst xmlns="http://schemas.openxmlformats.org/spreadsheetml/2006/main" count="190" uniqueCount="108">
  <si>
    <t>ASSAY RESULTS</t>
  </si>
  <si>
    <t>In this sheet the results of two or three Assays are entered.  Calibration dates are entered</t>
  </si>
  <si>
    <t>so Assays having the same calibration uncertainty may treated correctly.  (Assays having</t>
  </si>
  <si>
    <t>a common calibration share the same calibration uncertainty.)</t>
  </si>
  <si>
    <t>Enter the results for up to three separate assays in chronological order below.</t>
  </si>
  <si>
    <t>Do Not Touch Variables in Green Area</t>
  </si>
  <si>
    <t>ASSAY 1</t>
  </si>
  <si>
    <t>Tolerance Factor for Shuirmann's</t>
  </si>
  <si>
    <t>= estimated concentration</t>
  </si>
  <si>
    <t>Two One-sided test</t>
  </si>
  <si>
    <t>= Expanded uncertainty (expressed as percentage of estimated concentration)</t>
  </si>
  <si>
    <r>
      <t>= portion of expanded uncertainty</t>
    </r>
    <r>
      <rPr>
        <vertAlign val="superscript"/>
        <sz val="12"/>
        <rFont val="Arial"/>
        <family val="2"/>
      </rPr>
      <t>2</t>
    </r>
    <r>
      <rPr>
        <sz val="12"/>
        <rFont val="Arial"/>
      </rPr>
      <t xml:space="preserve"> due to calibration</t>
    </r>
  </si>
  <si>
    <t>= number of measurements</t>
  </si>
  <si>
    <t xml:space="preserve">= date of prior calibration </t>
  </si>
  <si>
    <t>ASSAY 2</t>
  </si>
  <si>
    <t>Pooled Variance (1 vs. 2)</t>
  </si>
  <si>
    <t>Uncertainty 1</t>
  </si>
  <si>
    <t>Uncertainty 2</t>
  </si>
  <si>
    <t>T-statistic</t>
  </si>
  <si>
    <t>ASSAY 3 (if applicable)</t>
  </si>
  <si>
    <t>Pooled Variance (1 vs. 3)</t>
  </si>
  <si>
    <t>Uncertainty 3</t>
  </si>
  <si>
    <t>Pooled Variance (2 vs. 3)</t>
  </si>
  <si>
    <t>Number of different calibrations represented by the above data:</t>
  </si>
  <si>
    <t>N =</t>
  </si>
  <si>
    <t>(If this value seems to be incorrect, check the dates</t>
  </si>
  <si>
    <t>entered for the three assays.  The earliest data should</t>
  </si>
  <si>
    <t>be for Assay 1.  Trailing spaces may cause N's formula</t>
  </si>
  <si>
    <t>to interpret identical dates as different.)</t>
  </si>
  <si>
    <t>COMPARISONS</t>
  </si>
  <si>
    <t>Assay 1 vs Assay 2</t>
  </si>
  <si>
    <t>Two One-Sided Equivalence</t>
  </si>
  <si>
    <t>with Assay 1</t>
  </si>
  <si>
    <t xml:space="preserve">   Variance Components</t>
  </si>
  <si>
    <t>Lower</t>
  </si>
  <si>
    <t>Upper</t>
  </si>
  <si>
    <t>Lower Test</t>
  </si>
  <si>
    <t>Upper Test</t>
  </si>
  <si>
    <t>Calibration</t>
  </si>
  <si>
    <t>Imprecision</t>
  </si>
  <si>
    <t>Assay</t>
  </si>
  <si>
    <t>Confidence</t>
  </si>
  <si>
    <t>Signficance</t>
  </si>
  <si>
    <t>Total</t>
  </si>
  <si>
    <t>-</t>
  </si>
  <si>
    <t>1 vs. 2 Match Tally</t>
  </si>
  <si>
    <r>
      <t>"</t>
    </r>
    <r>
      <rPr>
        <sz val="12"/>
        <color indexed="10"/>
        <rFont val="Arial"/>
        <family val="2"/>
      </rPr>
      <t>FALSE</t>
    </r>
    <r>
      <rPr>
        <sz val="12"/>
        <rFont val="Arial"/>
      </rPr>
      <t>" indicates an inconsistency where the observed confidence interval of the difference is beyond the tolerance level.</t>
    </r>
  </si>
  <si>
    <t>Assay 1 vs Assay 3</t>
  </si>
  <si>
    <t>1 vs. 3 Match Tally</t>
  </si>
  <si>
    <t>Nothing will appear here if no data have been entered for Assay 3.</t>
  </si>
  <si>
    <t>Assay 2 vs Assay 3</t>
  </si>
  <si>
    <t>2 vs. 3 Match Tally</t>
  </si>
  <si>
    <t>Total Matches</t>
  </si>
  <si>
    <t>(right click to see comment)</t>
  </si>
  <si>
    <t>OVERALL ESTIMATE</t>
  </si>
  <si>
    <t>Case =</t>
  </si>
  <si>
    <t>The standard error of the estimate produced in an assay is equal to approximately 1/2 of</t>
  </si>
  <si>
    <t>the "95% uncertainty."  The inverse of the square of the standard error is the (raw)</t>
  </si>
  <si>
    <t>weighting factor used in producing an overall estimate of the concentration.  The raw</t>
  </si>
  <si>
    <t>weights are adjusted (Adj. Wt.) so their sum is 1.00.</t>
  </si>
  <si>
    <t>Variance</t>
  </si>
  <si>
    <t>Estimate</t>
  </si>
  <si>
    <t>Exp Uncert.</t>
  </si>
  <si>
    <t>Raw Wt.</t>
  </si>
  <si>
    <t>Adj. Wt.</t>
  </si>
  <si>
    <t>Wt.*Conc.</t>
  </si>
  <si>
    <t>of Wt.*Est.</t>
  </si>
  <si>
    <t>= overall estimate of the candidate standard's concentration</t>
  </si>
  <si>
    <t>= Expanded uncertainty (concentration units)</t>
  </si>
  <si>
    <t>= Expanded relative uncertainty</t>
  </si>
  <si>
    <t>The standard error and expanded uncertainty displayed above do not account for uncertainty</t>
  </si>
  <si>
    <t>in the reference standards used to calibrate the analytical instrument, or for the uncertainty</t>
  </si>
  <si>
    <t>due to the dilution flow rate.  In the first space below, enter the expanded uncertainty (typically 2</t>
  </si>
  <si>
    <t>times the standard error) of the reference standards. If different calibration standards had</t>
  </si>
  <si>
    <t>different uncertainties, enter the largest.</t>
  </si>
  <si>
    <t xml:space="preserve">Example: If NIST SRMs were used in the calibration and their certified concentrations </t>
  </si>
  <si>
    <t>were 100 +/- 1 ppm, 200 +/- 1 ppm, 300 +/- 2 ppm, 400 +/- 3 ppm and 500 +/- 4 ppm,</t>
  </si>
  <si>
    <t xml:space="preserve">then the largest 95% uncertainty is for the 100 ppm standard: 1/100 = 0.01 or 1%. </t>
  </si>
  <si>
    <t>(SRM uncertainties are expressed as two-sigma limits which are 95% confidence</t>
  </si>
  <si>
    <t>intervals.)</t>
  </si>
  <si>
    <t>In the second space below, enter the expanded uncertainty due to the dilution flow rate.</t>
  </si>
  <si>
    <t>Note that flow rates should have a relative uncertainty of 1% or less.</t>
  </si>
  <si>
    <t>Enter 0 if protocol G1 (no dilution) is used.</t>
  </si>
  <si>
    <t>The third space below is for the expanded uncertainty when measuring multiple gases simultaneously.</t>
  </si>
  <si>
    <t>This must be measured by a statistician, if however, this does not apply in your case put 0.</t>
  </si>
  <si>
    <t>= Expanded uncertainty (the two-sigma uncertainty) of the reference standard</t>
  </si>
  <si>
    <t>= Expanded uncertainty (the two-sigma uncertainty) of the dilution system flow rate (This only applies when the gas settings changed between the assy of the reference standard and the assay of the candidate standard are changed, otherwise it should be 0).</t>
  </si>
  <si>
    <t>= Expanded uncertainty (the two-sigma uncertainty) for interference corrections when measuring multiple gases simultaneously.  This must be provided by a Statistician.</t>
  </si>
  <si>
    <t xml:space="preserve"> =Expanded uncertainty of the candidate standard (including the contribution of the</t>
  </si>
  <si>
    <t>reference standard)</t>
  </si>
  <si>
    <t>This worksheet computes the overall mean and uncertainty for the first two Assays.</t>
  </si>
  <si>
    <t>This worksheet is applied if the first two Assays are from the same calibration.</t>
  </si>
  <si>
    <t>This sheet requires that Assays 1 and 2 (but not 3) have the same calibration.</t>
  </si>
  <si>
    <r>
      <t>Uncertainty</t>
    </r>
    <r>
      <rPr>
        <vertAlign val="superscript"/>
        <sz val="12"/>
        <rFont val="Arial"/>
        <family val="2"/>
      </rPr>
      <t>2</t>
    </r>
    <r>
      <rPr>
        <sz val="12"/>
        <rFont val="Arial"/>
      </rPr>
      <t xml:space="preserve"> due to calibration (squared measurement units).</t>
    </r>
  </si>
  <si>
    <r>
      <t>Uncertainty</t>
    </r>
    <r>
      <rPr>
        <vertAlign val="superscript"/>
        <sz val="12"/>
        <rFont val="Arial"/>
        <family val="2"/>
      </rPr>
      <t>2</t>
    </r>
    <r>
      <rPr>
        <sz val="12"/>
        <rFont val="Arial"/>
      </rPr>
      <t xml:space="preserve"> due to imprecision</t>
    </r>
  </si>
  <si>
    <t>Adjusted Wt.</t>
  </si>
  <si>
    <t>Assay 1</t>
  </si>
  <si>
    <t>Assay 2</t>
  </si>
  <si>
    <t>Combined</t>
  </si>
  <si>
    <t>Overall estimate of the concentration</t>
  </si>
  <si>
    <t>95% Uncertainty of the estimate</t>
  </si>
  <si>
    <t>This worksheet computes the overall mean and uncertainty for the three Assays.</t>
  </si>
  <si>
    <t>This worksheet is applied only if all three Assays are from the same calibration.</t>
  </si>
  <si>
    <t>This sheet requires that there are three Assays, all having the same calibration.</t>
  </si>
  <si>
    <t>Assay 3</t>
  </si>
  <si>
    <t>This worksheet computes the overall mean and uncertainty for the last two Assays.</t>
  </si>
  <si>
    <t>This worksheet is applied if the last two Assays are from the same calibration.</t>
  </si>
  <si>
    <t>This sheet requires that Assays 2 and 3 (but not 1) have the same calibration.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</si>
</sst>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00%"/>
    <numFmt numFmtId="166" formatCode="0.00000"/>
    <numFmt numFmtId="167" formatCode="_(* #,##0.000_);_(* \(#,##0.000\);_(* &quot;-&quot;??_);_(@_)"/>
    <numFmt numFmtId="168" formatCode="0.000"/>
  </numFmts>
  <fonts count="35" x14ac:knownFonts="1">
    <font>
      <sz val="12"/>
      <name val="Arial"/>
    </font>
    <font>
      <i/>
      <sz val="12"/>
      <name val="Arial"/>
    </font>
    <font>
      <sz val="12"/>
      <name val="Arial"/>
    </font>
    <font>
      <b/>
      <sz val="12"/>
      <color indexed="12"/>
      <name val="Arial"/>
      <family val="2"/>
    </font>
    <font>
      <b/>
      <sz val="12"/>
      <color indexed="17"/>
      <name val="Arial"/>
      <family val="2"/>
    </font>
    <font>
      <b/>
      <u/>
      <sz val="12"/>
      <color indexed="16"/>
      <name val="Arial"/>
      <family val="2"/>
    </font>
    <font>
      <sz val="12"/>
      <color indexed="10"/>
      <name val="Arial"/>
      <family val="2"/>
    </font>
    <font>
      <u/>
      <sz val="12"/>
      <name val="Arial"/>
      <family val="2"/>
    </font>
    <font>
      <vertAlign val="superscript"/>
      <sz val="12"/>
      <name val="Arial"/>
      <family val="2"/>
    </font>
    <font>
      <b/>
      <sz val="12"/>
      <color indexed="10"/>
      <name val="Arial"/>
    </font>
    <font>
      <b/>
      <sz val="12"/>
      <color indexed="12"/>
      <name val="Arial"/>
      <family val="2"/>
    </font>
    <font>
      <sz val="12"/>
      <color indexed="8"/>
      <name val="Arial"/>
    </font>
    <font>
      <sz val="10"/>
      <name val="Arial"/>
      <family val="2"/>
    </font>
    <font>
      <u/>
      <sz val="10"/>
      <name val="Arial"/>
      <family val="2"/>
    </font>
    <font>
      <sz val="12"/>
      <color indexed="10"/>
      <name val="Arial"/>
      <family val="2"/>
    </font>
    <font>
      <b/>
      <sz val="12"/>
      <name val="Arial"/>
    </font>
    <font>
      <sz val="12"/>
      <name val="Arial"/>
    </font>
    <font>
      <sz val="12"/>
      <color indexed="10"/>
      <name val="Calibri"/>
      <family val="2"/>
    </font>
    <font>
      <sz val="12"/>
      <color indexed="8"/>
      <name val="Calibri"/>
      <family val="2"/>
    </font>
    <font>
      <sz val="12"/>
      <color indexed="9"/>
      <name val="Calibri"/>
      <family val="2"/>
    </font>
    <font>
      <sz val="12"/>
      <color indexed="20"/>
      <name val="Calibri"/>
      <family val="2"/>
    </font>
    <font>
      <b/>
      <sz val="12"/>
      <color indexed="10"/>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9"/>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9"/>
      <color indexed="81"/>
      <name val="Tahoma"/>
      <charset val="1"/>
    </font>
  </fonts>
  <fills count="21">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22"/>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26"/>
        <bgColor indexed="64"/>
      </patternFill>
    </fill>
    <fill>
      <patternFill patternType="solid">
        <fgColor indexed="22"/>
        <bgColor indexed="64"/>
      </patternFill>
    </fill>
    <fill>
      <patternFill patternType="solid">
        <fgColor indexed="42"/>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ck">
        <color indexed="10"/>
      </left>
      <right style="thick">
        <color indexed="10"/>
      </right>
      <top style="thick">
        <color indexed="10"/>
      </top>
      <bottom style="thick">
        <color indexed="10"/>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10"/>
      </left>
      <right style="thin">
        <color indexed="10"/>
      </right>
      <top style="thin">
        <color indexed="10"/>
      </top>
      <bottom style="thin">
        <color indexed="10"/>
      </bottom>
      <diagonal/>
    </border>
    <border>
      <left style="thin">
        <color indexed="64"/>
      </left>
      <right style="thin">
        <color indexed="64"/>
      </right>
      <top/>
      <bottom style="thin">
        <color indexed="64"/>
      </bottom>
      <diagonal/>
    </border>
    <border>
      <left style="thick">
        <color indexed="12"/>
      </left>
      <right style="thick">
        <color indexed="12"/>
      </right>
      <top style="thick">
        <color indexed="12"/>
      </top>
      <bottom style="thick">
        <color indexed="1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hair">
        <color indexed="10"/>
      </left>
      <right/>
      <top style="hair">
        <color indexed="10"/>
      </top>
      <bottom style="hair">
        <color indexed="10"/>
      </bottom>
      <diagonal/>
    </border>
    <border>
      <left/>
      <right style="hair">
        <color indexed="10"/>
      </right>
      <top style="hair">
        <color indexed="10"/>
      </top>
      <bottom style="hair">
        <color indexed="10"/>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s>
  <cellStyleXfs count="44">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11"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0" fillId="15" borderId="0" applyNumberFormat="0" applyBorder="0" applyAlignment="0" applyProtection="0"/>
    <xf numFmtId="0" fontId="21" fillId="16" borderId="1" applyNumberFormat="0" applyAlignment="0" applyProtection="0"/>
    <xf numFmtId="0" fontId="22" fillId="17" borderId="2" applyNumberFormat="0" applyAlignment="0" applyProtection="0"/>
    <xf numFmtId="43" fontId="2" fillId="0" borderId="0" applyFont="0" applyFill="0" applyBorder="0" applyAlignment="0" applyProtection="0"/>
    <xf numFmtId="0" fontId="23" fillId="0" borderId="0" applyNumberFormat="0" applyFill="0" applyBorder="0" applyAlignment="0" applyProtection="0"/>
    <xf numFmtId="0" fontId="24" fillId="6"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7" borderId="1" applyNumberFormat="0" applyAlignment="0" applyProtection="0"/>
    <xf numFmtId="0" fontId="17" fillId="0" borderId="6" applyNumberFormat="0" applyFill="0" applyAlignment="0" applyProtection="0"/>
    <xf numFmtId="0" fontId="29" fillId="7" borderId="0" applyNumberFormat="0" applyBorder="0" applyAlignment="0" applyProtection="0"/>
    <xf numFmtId="0" fontId="2" fillId="4" borderId="7" applyNumberFormat="0" applyFont="0" applyAlignment="0" applyProtection="0"/>
    <xf numFmtId="0" fontId="30" fillId="16" borderId="8" applyNumberFormat="0" applyAlignment="0" applyProtection="0"/>
    <xf numFmtId="9" fontId="2"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04">
    <xf numFmtId="0" fontId="0" fillId="0" borderId="0" xfId="0"/>
    <xf numFmtId="0" fontId="0" fillId="0" borderId="0" xfId="0" quotePrefix="1" applyAlignment="1">
      <alignment horizontal="left"/>
    </xf>
    <xf numFmtId="0" fontId="0" fillId="0" borderId="10" xfId="0" applyBorder="1" applyAlignment="1">
      <alignment horizontal="center"/>
    </xf>
    <xf numFmtId="0" fontId="0" fillId="0" borderId="11" xfId="0" quotePrefix="1" applyBorder="1" applyAlignment="1">
      <alignment horizontal="fill"/>
    </xf>
    <xf numFmtId="0" fontId="0" fillId="0" borderId="12" xfId="0" applyBorder="1"/>
    <xf numFmtId="0" fontId="4" fillId="0" borderId="0" xfId="0" applyFont="1" applyAlignment="1">
      <alignment horizontal="center"/>
    </xf>
    <xf numFmtId="0" fontId="4" fillId="0" borderId="0" xfId="0" applyFont="1" applyAlignment="1">
      <alignment horizontal="left"/>
    </xf>
    <xf numFmtId="0" fontId="5" fillId="0" borderId="0" xfId="0" applyFont="1" applyAlignment="1">
      <alignment horizontal="left"/>
    </xf>
    <xf numFmtId="0" fontId="5" fillId="0" borderId="0" xfId="0" quotePrefix="1" applyFont="1" applyAlignment="1">
      <alignment horizontal="left"/>
    </xf>
    <xf numFmtId="0" fontId="6" fillId="0" borderId="13" xfId="0" applyFont="1" applyBorder="1"/>
    <xf numFmtId="0" fontId="6" fillId="0" borderId="10" xfId="0" applyFont="1" applyBorder="1" applyAlignment="1">
      <alignment horizontal="center"/>
    </xf>
    <xf numFmtId="0" fontId="6" fillId="0" borderId="0" xfId="0" applyFont="1" applyBorder="1"/>
    <xf numFmtId="0" fontId="6" fillId="0" borderId="14" xfId="0" applyFont="1" applyBorder="1"/>
    <xf numFmtId="0" fontId="0" fillId="0" borderId="0" xfId="0" applyAlignment="1">
      <alignment horizontal="right"/>
    </xf>
    <xf numFmtId="0" fontId="9" fillId="18" borderId="15" xfId="0" applyFont="1" applyFill="1" applyBorder="1" applyAlignment="1">
      <alignment horizontal="center"/>
    </xf>
    <xf numFmtId="0" fontId="11" fillId="0" borderId="0" xfId="0" quotePrefix="1" applyFont="1" applyAlignment="1">
      <alignment horizontal="left"/>
    </xf>
    <xf numFmtId="0" fontId="0" fillId="0" borderId="0" xfId="0" applyAlignment="1">
      <alignment horizontal="center"/>
    </xf>
    <xf numFmtId="0" fontId="0" fillId="0" borderId="12" xfId="0" quotePrefix="1" applyBorder="1" applyAlignment="1">
      <alignment horizontal="left"/>
    </xf>
    <xf numFmtId="0" fontId="0" fillId="0" borderId="16" xfId="0" applyBorder="1"/>
    <xf numFmtId="0" fontId="0" fillId="0" borderId="17" xfId="0" applyBorder="1"/>
    <xf numFmtId="0" fontId="0" fillId="0" borderId="10" xfId="0" applyBorder="1"/>
    <xf numFmtId="0" fontId="0" fillId="0" borderId="0" xfId="0" applyBorder="1"/>
    <xf numFmtId="0" fontId="0" fillId="0" borderId="18" xfId="0" applyBorder="1"/>
    <xf numFmtId="0" fontId="0" fillId="0" borderId="13" xfId="0" applyBorder="1"/>
    <xf numFmtId="0" fontId="0" fillId="0" borderId="14" xfId="0" applyBorder="1"/>
    <xf numFmtId="0" fontId="0" fillId="0" borderId="19" xfId="0" applyBorder="1"/>
    <xf numFmtId="0" fontId="0" fillId="0" borderId="11" xfId="0" applyBorder="1"/>
    <xf numFmtId="0" fontId="0" fillId="0" borderId="20" xfId="0" applyBorder="1"/>
    <xf numFmtId="165" fontId="9" fillId="18" borderId="21" xfId="40" applyNumberFormat="1" applyFont="1" applyFill="1" applyBorder="1"/>
    <xf numFmtId="0" fontId="9" fillId="18" borderId="21" xfId="0" applyFont="1" applyFill="1" applyBorder="1"/>
    <xf numFmtId="0" fontId="9" fillId="0" borderId="0" xfId="0" quotePrefix="1" applyFont="1" applyAlignment="1">
      <alignment horizontal="left"/>
    </xf>
    <xf numFmtId="0" fontId="0" fillId="0" borderId="13" xfId="0" quotePrefix="1" applyBorder="1" applyAlignment="1">
      <alignment horizontal="left"/>
    </xf>
    <xf numFmtId="0" fontId="0" fillId="0" borderId="10" xfId="0" quotePrefix="1" applyBorder="1" applyAlignment="1">
      <alignment horizontal="left"/>
    </xf>
    <xf numFmtId="0" fontId="7" fillId="0" borderId="12" xfId="0" applyFont="1" applyBorder="1" applyAlignment="1">
      <alignment horizontal="center"/>
    </xf>
    <xf numFmtId="0" fontId="7" fillId="0" borderId="16" xfId="0" applyFont="1" applyBorder="1" applyAlignment="1">
      <alignment horizontal="center"/>
    </xf>
    <xf numFmtId="0" fontId="6" fillId="0" borderId="10" xfId="0" applyFont="1" applyBorder="1"/>
    <xf numFmtId="165" fontId="6" fillId="0" borderId="18" xfId="40" applyNumberFormat="1" applyFont="1" applyBorder="1"/>
    <xf numFmtId="0" fontId="1" fillId="0" borderId="0" xfId="0" applyFont="1"/>
    <xf numFmtId="0" fontId="0" fillId="0" borderId="22" xfId="0" applyBorder="1"/>
    <xf numFmtId="0" fontId="12" fillId="0" borderId="12" xfId="0" quotePrefix="1" applyFont="1" applyBorder="1" applyAlignment="1">
      <alignment horizontal="left"/>
    </xf>
    <xf numFmtId="0" fontId="7" fillId="0" borderId="17" xfId="0" quotePrefix="1" applyFont="1" applyBorder="1" applyAlignment="1">
      <alignment horizontal="center"/>
    </xf>
    <xf numFmtId="165" fontId="14" fillId="18" borderId="15" xfId="40" applyNumberFormat="1" applyFont="1" applyFill="1" applyBorder="1"/>
    <xf numFmtId="0" fontId="1" fillId="0" borderId="0" xfId="0" quotePrefix="1" applyFont="1" applyAlignment="1">
      <alignment horizontal="left"/>
    </xf>
    <xf numFmtId="10" fontId="10" fillId="19" borderId="23" xfId="40" applyNumberFormat="1" applyFont="1" applyFill="1" applyBorder="1" applyProtection="1">
      <protection locked="0"/>
    </xf>
    <xf numFmtId="0" fontId="11" fillId="0" borderId="0" xfId="0" applyFont="1" applyAlignment="1">
      <alignment horizontal="left"/>
    </xf>
    <xf numFmtId="0" fontId="12" fillId="0" borderId="24" xfId="0" applyFont="1" applyBorder="1" applyAlignment="1">
      <alignment horizontal="center"/>
    </xf>
    <xf numFmtId="0" fontId="13" fillId="0" borderId="25" xfId="0" quotePrefix="1" applyFont="1" applyBorder="1" applyAlignment="1">
      <alignment horizontal="center"/>
    </xf>
    <xf numFmtId="0" fontId="14" fillId="18" borderId="21" xfId="40" applyNumberFormat="1" applyFont="1" applyFill="1" applyBorder="1"/>
    <xf numFmtId="165" fontId="14" fillId="18" borderId="21" xfId="40" applyNumberFormat="1" applyFont="1" applyFill="1" applyBorder="1"/>
    <xf numFmtId="0" fontId="0" fillId="0" borderId="26" xfId="0"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6" fillId="0" borderId="13" xfId="0" applyFont="1" applyBorder="1" applyAlignment="1">
      <alignment horizontal="center"/>
    </xf>
    <xf numFmtId="0" fontId="6" fillId="0" borderId="27" xfId="0" quotePrefix="1" applyFont="1" applyFill="1" applyBorder="1" applyAlignment="1" applyProtection="1">
      <alignment horizontal="right"/>
      <protection hidden="1"/>
    </xf>
    <xf numFmtId="0" fontId="6" fillId="0" borderId="28" xfId="0" applyFont="1" applyFill="1" applyBorder="1" applyAlignment="1" applyProtection="1">
      <alignment horizontal="center"/>
      <protection hidden="1"/>
    </xf>
    <xf numFmtId="0" fontId="12" fillId="0" borderId="25" xfId="0" applyFont="1" applyBorder="1" applyAlignment="1">
      <alignment horizontal="center"/>
    </xf>
    <xf numFmtId="0" fontId="13" fillId="0" borderId="17" xfId="0" quotePrefix="1" applyFont="1" applyBorder="1" applyAlignment="1">
      <alignment horizontal="left"/>
    </xf>
    <xf numFmtId="165" fontId="0" fillId="0" borderId="0" xfId="0" applyNumberFormat="1"/>
    <xf numFmtId="0" fontId="0" fillId="0" borderId="26" xfId="0" applyBorder="1"/>
    <xf numFmtId="0" fontId="0" fillId="0" borderId="18" xfId="0" applyBorder="1" applyAlignment="1">
      <alignment horizontal="center"/>
    </xf>
    <xf numFmtId="0" fontId="12" fillId="0" borderId="10" xfId="0" applyFont="1" applyBorder="1" applyAlignment="1">
      <alignment horizontal="center"/>
    </xf>
    <xf numFmtId="0" fontId="12" fillId="0" borderId="24" xfId="0" applyFont="1" applyBorder="1"/>
    <xf numFmtId="0" fontId="0" fillId="0" borderId="0" xfId="0" applyBorder="1" applyAlignment="1">
      <alignment horizontal="center"/>
    </xf>
    <xf numFmtId="0" fontId="6" fillId="0" borderId="0" xfId="0" applyFont="1" applyBorder="1" applyAlignment="1">
      <alignment horizontal="center"/>
    </xf>
    <xf numFmtId="0" fontId="0" fillId="0" borderId="0" xfId="0" quotePrefix="1" applyBorder="1" applyAlignment="1">
      <alignment horizontal="fill"/>
    </xf>
    <xf numFmtId="0" fontId="15" fillId="0" borderId="12" xfId="0" applyFont="1" applyBorder="1" applyAlignment="1">
      <alignment horizontal="centerContinuous"/>
    </xf>
    <xf numFmtId="0" fontId="15" fillId="0" borderId="17" xfId="0" applyFont="1" applyBorder="1" applyAlignment="1">
      <alignment horizontal="centerContinuous"/>
    </xf>
    <xf numFmtId="0" fontId="15" fillId="0" borderId="10" xfId="0" applyFont="1" applyBorder="1" applyAlignment="1">
      <alignment horizontal="centerContinuous"/>
    </xf>
    <xf numFmtId="0" fontId="15" fillId="0" borderId="18" xfId="0" applyFont="1" applyBorder="1" applyAlignment="1">
      <alignment horizontal="centerContinuous"/>
    </xf>
    <xf numFmtId="0" fontId="0" fillId="0" borderId="29" xfId="0" quotePrefix="1" applyBorder="1" applyAlignment="1">
      <alignment horizontal="fill"/>
    </xf>
    <xf numFmtId="10" fontId="10" fillId="0" borderId="0" xfId="40" applyNumberFormat="1" applyFont="1" applyFill="1" applyBorder="1" applyProtection="1">
      <protection locked="0"/>
    </xf>
    <xf numFmtId="0" fontId="0" fillId="20" borderId="0" xfId="0" applyFill="1"/>
    <xf numFmtId="164" fontId="0" fillId="20" borderId="0" xfId="40" applyNumberFormat="1" applyFont="1" applyFill="1"/>
    <xf numFmtId="0" fontId="15" fillId="0" borderId="0" xfId="0" applyFont="1"/>
    <xf numFmtId="167" fontId="0" fillId="0" borderId="0" xfId="28" applyNumberFormat="1" applyFont="1"/>
    <xf numFmtId="0" fontId="16" fillId="0" borderId="0" xfId="0" applyFont="1" applyBorder="1"/>
    <xf numFmtId="0" fontId="0" fillId="20" borderId="0" xfId="0" applyFill="1" applyBorder="1"/>
    <xf numFmtId="0" fontId="0" fillId="20" borderId="0" xfId="0" applyFill="1" applyBorder="1" applyAlignment="1">
      <alignment horizontal="fill"/>
    </xf>
    <xf numFmtId="0" fontId="0" fillId="20" borderId="0" xfId="0" quotePrefix="1" applyFill="1" applyBorder="1" applyAlignment="1">
      <alignment horizontal="center"/>
    </xf>
    <xf numFmtId="0" fontId="0" fillId="20" borderId="0" xfId="0" applyFill="1" applyBorder="1" applyAlignment="1">
      <alignment horizontal="center"/>
    </xf>
    <xf numFmtId="0" fontId="6" fillId="20" borderId="0" xfId="0" applyFont="1" applyFill="1" applyBorder="1" applyAlignment="1">
      <alignment horizontal="center"/>
    </xf>
    <xf numFmtId="0" fontId="6" fillId="20" borderId="0" xfId="0" applyFont="1" applyFill="1" applyBorder="1"/>
    <xf numFmtId="0" fontId="16" fillId="20" borderId="0" xfId="0" applyFont="1" applyFill="1" applyBorder="1"/>
    <xf numFmtId="0" fontId="0" fillId="20" borderId="0" xfId="0" quotePrefix="1" applyFill="1" applyBorder="1" applyAlignment="1">
      <alignment horizontal="fill"/>
    </xf>
    <xf numFmtId="0" fontId="14" fillId="0" borderId="0" xfId="0" applyFont="1"/>
    <xf numFmtId="0" fontId="14" fillId="0" borderId="11" xfId="0" applyFont="1" applyBorder="1" applyAlignment="1">
      <alignment horizontal="center"/>
    </xf>
    <xf numFmtId="0" fontId="14" fillId="0" borderId="29" xfId="0" applyFont="1" applyBorder="1" applyAlignment="1">
      <alignment horizontal="center"/>
    </xf>
    <xf numFmtId="0" fontId="0" fillId="0" borderId="0" xfId="0" applyAlignment="1">
      <alignment horizontal="left"/>
    </xf>
    <xf numFmtId="0" fontId="14" fillId="20" borderId="0" xfId="0" applyFont="1" applyFill="1"/>
    <xf numFmtId="0" fontId="14" fillId="20" borderId="21" xfId="0" applyFont="1" applyFill="1" applyBorder="1"/>
    <xf numFmtId="165" fontId="6" fillId="0" borderId="19" xfId="0" applyNumberFormat="1" applyFont="1" applyBorder="1"/>
    <xf numFmtId="0" fontId="0" fillId="0" borderId="0" xfId="0" applyFill="1"/>
    <xf numFmtId="168" fontId="6" fillId="0" borderId="19" xfId="0" applyNumberFormat="1" applyFont="1" applyBorder="1"/>
    <xf numFmtId="166" fontId="6" fillId="0" borderId="25" xfId="0" applyNumberFormat="1" applyFont="1" applyBorder="1"/>
    <xf numFmtId="166" fontId="6" fillId="0" borderId="22" xfId="0" applyNumberFormat="1" applyFont="1" applyBorder="1"/>
    <xf numFmtId="168" fontId="6" fillId="0" borderId="18" xfId="0" applyNumberFormat="1" applyFont="1" applyBorder="1"/>
    <xf numFmtId="168" fontId="6" fillId="0" borderId="0" xfId="0" applyNumberFormat="1" applyFont="1" applyBorder="1"/>
    <xf numFmtId="168" fontId="6" fillId="0" borderId="14" xfId="0" applyNumberFormat="1" applyFont="1" applyBorder="1"/>
    <xf numFmtId="0" fontId="3" fillId="19" borderId="30" xfId="0" applyFont="1" applyFill="1" applyBorder="1" applyProtection="1">
      <protection locked="0"/>
    </xf>
    <xf numFmtId="10" fontId="3" fillId="19" borderId="31" xfId="40" applyNumberFormat="1" applyFont="1" applyFill="1" applyBorder="1" applyProtection="1">
      <protection locked="0"/>
    </xf>
    <xf numFmtId="0" fontId="3" fillId="19" borderId="31" xfId="0" applyFont="1" applyFill="1" applyBorder="1" applyProtection="1">
      <protection locked="0"/>
    </xf>
    <xf numFmtId="14" fontId="3" fillId="19" borderId="32" xfId="0" applyNumberFormat="1" applyFont="1" applyFill="1" applyBorder="1" applyProtection="1">
      <protection locked="0"/>
    </xf>
    <xf numFmtId="1" fontId="3" fillId="19" borderId="31" xfId="0" applyNumberFormat="1" applyFont="1" applyFill="1" applyBorder="1" applyProtection="1">
      <protection locked="0"/>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13"/>
  <sheetViews>
    <sheetView showGridLines="0" tabSelected="1" zoomScale="80" workbookViewId="0"/>
  </sheetViews>
  <sheetFormatPr defaultColWidth="8.6640625" defaultRowHeight="15" x14ac:dyDescent="0.2"/>
  <cols>
    <col min="1" max="1" width="9.6640625" customWidth="1"/>
    <col min="5" max="5" width="13.6640625" customWidth="1"/>
    <col min="6" max="6" width="15.44140625" customWidth="1"/>
    <col min="13" max="13" width="18.33203125" customWidth="1"/>
    <col min="14" max="14" width="10.6640625" customWidth="1"/>
    <col min="15" max="15" width="11.33203125" customWidth="1"/>
    <col min="17" max="17" width="13.33203125" customWidth="1"/>
    <col min="18" max="18" width="9" customWidth="1"/>
    <col min="19" max="19" width="11.6640625" customWidth="1"/>
  </cols>
  <sheetData>
    <row r="1" spans="1:24" ht="15.75" x14ac:dyDescent="0.25">
      <c r="A1" s="7" t="s">
        <v>0</v>
      </c>
    </row>
    <row r="2" spans="1:24" x14ac:dyDescent="0.2">
      <c r="A2" s="15"/>
    </row>
    <row r="3" spans="1:24" x14ac:dyDescent="0.2">
      <c r="A3" s="44" t="s">
        <v>1</v>
      </c>
    </row>
    <row r="4" spans="1:24" x14ac:dyDescent="0.2">
      <c r="A4" s="15" t="s">
        <v>2</v>
      </c>
    </row>
    <row r="5" spans="1:24" x14ac:dyDescent="0.2">
      <c r="A5" s="15" t="s">
        <v>3</v>
      </c>
    </row>
    <row r="6" spans="1:24" x14ac:dyDescent="0.2">
      <c r="A6" s="15"/>
    </row>
    <row r="7" spans="1:24" x14ac:dyDescent="0.2">
      <c r="A7" s="15" t="s">
        <v>4</v>
      </c>
    </row>
    <row r="8" spans="1:24" ht="15.75" x14ac:dyDescent="0.25">
      <c r="L8" s="74" t="s">
        <v>5</v>
      </c>
    </row>
    <row r="9" spans="1:24" ht="15.75" x14ac:dyDescent="0.25">
      <c r="A9" s="5" t="s">
        <v>6</v>
      </c>
      <c r="L9" s="72"/>
      <c r="M9" s="72"/>
      <c r="N9" s="72"/>
      <c r="O9" s="72"/>
      <c r="P9" s="72"/>
      <c r="Q9" s="72"/>
      <c r="R9" s="72"/>
      <c r="S9" s="72"/>
      <c r="T9" s="72"/>
      <c r="U9" s="72"/>
      <c r="V9" s="92"/>
      <c r="W9" s="92"/>
      <c r="X9" s="92"/>
    </row>
    <row r="10" spans="1:24" ht="15.75" thickBot="1" x14ac:dyDescent="0.25">
      <c r="L10" s="72" t="s">
        <v>7</v>
      </c>
      <c r="M10" s="72"/>
      <c r="N10" s="72"/>
      <c r="O10" s="72"/>
      <c r="P10" s="72"/>
      <c r="Q10" s="72"/>
      <c r="R10" s="72"/>
      <c r="S10" s="72"/>
      <c r="T10" s="72"/>
      <c r="U10" s="72"/>
      <c r="V10" s="92"/>
      <c r="W10" s="92"/>
      <c r="X10" s="92"/>
    </row>
    <row r="11" spans="1:24" ht="16.5" thickTop="1" x14ac:dyDescent="0.25">
      <c r="A11" s="99">
        <v>500</v>
      </c>
      <c r="B11" s="1" t="s">
        <v>8</v>
      </c>
      <c r="L11" s="72" t="s">
        <v>9</v>
      </c>
      <c r="M11" s="72"/>
      <c r="N11" s="73">
        <v>0.01</v>
      </c>
      <c r="O11" s="89"/>
      <c r="P11" s="72"/>
      <c r="Q11" s="72"/>
      <c r="R11" s="72"/>
      <c r="S11" s="72"/>
      <c r="T11" s="72"/>
      <c r="U11" s="72"/>
      <c r="V11" s="92"/>
      <c r="W11" s="92"/>
      <c r="X11" s="92"/>
    </row>
    <row r="12" spans="1:24" ht="15.75" x14ac:dyDescent="0.25">
      <c r="A12" s="100">
        <v>1E-3</v>
      </c>
      <c r="B12" s="1" t="s">
        <v>10</v>
      </c>
      <c r="L12" s="72"/>
      <c r="M12" s="72"/>
      <c r="N12" s="89"/>
      <c r="O12" s="72"/>
      <c r="P12" s="72"/>
      <c r="Q12" s="72"/>
      <c r="R12" s="72"/>
      <c r="S12" s="72"/>
      <c r="T12" s="72"/>
      <c r="U12" s="72"/>
      <c r="V12" s="92"/>
      <c r="W12" s="92"/>
      <c r="X12" s="92"/>
    </row>
    <row r="13" spans="1:24" ht="18.75" x14ac:dyDescent="0.25">
      <c r="A13" s="101">
        <v>0.5</v>
      </c>
      <c r="B13" s="1" t="s">
        <v>11</v>
      </c>
      <c r="L13" s="72"/>
      <c r="M13" s="72"/>
      <c r="N13" s="89"/>
      <c r="O13" s="72"/>
      <c r="P13" s="72"/>
      <c r="Q13" s="72"/>
      <c r="R13" s="72"/>
      <c r="S13" s="72"/>
      <c r="T13" s="72"/>
      <c r="U13" s="72"/>
      <c r="V13" s="92"/>
      <c r="W13" s="92"/>
      <c r="X13" s="92"/>
    </row>
    <row r="14" spans="1:24" ht="15.75" x14ac:dyDescent="0.25">
      <c r="A14" s="101">
        <v>5</v>
      </c>
      <c r="B14" s="1" t="s">
        <v>12</v>
      </c>
      <c r="I14" s="75"/>
      <c r="L14" s="72"/>
      <c r="M14" s="72"/>
      <c r="N14" s="72"/>
      <c r="O14" s="72"/>
      <c r="P14" s="72"/>
      <c r="Q14" s="72"/>
      <c r="R14" s="72"/>
      <c r="S14" s="72"/>
      <c r="T14" s="72"/>
      <c r="U14" s="72"/>
      <c r="V14" s="92"/>
      <c r="W14" s="92"/>
      <c r="X14" s="92"/>
    </row>
    <row r="15" spans="1:24" ht="16.5" thickBot="1" x14ac:dyDescent="0.3">
      <c r="A15" s="102">
        <v>35551</v>
      </c>
      <c r="B15" s="1" t="s">
        <v>13</v>
      </c>
      <c r="L15" s="72"/>
      <c r="M15" s="72"/>
      <c r="N15" s="72"/>
      <c r="O15" s="72"/>
      <c r="P15" s="72"/>
      <c r="Q15" s="72"/>
      <c r="R15" s="72"/>
      <c r="S15" s="72"/>
      <c r="T15" s="72"/>
      <c r="U15" s="72"/>
      <c r="V15" s="92"/>
      <c r="W15" s="92"/>
      <c r="X15" s="92"/>
    </row>
    <row r="16" spans="1:24" ht="15.75" thickTop="1" x14ac:dyDescent="0.2">
      <c r="L16" s="72"/>
      <c r="M16" s="72"/>
      <c r="N16" s="72"/>
      <c r="O16" s="72"/>
      <c r="P16" s="72"/>
      <c r="Q16" s="72"/>
      <c r="R16" s="72"/>
      <c r="S16" s="72"/>
      <c r="T16" s="72"/>
      <c r="U16" s="72"/>
      <c r="V16" s="92"/>
      <c r="W16" s="92"/>
      <c r="X16" s="92"/>
    </row>
    <row r="17" spans="1:24" ht="15.75" x14ac:dyDescent="0.25">
      <c r="A17" s="5" t="s">
        <v>14</v>
      </c>
      <c r="L17" s="72"/>
      <c r="M17" s="72"/>
      <c r="N17" s="72"/>
      <c r="O17" s="72"/>
      <c r="P17" s="72"/>
      <c r="Q17" s="72"/>
      <c r="R17" s="72"/>
      <c r="S17" s="72"/>
      <c r="T17" s="72"/>
      <c r="U17" s="72"/>
      <c r="V17" s="92"/>
      <c r="W17" s="92"/>
      <c r="X17" s="92"/>
    </row>
    <row r="18" spans="1:24" ht="15.75" thickBot="1" x14ac:dyDescent="0.25">
      <c r="L18" s="72"/>
      <c r="M18" s="72"/>
      <c r="N18" s="72"/>
      <c r="O18" s="72"/>
      <c r="P18" s="72"/>
      <c r="Q18" s="72"/>
      <c r="R18" s="72"/>
      <c r="S18" s="72"/>
      <c r="T18" s="72"/>
      <c r="U18" s="72"/>
      <c r="V18" s="92"/>
      <c r="W18" s="92"/>
      <c r="X18" s="92"/>
    </row>
    <row r="19" spans="1:24" ht="16.5" thickTop="1" x14ac:dyDescent="0.25">
      <c r="A19" s="99">
        <v>501</v>
      </c>
      <c r="B19" s="1" t="s">
        <v>8</v>
      </c>
      <c r="L19" s="72" t="s">
        <v>15</v>
      </c>
      <c r="M19" s="72"/>
      <c r="N19" s="72" t="s">
        <v>16</v>
      </c>
      <c r="O19" s="72" t="s">
        <v>17</v>
      </c>
      <c r="P19" s="72"/>
      <c r="Q19" s="72"/>
      <c r="R19" s="72"/>
      <c r="S19" s="72"/>
      <c r="T19" s="72"/>
      <c r="U19" s="72"/>
      <c r="V19" s="92"/>
      <c r="W19" s="92"/>
      <c r="X19" s="92"/>
    </row>
    <row r="20" spans="1:24" ht="15.75" x14ac:dyDescent="0.25">
      <c r="A20" s="100">
        <v>1E-3</v>
      </c>
      <c r="B20" s="1" t="s">
        <v>10</v>
      </c>
      <c r="L20" s="72">
        <f>((N20)^2*(A14-1)+(O20)^2*(A22-1))/(A14+A22-2)</f>
        <v>6.2583416666666669E-2</v>
      </c>
      <c r="M20" s="72"/>
      <c r="N20" s="72">
        <f>A12*A11/2</f>
        <v>0.25</v>
      </c>
      <c r="O20" s="72">
        <f>A20*A19/2</f>
        <v>0.2505</v>
      </c>
      <c r="P20" s="72"/>
      <c r="Q20" s="72"/>
      <c r="R20" s="72"/>
      <c r="S20" s="72"/>
      <c r="T20" s="72"/>
      <c r="U20" s="72"/>
      <c r="V20" s="92"/>
      <c r="W20" s="92"/>
      <c r="X20" s="92"/>
    </row>
    <row r="21" spans="1:24" ht="18.75" x14ac:dyDescent="0.25">
      <c r="A21" s="101">
        <v>0.5</v>
      </c>
      <c r="B21" s="1" t="s">
        <v>11</v>
      </c>
      <c r="L21" s="72" t="s">
        <v>18</v>
      </c>
      <c r="M21" s="72"/>
      <c r="N21" s="72"/>
      <c r="O21" s="72"/>
      <c r="P21" s="72"/>
      <c r="Q21" s="72"/>
      <c r="R21" s="72"/>
      <c r="S21" s="72"/>
      <c r="T21" s="72"/>
      <c r="U21" s="72"/>
      <c r="V21" s="92"/>
      <c r="W21" s="92"/>
      <c r="X21" s="92"/>
    </row>
    <row r="22" spans="1:24" ht="15.75" x14ac:dyDescent="0.25">
      <c r="A22" s="103">
        <v>3</v>
      </c>
      <c r="B22" s="1" t="s">
        <v>12</v>
      </c>
      <c r="L22" s="72">
        <f>TINV(0.1,A14+A22-2)</f>
        <v>1.9431802805153031</v>
      </c>
      <c r="M22" s="72"/>
      <c r="N22" s="72"/>
      <c r="O22" s="72"/>
      <c r="P22" s="72"/>
      <c r="Q22" s="72"/>
      <c r="R22" s="72"/>
      <c r="S22" s="72"/>
      <c r="T22" s="72"/>
      <c r="U22" s="72"/>
      <c r="V22" s="92"/>
      <c r="W22" s="92"/>
      <c r="X22" s="92"/>
    </row>
    <row r="23" spans="1:24" ht="16.5" thickBot="1" x14ac:dyDescent="0.3">
      <c r="A23" s="102">
        <v>35582</v>
      </c>
      <c r="B23" s="1" t="s">
        <v>13</v>
      </c>
      <c r="L23" s="72"/>
      <c r="M23" s="72"/>
      <c r="N23" s="72"/>
      <c r="O23" s="72"/>
      <c r="P23" s="72"/>
      <c r="Q23" s="72"/>
      <c r="R23" s="72"/>
      <c r="S23" s="72"/>
      <c r="T23" s="72"/>
      <c r="U23" s="72"/>
      <c r="V23" s="92"/>
      <c r="W23" s="92"/>
      <c r="X23" s="92"/>
    </row>
    <row r="24" spans="1:24" ht="15.75" thickTop="1" x14ac:dyDescent="0.2">
      <c r="L24" s="72"/>
      <c r="M24" s="72"/>
      <c r="N24" s="72"/>
      <c r="O24" s="72"/>
      <c r="P24" s="72"/>
      <c r="Q24" s="72"/>
      <c r="R24" s="72"/>
      <c r="S24" s="72"/>
      <c r="T24" s="72"/>
      <c r="U24" s="72"/>
      <c r="V24" s="92"/>
      <c r="W24" s="92"/>
      <c r="X24" s="92"/>
    </row>
    <row r="25" spans="1:24" ht="15.75" x14ac:dyDescent="0.25">
      <c r="A25" s="6" t="s">
        <v>19</v>
      </c>
      <c r="L25" s="72"/>
      <c r="M25" s="72"/>
      <c r="N25" s="72"/>
      <c r="O25" s="72"/>
      <c r="P25" s="72"/>
      <c r="Q25" s="72"/>
      <c r="R25" s="72"/>
      <c r="S25" s="72"/>
      <c r="T25" s="72"/>
      <c r="U25" s="72"/>
      <c r="V25" s="92"/>
      <c r="W25" s="92"/>
      <c r="X25" s="92"/>
    </row>
    <row r="26" spans="1:24" ht="15.75" thickBot="1" x14ac:dyDescent="0.25">
      <c r="L26" s="72"/>
      <c r="M26" s="72"/>
      <c r="N26" s="72"/>
      <c r="O26" s="72"/>
      <c r="P26" s="72"/>
      <c r="Q26" s="72"/>
      <c r="R26" s="72"/>
      <c r="S26" s="72"/>
      <c r="T26" s="72"/>
      <c r="U26" s="72"/>
      <c r="V26" s="92"/>
      <c r="W26" s="92"/>
      <c r="X26" s="92"/>
    </row>
    <row r="27" spans="1:24" ht="16.5" thickTop="1" x14ac:dyDescent="0.25">
      <c r="A27" s="99">
        <v>502</v>
      </c>
      <c r="B27" s="1" t="s">
        <v>8</v>
      </c>
      <c r="L27" s="72" t="s">
        <v>20</v>
      </c>
      <c r="M27" s="72"/>
      <c r="N27" s="72" t="s">
        <v>16</v>
      </c>
      <c r="O27" s="72" t="s">
        <v>21</v>
      </c>
      <c r="P27" s="72"/>
      <c r="Q27" s="72" t="s">
        <v>22</v>
      </c>
      <c r="R27" s="72"/>
      <c r="S27" s="72" t="s">
        <v>17</v>
      </c>
      <c r="T27" s="72" t="s">
        <v>21</v>
      </c>
      <c r="U27" s="72"/>
      <c r="V27" s="92"/>
      <c r="W27" s="92"/>
      <c r="X27" s="92"/>
    </row>
    <row r="28" spans="1:24" ht="15.75" x14ac:dyDescent="0.25">
      <c r="A28" s="100">
        <v>1E-3</v>
      </c>
      <c r="B28" s="1" t="s">
        <v>10</v>
      </c>
      <c r="L28" s="72">
        <f>((N28)^2*(A14-1)+(O28)^2*(A30-1))/(A14+A30-2)</f>
        <v>6.2667E-2</v>
      </c>
      <c r="M28" s="72"/>
      <c r="N28" s="72">
        <f>A12*A11/2</f>
        <v>0.25</v>
      </c>
      <c r="O28" s="72">
        <f>A28*A27/2</f>
        <v>0.251</v>
      </c>
      <c r="P28" s="72"/>
      <c r="Q28" s="72">
        <f>((A22-1)*S28^2+(A30-1)*T28^2)/(A22+A30-2)</f>
        <v>6.2875624999999991E-2</v>
      </c>
      <c r="R28" s="72"/>
      <c r="S28" s="72">
        <f>A19*A20/2</f>
        <v>0.2505</v>
      </c>
      <c r="T28" s="72">
        <f>A27*A28/2</f>
        <v>0.251</v>
      </c>
      <c r="U28" s="72"/>
      <c r="V28" s="92"/>
      <c r="W28" s="92"/>
      <c r="X28" s="92"/>
    </row>
    <row r="29" spans="1:24" ht="18.75" x14ac:dyDescent="0.25">
      <c r="A29" s="101">
        <v>0.5</v>
      </c>
      <c r="B29" s="1" t="s">
        <v>11</v>
      </c>
      <c r="L29" s="72" t="s">
        <v>18</v>
      </c>
      <c r="M29" s="72"/>
      <c r="N29" s="72"/>
      <c r="O29" s="72"/>
      <c r="P29" s="72"/>
      <c r="Q29" s="72" t="s">
        <v>18</v>
      </c>
      <c r="R29" s="72"/>
      <c r="S29" s="72"/>
      <c r="T29" s="72"/>
      <c r="U29" s="72"/>
      <c r="V29" s="92"/>
      <c r="W29" s="92"/>
      <c r="X29" s="92"/>
    </row>
    <row r="30" spans="1:24" ht="15.75" x14ac:dyDescent="0.25">
      <c r="A30" s="103">
        <v>3</v>
      </c>
      <c r="B30" s="1" t="s">
        <v>12</v>
      </c>
      <c r="L30" s="72">
        <f>TINV(0.1,A14+A30-2)</f>
        <v>1.9431802805153031</v>
      </c>
      <c r="M30" s="72"/>
      <c r="N30" s="72"/>
      <c r="O30" s="72"/>
      <c r="P30" s="72"/>
      <c r="Q30" s="72">
        <f>IF(A19="","",TINV(0.1,A22+A30-2))</f>
        <v>2.1318467863266499</v>
      </c>
      <c r="R30" s="72"/>
      <c r="S30" s="72"/>
      <c r="T30" s="72"/>
      <c r="U30" s="72"/>
      <c r="V30" s="92"/>
      <c r="W30" s="92"/>
      <c r="X30" s="92"/>
    </row>
    <row r="31" spans="1:24" ht="16.5" thickBot="1" x14ac:dyDescent="0.3">
      <c r="A31" s="102">
        <v>35589</v>
      </c>
      <c r="B31" s="1" t="s">
        <v>13</v>
      </c>
      <c r="L31" s="72"/>
      <c r="M31" s="72"/>
      <c r="N31" s="72"/>
      <c r="O31" s="72"/>
      <c r="P31" s="72"/>
      <c r="Q31" s="72"/>
      <c r="R31" s="72"/>
      <c r="S31" s="72"/>
      <c r="T31" s="72"/>
      <c r="U31" s="72"/>
      <c r="V31" s="92"/>
      <c r="W31" s="92"/>
      <c r="X31" s="92"/>
    </row>
    <row r="32" spans="1:24" ht="15.75" thickTop="1" x14ac:dyDescent="0.2">
      <c r="L32" s="72"/>
      <c r="M32" s="72"/>
      <c r="N32" s="72"/>
      <c r="O32" s="72"/>
      <c r="P32" s="72"/>
      <c r="Q32" s="72"/>
      <c r="R32" s="72"/>
      <c r="S32" s="72"/>
      <c r="T32" s="72"/>
      <c r="U32" s="72"/>
      <c r="V32" s="92"/>
      <c r="W32" s="92"/>
      <c r="X32" s="92"/>
    </row>
    <row r="33" spans="1:24" ht="15.75" thickBot="1" x14ac:dyDescent="0.25">
      <c r="A33" t="s">
        <v>23</v>
      </c>
      <c r="I33" s="85"/>
      <c r="L33" s="72"/>
      <c r="M33" s="72"/>
      <c r="N33" s="72"/>
      <c r="O33" s="72"/>
      <c r="P33" s="72"/>
      <c r="Q33" s="72"/>
      <c r="R33" s="72"/>
      <c r="S33" s="72"/>
      <c r="T33" s="72"/>
      <c r="U33" s="72"/>
      <c r="V33" s="92"/>
      <c r="W33" s="92"/>
      <c r="X33" s="92"/>
    </row>
    <row r="34" spans="1:24" ht="17.25" thickTop="1" thickBot="1" x14ac:dyDescent="0.3">
      <c r="B34" s="13" t="s">
        <v>24</v>
      </c>
      <c r="C34" s="14">
        <f>MAX(1,COUNT(A31,A23,A15)-(A23=A15)-(A31=A23)-(A31=A15))</f>
        <v>3</v>
      </c>
      <c r="D34" s="1" t="s">
        <v>25</v>
      </c>
      <c r="L34" s="72"/>
      <c r="M34" s="72"/>
      <c r="N34" s="72"/>
      <c r="O34" s="72"/>
      <c r="P34" s="72"/>
      <c r="Q34" s="72"/>
      <c r="R34" s="72"/>
      <c r="S34" s="72"/>
      <c r="T34" s="72"/>
      <c r="U34" s="72"/>
      <c r="V34" s="92"/>
      <c r="W34" s="92"/>
      <c r="X34" s="92"/>
    </row>
    <row r="35" spans="1:24" ht="15.75" thickTop="1" x14ac:dyDescent="0.2">
      <c r="D35" s="1" t="s">
        <v>26</v>
      </c>
      <c r="J35" s="21"/>
      <c r="K35" s="21"/>
      <c r="L35" s="77"/>
      <c r="M35" s="77"/>
      <c r="N35" s="72"/>
      <c r="O35" s="72"/>
      <c r="P35" s="72"/>
      <c r="Q35" s="72"/>
      <c r="R35" s="72"/>
      <c r="S35" s="72"/>
      <c r="T35" s="72"/>
      <c r="U35" s="72"/>
      <c r="V35" s="92"/>
      <c r="W35" s="92"/>
      <c r="X35" s="92"/>
    </row>
    <row r="36" spans="1:24" x14ac:dyDescent="0.2">
      <c r="D36" s="1" t="s">
        <v>27</v>
      </c>
      <c r="J36" s="21"/>
      <c r="K36" s="21"/>
      <c r="L36" s="79"/>
      <c r="M36" s="77"/>
      <c r="N36" s="72"/>
      <c r="O36" s="72"/>
      <c r="P36" s="72"/>
      <c r="Q36" s="72"/>
      <c r="R36" s="72"/>
      <c r="S36" s="72"/>
      <c r="T36" s="72"/>
      <c r="U36" s="72"/>
      <c r="V36" s="92"/>
      <c r="W36" s="92"/>
      <c r="X36" s="92"/>
    </row>
    <row r="37" spans="1:24" x14ac:dyDescent="0.2">
      <c r="D37" t="s">
        <v>28</v>
      </c>
      <c r="J37" s="21"/>
      <c r="K37" s="21"/>
      <c r="L37" s="80"/>
      <c r="M37" s="80"/>
      <c r="N37" s="72"/>
      <c r="O37" s="72"/>
      <c r="P37" s="72"/>
      <c r="Q37" s="72"/>
      <c r="R37" s="72"/>
      <c r="S37" s="72"/>
      <c r="T37" s="72"/>
      <c r="U37" s="72"/>
      <c r="V37" s="92"/>
      <c r="W37" s="92"/>
      <c r="X37" s="92"/>
    </row>
    <row r="38" spans="1:24" ht="15.75" x14ac:dyDescent="0.25">
      <c r="A38" s="7" t="s">
        <v>29</v>
      </c>
      <c r="J38" s="21"/>
      <c r="K38" s="21"/>
      <c r="L38" s="81"/>
      <c r="M38" s="81"/>
      <c r="N38" s="72"/>
      <c r="O38" s="72"/>
      <c r="P38" s="72"/>
      <c r="Q38" s="72"/>
      <c r="R38" s="72"/>
      <c r="S38" s="72"/>
      <c r="T38" s="72"/>
      <c r="U38" s="72"/>
      <c r="V38" s="92"/>
      <c r="W38" s="92"/>
      <c r="X38" s="92"/>
    </row>
    <row r="39" spans="1:24" ht="15.75" x14ac:dyDescent="0.25">
      <c r="A39" s="7"/>
      <c r="J39" s="21"/>
      <c r="K39" s="21"/>
      <c r="L39" s="81"/>
      <c r="M39" s="81"/>
      <c r="N39" s="72"/>
      <c r="O39" s="72"/>
      <c r="P39" s="72"/>
      <c r="Q39" s="72"/>
      <c r="R39" s="72"/>
      <c r="S39" s="72"/>
      <c r="T39" s="72"/>
      <c r="U39" s="72"/>
      <c r="V39" s="92"/>
      <c r="W39" s="92"/>
      <c r="X39" s="92"/>
    </row>
    <row r="40" spans="1:24" ht="15.75" x14ac:dyDescent="0.25">
      <c r="A40" s="74" t="s">
        <v>30</v>
      </c>
      <c r="J40" s="21"/>
      <c r="K40" s="21"/>
      <c r="L40" s="81"/>
      <c r="M40" s="81"/>
      <c r="N40" s="72"/>
      <c r="O40" s="72"/>
      <c r="P40" s="72"/>
      <c r="Q40" s="72"/>
      <c r="R40" s="72"/>
      <c r="S40" s="72"/>
      <c r="T40" s="72"/>
      <c r="U40" s="72"/>
      <c r="V40" s="92"/>
      <c r="W40" s="92"/>
      <c r="X40" s="92"/>
    </row>
    <row r="41" spans="1:24" ht="15.75" x14ac:dyDescent="0.25">
      <c r="E41" s="66" t="s">
        <v>31</v>
      </c>
      <c r="F41" s="67"/>
      <c r="J41" s="63"/>
      <c r="K41" s="21"/>
      <c r="L41" s="77"/>
      <c r="M41" s="82"/>
      <c r="N41" s="72"/>
      <c r="O41" s="72"/>
      <c r="P41" s="72"/>
      <c r="Q41" s="72"/>
      <c r="R41" s="72"/>
      <c r="S41" s="72"/>
      <c r="T41" s="72"/>
      <c r="U41" s="72"/>
      <c r="V41" s="92"/>
      <c r="W41" s="92"/>
      <c r="X41" s="92"/>
    </row>
    <row r="42" spans="1:24" ht="15.75" x14ac:dyDescent="0.25">
      <c r="E42" s="68" t="s">
        <v>32</v>
      </c>
      <c r="F42" s="69"/>
      <c r="G42" s="39" t="s">
        <v>33</v>
      </c>
      <c r="H42" s="62"/>
      <c r="J42" s="63"/>
      <c r="K42" s="21"/>
      <c r="L42" s="82"/>
      <c r="M42" s="83"/>
      <c r="N42" s="72"/>
      <c r="O42" s="72"/>
      <c r="P42" s="72"/>
      <c r="Q42" s="72"/>
      <c r="R42" s="72"/>
      <c r="S42" s="72"/>
      <c r="T42" s="72"/>
      <c r="U42" s="72"/>
      <c r="V42" s="92"/>
      <c r="W42" s="92"/>
      <c r="X42" s="92"/>
    </row>
    <row r="43" spans="1:24" x14ac:dyDescent="0.2">
      <c r="C43" t="s">
        <v>34</v>
      </c>
      <c r="D43" t="s">
        <v>35</v>
      </c>
      <c r="E43" s="20" t="s">
        <v>36</v>
      </c>
      <c r="F43" s="60" t="s">
        <v>37</v>
      </c>
      <c r="G43" s="61" t="s">
        <v>38</v>
      </c>
      <c r="H43" s="56" t="s">
        <v>39</v>
      </c>
      <c r="J43" s="63"/>
      <c r="K43" s="63"/>
      <c r="L43" s="84"/>
      <c r="M43" s="82"/>
      <c r="N43" s="72"/>
      <c r="O43" s="72"/>
      <c r="P43" s="72"/>
      <c r="Q43" s="72"/>
      <c r="R43" s="72"/>
      <c r="S43" s="72"/>
      <c r="T43" s="72"/>
      <c r="U43" s="72"/>
      <c r="V43" s="92"/>
      <c r="W43" s="92"/>
      <c r="X43" s="92"/>
    </row>
    <row r="44" spans="1:24" x14ac:dyDescent="0.2">
      <c r="A44" t="s">
        <v>38</v>
      </c>
      <c r="B44" s="16" t="s">
        <v>40</v>
      </c>
      <c r="C44" s="16" t="s">
        <v>41</v>
      </c>
      <c r="D44" s="16" t="s">
        <v>41</v>
      </c>
      <c r="E44" s="2" t="s">
        <v>42</v>
      </c>
      <c r="F44" s="60" t="s">
        <v>42</v>
      </c>
      <c r="G44" s="23"/>
      <c r="H44" s="38"/>
      <c r="I44" t="s">
        <v>43</v>
      </c>
      <c r="J44" s="63"/>
      <c r="K44" s="64"/>
      <c r="L44" s="82"/>
      <c r="M44" s="77"/>
      <c r="N44" s="72"/>
      <c r="O44" s="72"/>
      <c r="P44" s="72"/>
      <c r="Q44" s="72"/>
      <c r="R44" s="72"/>
      <c r="S44" s="72"/>
      <c r="T44" s="72"/>
      <c r="U44" s="72"/>
      <c r="V44" s="92"/>
      <c r="W44" s="92"/>
      <c r="X44" s="92"/>
    </row>
    <row r="45" spans="1:24" x14ac:dyDescent="0.2">
      <c r="A45" s="51">
        <v>1</v>
      </c>
      <c r="B45" s="49">
        <v>1</v>
      </c>
      <c r="C45" s="59"/>
      <c r="D45" s="59"/>
      <c r="E45" s="3" t="s">
        <v>44</v>
      </c>
      <c r="F45" s="70" t="s">
        <v>44</v>
      </c>
      <c r="G45" s="23">
        <f>A13*(A12*A11)^2</f>
        <v>0.125</v>
      </c>
      <c r="H45" s="38">
        <f>(A11*A12)^2-G45</f>
        <v>0.125</v>
      </c>
      <c r="I45">
        <f>H45+G45</f>
        <v>0.25</v>
      </c>
      <c r="J45" s="11"/>
      <c r="K45" s="65"/>
      <c r="L45" s="77"/>
      <c r="M45" s="77"/>
      <c r="N45" s="72"/>
      <c r="O45" s="72"/>
      <c r="P45" s="72"/>
      <c r="Q45" s="72"/>
      <c r="R45" s="72"/>
      <c r="S45" s="72"/>
      <c r="T45" s="72"/>
      <c r="U45" s="72"/>
      <c r="V45" s="92"/>
      <c r="W45" s="92"/>
      <c r="X45" s="92"/>
    </row>
    <row r="46" spans="1:24" x14ac:dyDescent="0.2">
      <c r="A46" s="52">
        <f>IF(A19="","",IF(A23=A15,1,2))</f>
        <v>2</v>
      </c>
      <c r="B46" s="50">
        <f>IF(A46="","",2)</f>
        <v>2</v>
      </c>
      <c r="C46" s="59">
        <f>IF(A46="","",$A$19-$A$11-L22*SQRT($L$20)*SQRT(1/$A$14+1/$A$22))</f>
        <v>0.64498876840992225</v>
      </c>
      <c r="D46" s="27">
        <f>IF(A46="","",$A$19-$A$11+L22*SQRT($L$20)*SQRT(1/$A$14+1/$A$22))</f>
        <v>1.3550112315900777</v>
      </c>
      <c r="E46" s="86" t="b">
        <f>IF(A46="","",IF(C46&gt;-N11*A11,TRUE,FALSE))</f>
        <v>1</v>
      </c>
      <c r="F46" s="87" t="b">
        <f>IF(A46="","",IF(D46&lt;N11*A11,TRUE,FALSE))</f>
        <v>1</v>
      </c>
      <c r="G46" s="23">
        <f>A21*(A20*A19)^2</f>
        <v>0.12550049999999999</v>
      </c>
      <c r="H46" s="38">
        <f>(A20*A19)^2-G46</f>
        <v>0.12550049999999999</v>
      </c>
      <c r="I46">
        <f>H46+G46</f>
        <v>0.25100099999999997</v>
      </c>
      <c r="J46" s="11"/>
      <c r="K46" s="11"/>
      <c r="L46" s="72"/>
      <c r="M46" s="77" t="s">
        <v>45</v>
      </c>
      <c r="N46" s="72">
        <f>IF(A46="",0,IF(AND(E46,F46),1,0))</f>
        <v>1</v>
      </c>
      <c r="O46" s="72"/>
      <c r="P46" s="72"/>
      <c r="Q46" s="72"/>
      <c r="R46" s="72"/>
      <c r="S46" s="72"/>
      <c r="T46" s="72"/>
      <c r="U46" s="72"/>
      <c r="V46" s="92"/>
      <c r="W46" s="92"/>
      <c r="X46" s="92"/>
    </row>
    <row r="47" spans="1:24" x14ac:dyDescent="0.2">
      <c r="A47" s="1" t="s">
        <v>46</v>
      </c>
      <c r="L47" s="72"/>
      <c r="M47" s="72"/>
      <c r="N47" s="72"/>
      <c r="O47" s="72"/>
      <c r="P47" s="72"/>
      <c r="Q47" s="72"/>
      <c r="R47" s="72"/>
      <c r="S47" s="72"/>
      <c r="T47" s="72"/>
      <c r="U47" s="72"/>
      <c r="V47" s="92"/>
      <c r="W47" s="92"/>
      <c r="X47" s="92"/>
    </row>
    <row r="48" spans="1:24" x14ac:dyDescent="0.2">
      <c r="A48" s="63"/>
      <c r="B48" s="63"/>
      <c r="C48" s="21"/>
      <c r="D48" s="21"/>
      <c r="E48" s="63"/>
      <c r="F48" s="63"/>
      <c r="G48" s="21"/>
      <c r="H48" s="21"/>
      <c r="J48" s="11"/>
      <c r="K48" s="11"/>
      <c r="L48" s="77"/>
      <c r="M48" s="78"/>
      <c r="N48" s="72"/>
      <c r="O48" s="72"/>
      <c r="P48" s="72"/>
      <c r="Q48" s="72"/>
      <c r="R48" s="72"/>
      <c r="S48" s="72"/>
      <c r="T48" s="72"/>
      <c r="U48" s="72"/>
      <c r="V48" s="92"/>
      <c r="W48" s="92"/>
      <c r="X48" s="92"/>
    </row>
    <row r="49" spans="1:24" ht="15.75" x14ac:dyDescent="0.25">
      <c r="A49" s="74" t="s">
        <v>47</v>
      </c>
      <c r="J49" s="21"/>
      <c r="K49" s="21"/>
      <c r="L49" s="81"/>
      <c r="M49" s="81"/>
      <c r="N49" s="72"/>
      <c r="O49" s="72"/>
      <c r="P49" s="72"/>
      <c r="Q49" s="72"/>
      <c r="R49" s="72"/>
      <c r="S49" s="72"/>
      <c r="T49" s="72"/>
      <c r="U49" s="72"/>
      <c r="V49" s="92"/>
      <c r="W49" s="92"/>
      <c r="X49" s="92"/>
    </row>
    <row r="50" spans="1:24" ht="15.75" x14ac:dyDescent="0.25">
      <c r="E50" s="66" t="s">
        <v>31</v>
      </c>
      <c r="F50" s="67"/>
      <c r="J50" s="63"/>
      <c r="K50" s="21"/>
      <c r="L50" s="77"/>
      <c r="M50" s="82"/>
      <c r="N50" s="72"/>
      <c r="O50" s="72"/>
      <c r="P50" s="72"/>
      <c r="Q50" s="72"/>
      <c r="R50" s="72"/>
      <c r="S50" s="72"/>
      <c r="T50" s="72"/>
      <c r="U50" s="72"/>
      <c r="V50" s="92"/>
      <c r="W50" s="92"/>
      <c r="X50" s="92"/>
    </row>
    <row r="51" spans="1:24" ht="15.75" x14ac:dyDescent="0.25">
      <c r="E51" s="68" t="s">
        <v>32</v>
      </c>
      <c r="F51" s="69"/>
      <c r="G51" s="39" t="s">
        <v>33</v>
      </c>
      <c r="H51" s="62"/>
      <c r="J51" s="63"/>
      <c r="K51" s="21"/>
      <c r="L51" s="82"/>
      <c r="M51" s="83"/>
      <c r="N51" s="72"/>
      <c r="O51" s="72"/>
      <c r="P51" s="72"/>
      <c r="Q51" s="72"/>
      <c r="R51" s="72"/>
      <c r="S51" s="72"/>
      <c r="T51" s="72"/>
      <c r="U51" s="72"/>
      <c r="V51" s="92"/>
      <c r="W51" s="92"/>
      <c r="X51" s="92"/>
    </row>
    <row r="52" spans="1:24" x14ac:dyDescent="0.2">
      <c r="C52" t="s">
        <v>34</v>
      </c>
      <c r="D52" t="s">
        <v>35</v>
      </c>
      <c r="E52" s="20" t="s">
        <v>36</v>
      </c>
      <c r="F52" s="60" t="s">
        <v>37</v>
      </c>
      <c r="G52" s="61" t="s">
        <v>38</v>
      </c>
      <c r="H52" s="56" t="s">
        <v>39</v>
      </c>
      <c r="J52" s="63"/>
      <c r="K52" s="63"/>
      <c r="L52" s="84"/>
      <c r="M52" s="82"/>
      <c r="N52" s="72"/>
      <c r="O52" s="72"/>
      <c r="P52" s="72"/>
      <c r="Q52" s="72"/>
      <c r="R52" s="72"/>
      <c r="S52" s="72"/>
      <c r="T52" s="72"/>
      <c r="U52" s="72"/>
      <c r="V52" s="92"/>
      <c r="W52" s="92"/>
      <c r="X52" s="92"/>
    </row>
    <row r="53" spans="1:24" x14ac:dyDescent="0.2">
      <c r="A53" t="s">
        <v>38</v>
      </c>
      <c r="B53" s="16" t="s">
        <v>40</v>
      </c>
      <c r="C53" s="16" t="s">
        <v>41</v>
      </c>
      <c r="D53" s="16" t="s">
        <v>41</v>
      </c>
      <c r="E53" s="2" t="s">
        <v>42</v>
      </c>
      <c r="F53" s="60" t="s">
        <v>42</v>
      </c>
      <c r="G53" s="23"/>
      <c r="H53" s="38"/>
      <c r="I53" t="s">
        <v>43</v>
      </c>
      <c r="J53" s="63"/>
      <c r="K53" s="64"/>
      <c r="L53" s="82"/>
      <c r="M53" s="77"/>
      <c r="N53" s="72"/>
      <c r="O53" s="72"/>
      <c r="P53" s="72"/>
      <c r="Q53" s="72"/>
      <c r="R53" s="72"/>
      <c r="S53" s="72"/>
      <c r="T53" s="72"/>
      <c r="U53" s="72"/>
      <c r="V53" s="92"/>
      <c r="W53" s="92"/>
      <c r="X53" s="92"/>
    </row>
    <row r="54" spans="1:24" x14ac:dyDescent="0.2">
      <c r="A54" s="51">
        <v>1</v>
      </c>
      <c r="B54" s="49">
        <v>1</v>
      </c>
      <c r="C54" s="59"/>
      <c r="D54" s="59"/>
      <c r="E54" s="3" t="s">
        <v>44</v>
      </c>
      <c r="F54" s="70" t="s">
        <v>44</v>
      </c>
      <c r="G54" s="23">
        <f>A13*(A12*A11)^2</f>
        <v>0.125</v>
      </c>
      <c r="H54" s="38">
        <f>(A11*A12)^2-G54</f>
        <v>0.125</v>
      </c>
      <c r="I54">
        <f>H54+G54</f>
        <v>0.25</v>
      </c>
      <c r="J54" s="11"/>
      <c r="K54" s="65"/>
      <c r="L54" s="77"/>
      <c r="M54" s="77"/>
      <c r="N54" s="72"/>
      <c r="O54" s="72"/>
      <c r="P54" s="72"/>
      <c r="Q54" s="72"/>
      <c r="R54" s="72"/>
      <c r="S54" s="72"/>
      <c r="T54" s="72"/>
      <c r="U54" s="72"/>
      <c r="V54" s="92"/>
      <c r="W54" s="92"/>
      <c r="X54" s="92"/>
    </row>
    <row r="55" spans="1:24" x14ac:dyDescent="0.2">
      <c r="A55" s="52">
        <f>IF(A$31=A$23,A$46,IF(A$46=N,"",A$46+1))</f>
        <v>3</v>
      </c>
      <c r="B55" s="50">
        <f>IF(A55="","",3)</f>
        <v>3</v>
      </c>
      <c r="C55" s="59">
        <f>IF(A55="","",$A$27-$A$11-L30*SQRT($L$28)*SQRT(1/$A$14+1/$A$30))</f>
        <v>1.6447517797407174</v>
      </c>
      <c r="D55" s="27">
        <f>IF(A55="","",$A$27-$A$11+L30*SQRT($L$28)*SQRT(1/$A$14+1/$A$30))</f>
        <v>2.3552482202592828</v>
      </c>
      <c r="E55" s="86" t="b">
        <f>IF(A55="","",IF(C55&gt;-N11*A11,TRUE,FALSE))</f>
        <v>1</v>
      </c>
      <c r="F55" s="87" t="b">
        <f>IF(A55="","",IF(D55&lt;N11*A11,TRUE,FALSE))</f>
        <v>1</v>
      </c>
      <c r="G55" s="23">
        <f>IF(A55="","",A29*(A28*A27)^2)</f>
        <v>0.126002</v>
      </c>
      <c r="H55" s="38">
        <f>IF(A55="","",(A28*A27)^2-G55)</f>
        <v>0.126002</v>
      </c>
      <c r="I55">
        <f>IF(A55="","",H55+G55)</f>
        <v>0.25200400000000001</v>
      </c>
      <c r="J55" s="11"/>
      <c r="K55" s="11"/>
      <c r="L55" s="72"/>
      <c r="M55" s="77" t="s">
        <v>48</v>
      </c>
      <c r="N55" s="72">
        <f>IF(A55="",0,IF(AND(E55,F55),2,0))</f>
        <v>2</v>
      </c>
      <c r="O55" s="72"/>
      <c r="P55" s="72"/>
      <c r="Q55" s="72"/>
      <c r="R55" s="72"/>
      <c r="S55" s="72"/>
      <c r="T55" s="72"/>
      <c r="U55" s="72"/>
      <c r="V55" s="92"/>
      <c r="W55" s="92"/>
      <c r="X55" s="92"/>
    </row>
    <row r="56" spans="1:24" x14ac:dyDescent="0.2">
      <c r="A56" s="1" t="s">
        <v>46</v>
      </c>
      <c r="L56" s="72"/>
      <c r="M56" s="72"/>
      <c r="N56" s="72"/>
      <c r="O56" s="72"/>
      <c r="P56" s="72"/>
      <c r="Q56" s="72"/>
      <c r="R56" s="72"/>
      <c r="S56" s="72"/>
      <c r="T56" s="72"/>
      <c r="U56" s="72"/>
      <c r="V56" s="92"/>
      <c r="W56" s="92"/>
      <c r="X56" s="92"/>
    </row>
    <row r="57" spans="1:24" x14ac:dyDescent="0.2">
      <c r="A57" s="88" t="s">
        <v>49</v>
      </c>
      <c r="L57" s="72"/>
      <c r="M57" s="72"/>
      <c r="N57" s="72"/>
      <c r="O57" s="72"/>
      <c r="P57" s="72"/>
      <c r="Q57" s="72"/>
      <c r="R57" s="72"/>
      <c r="S57" s="72"/>
      <c r="T57" s="72"/>
      <c r="U57" s="72"/>
      <c r="V57" s="92"/>
      <c r="W57" s="92"/>
      <c r="X57" s="92"/>
    </row>
    <row r="58" spans="1:24" x14ac:dyDescent="0.2">
      <c r="A58" s="63"/>
      <c r="B58" s="63"/>
      <c r="C58" s="21"/>
      <c r="D58" s="21"/>
      <c r="E58" s="63"/>
      <c r="F58" s="63"/>
      <c r="G58" s="21"/>
      <c r="H58" s="21"/>
      <c r="J58" s="11"/>
      <c r="K58" s="11"/>
      <c r="L58" s="77"/>
      <c r="M58" s="78"/>
      <c r="N58" s="72"/>
      <c r="O58" s="72"/>
      <c r="P58" s="72"/>
      <c r="Q58" s="72"/>
      <c r="R58" s="72"/>
      <c r="S58" s="72"/>
      <c r="T58" s="72"/>
      <c r="U58" s="72"/>
      <c r="V58" s="92"/>
      <c r="W58" s="92"/>
      <c r="X58" s="92"/>
    </row>
    <row r="59" spans="1:24" ht="15.75" x14ac:dyDescent="0.25">
      <c r="A59" s="74" t="s">
        <v>50</v>
      </c>
      <c r="J59" s="21"/>
      <c r="K59" s="21"/>
      <c r="L59" s="81"/>
      <c r="M59" s="81"/>
      <c r="N59" s="72"/>
      <c r="O59" s="72"/>
      <c r="P59" s="72"/>
      <c r="Q59" s="72"/>
      <c r="R59" s="72"/>
      <c r="S59" s="72"/>
      <c r="T59" s="72"/>
      <c r="U59" s="72"/>
      <c r="V59" s="92"/>
      <c r="W59" s="92"/>
      <c r="X59" s="92"/>
    </row>
    <row r="60" spans="1:24" ht="15.75" x14ac:dyDescent="0.25">
      <c r="E60" s="66" t="s">
        <v>31</v>
      </c>
      <c r="F60" s="67"/>
      <c r="J60" s="63"/>
      <c r="K60" s="21"/>
      <c r="L60" s="77"/>
      <c r="M60" s="82"/>
      <c r="N60" s="72"/>
      <c r="O60" s="72"/>
      <c r="P60" s="72"/>
      <c r="Q60" s="72"/>
      <c r="R60" s="72"/>
      <c r="S60" s="72"/>
      <c r="T60" s="72"/>
      <c r="U60" s="72"/>
      <c r="V60" s="92"/>
      <c r="W60" s="92"/>
      <c r="X60" s="92"/>
    </row>
    <row r="61" spans="1:24" ht="15.75" x14ac:dyDescent="0.25">
      <c r="E61" s="68" t="s">
        <v>32</v>
      </c>
      <c r="F61" s="69"/>
      <c r="G61" s="39" t="s">
        <v>33</v>
      </c>
      <c r="H61" s="62"/>
      <c r="J61" s="63"/>
      <c r="K61" s="21"/>
      <c r="L61" s="82"/>
      <c r="M61" s="83"/>
      <c r="N61" s="72"/>
      <c r="O61" s="72"/>
      <c r="P61" s="72"/>
      <c r="Q61" s="72"/>
      <c r="R61" s="72"/>
      <c r="S61" s="72"/>
      <c r="T61" s="72"/>
      <c r="U61" s="72"/>
      <c r="V61" s="92"/>
      <c r="W61" s="92"/>
      <c r="X61" s="92"/>
    </row>
    <row r="62" spans="1:24" x14ac:dyDescent="0.2">
      <c r="C62" t="s">
        <v>34</v>
      </c>
      <c r="D62" t="s">
        <v>35</v>
      </c>
      <c r="E62" s="20" t="s">
        <v>36</v>
      </c>
      <c r="F62" s="60" t="s">
        <v>37</v>
      </c>
      <c r="G62" s="61" t="s">
        <v>38</v>
      </c>
      <c r="H62" s="56" t="s">
        <v>39</v>
      </c>
      <c r="J62" s="63"/>
      <c r="K62" s="63"/>
      <c r="L62" s="84"/>
      <c r="M62" s="82"/>
      <c r="N62" s="72"/>
      <c r="O62" s="72"/>
      <c r="P62" s="72"/>
      <c r="Q62" s="72"/>
      <c r="R62" s="72"/>
      <c r="S62" s="72"/>
      <c r="T62" s="72"/>
      <c r="U62" s="72"/>
      <c r="V62" s="92"/>
      <c r="W62" s="92"/>
      <c r="X62" s="92"/>
    </row>
    <row r="63" spans="1:24" x14ac:dyDescent="0.2">
      <c r="A63" s="24" t="s">
        <v>38</v>
      </c>
      <c r="B63" s="16" t="s">
        <v>40</v>
      </c>
      <c r="C63" s="16" t="s">
        <v>41</v>
      </c>
      <c r="D63" s="16" t="s">
        <v>41</v>
      </c>
      <c r="E63" s="2" t="s">
        <v>42</v>
      </c>
      <c r="F63" s="60" t="s">
        <v>42</v>
      </c>
      <c r="G63" s="23"/>
      <c r="H63" s="38"/>
      <c r="I63" t="s">
        <v>43</v>
      </c>
      <c r="J63" s="63"/>
      <c r="K63" s="64"/>
      <c r="L63" s="82"/>
      <c r="M63" s="77"/>
      <c r="N63" s="72"/>
      <c r="O63" s="72"/>
      <c r="P63" s="72"/>
      <c r="Q63" s="72"/>
      <c r="R63" s="72"/>
      <c r="S63" s="72"/>
      <c r="T63" s="72"/>
      <c r="U63" s="72"/>
      <c r="V63" s="92"/>
      <c r="W63" s="92"/>
      <c r="X63" s="92"/>
    </row>
    <row r="64" spans="1:24" x14ac:dyDescent="0.2">
      <c r="A64" s="52">
        <f>IF(A23=A15,1,2)</f>
        <v>2</v>
      </c>
      <c r="B64" s="49">
        <v>2</v>
      </c>
      <c r="C64" s="59"/>
      <c r="D64" s="59"/>
      <c r="E64" s="3" t="s">
        <v>44</v>
      </c>
      <c r="F64" s="70" t="s">
        <v>44</v>
      </c>
      <c r="G64" s="23">
        <f>A21*(A20*A19)^2</f>
        <v>0.12550049999999999</v>
      </c>
      <c r="H64" s="38">
        <f>(A19*A20)^2-G64</f>
        <v>0.12550049999999999</v>
      </c>
      <c r="I64">
        <f>H64+G64</f>
        <v>0.25100099999999997</v>
      </c>
      <c r="J64" s="11"/>
      <c r="K64" s="65"/>
      <c r="L64" s="77"/>
      <c r="M64" s="77"/>
      <c r="N64" s="72"/>
      <c r="O64" s="72"/>
      <c r="P64" s="72"/>
      <c r="Q64" s="72"/>
      <c r="R64" s="72"/>
      <c r="S64" s="72"/>
      <c r="T64" s="72"/>
      <c r="U64" s="72"/>
      <c r="V64" s="92"/>
      <c r="W64" s="92"/>
      <c r="X64" s="92"/>
    </row>
    <row r="65" spans="1:24" x14ac:dyDescent="0.2">
      <c r="A65" s="52">
        <f>IF(A$31=A$23,A$46,IF(A$46=N,"",A$46+1))</f>
        <v>3</v>
      </c>
      <c r="B65" s="50">
        <f>IF(A65="","",3)</f>
        <v>3</v>
      </c>
      <c r="C65" s="59">
        <f>IF(A65="","",$A$27-$A$19-Q30*SQRT($Q$28)*SQRT(1/$A$22+1/$A$30))</f>
        <v>0.56353289583670152</v>
      </c>
      <c r="D65" s="27">
        <f>IF(A65="","",$A$27-$A$19+Q30*SQRT($Q$28)*SQRT(1/$A$22+1/$A$30))</f>
        <v>1.4364671041632984</v>
      </c>
      <c r="E65" s="86" t="b">
        <f>IF(A65="","",IF(C65&gt;-N11*A19,TRUE,FALSE))</f>
        <v>1</v>
      </c>
      <c r="F65" s="86" t="b">
        <f>IF(B65="","",IF(D65&lt;N11*A19,TRUE,FALSE))</f>
        <v>1</v>
      </c>
      <c r="G65" s="23">
        <f>IF(A65="","",A29*(A27*A28)^2)</f>
        <v>0.126002</v>
      </c>
      <c r="H65" s="38">
        <f>IF(A65="","",(A27*A28)^2-G65)</f>
        <v>0.126002</v>
      </c>
      <c r="I65">
        <f>IF(A65="","",H65+G65)</f>
        <v>0.25200400000000001</v>
      </c>
      <c r="J65" s="11"/>
      <c r="K65" s="11"/>
      <c r="L65" s="72"/>
      <c r="M65" s="77" t="s">
        <v>51</v>
      </c>
      <c r="N65" s="72">
        <f>IF(A65="",0,IF(AND(E65,F65),4,0))</f>
        <v>4</v>
      </c>
      <c r="O65" s="72"/>
      <c r="P65" s="72"/>
      <c r="Q65" s="72"/>
      <c r="R65" s="72"/>
      <c r="S65" s="72"/>
      <c r="T65" s="72"/>
      <c r="U65" s="72"/>
      <c r="V65" s="92"/>
      <c r="W65" s="92"/>
      <c r="X65" s="92"/>
    </row>
    <row r="66" spans="1:24" x14ac:dyDescent="0.2">
      <c r="A66" s="1" t="s">
        <v>46</v>
      </c>
      <c r="L66" s="72"/>
      <c r="M66" s="72"/>
      <c r="N66" s="72"/>
      <c r="O66" s="72"/>
      <c r="P66" s="72"/>
      <c r="Q66" s="72"/>
      <c r="R66" s="72"/>
      <c r="S66" s="72"/>
      <c r="T66" s="72"/>
      <c r="U66" s="72"/>
      <c r="V66" s="92"/>
      <c r="W66" s="92"/>
      <c r="X66" s="92"/>
    </row>
    <row r="67" spans="1:24" x14ac:dyDescent="0.2">
      <c r="A67" s="88" t="s">
        <v>49</v>
      </c>
      <c r="L67" s="72"/>
      <c r="M67" s="72"/>
      <c r="N67" s="72"/>
      <c r="O67" s="72"/>
      <c r="P67" s="72"/>
      <c r="Q67" s="72"/>
      <c r="R67" s="72"/>
      <c r="S67" s="72"/>
      <c r="T67" s="72"/>
      <c r="U67" s="72"/>
      <c r="V67" s="92"/>
      <c r="W67" s="92"/>
      <c r="X67" s="92"/>
    </row>
    <row r="68" spans="1:24" x14ac:dyDescent="0.2">
      <c r="A68" s="63"/>
      <c r="B68" s="63"/>
      <c r="C68" s="21"/>
      <c r="D68" s="21"/>
      <c r="E68" s="63"/>
      <c r="F68" s="63"/>
      <c r="G68" s="21"/>
      <c r="H68" s="21"/>
      <c r="J68" s="11"/>
      <c r="K68" s="11"/>
      <c r="L68" s="77"/>
      <c r="M68" s="78" t="s">
        <v>52</v>
      </c>
      <c r="N68" s="90">
        <f>N65+N55+N46</f>
        <v>7</v>
      </c>
      <c r="O68" s="72" t="s">
        <v>53</v>
      </c>
      <c r="P68" s="72"/>
      <c r="Q68" s="72"/>
      <c r="R68" s="72"/>
      <c r="S68" s="72"/>
      <c r="T68" s="72"/>
      <c r="U68" s="72"/>
      <c r="V68" s="92"/>
      <c r="W68" s="92"/>
      <c r="X68" s="92"/>
    </row>
    <row r="69" spans="1:24" ht="15.75" x14ac:dyDescent="0.25">
      <c r="A69" s="7" t="s">
        <v>54</v>
      </c>
      <c r="F69" s="54" t="s">
        <v>55</v>
      </c>
      <c r="G69" s="55">
        <f>COUNT(A45,A46,A55)*SUM(A45,A46,A55)</f>
        <v>18</v>
      </c>
      <c r="H69" t="s">
        <v>53</v>
      </c>
      <c r="L69" s="72"/>
      <c r="M69" s="72"/>
      <c r="N69" s="72"/>
      <c r="O69" s="72"/>
      <c r="P69" s="72"/>
      <c r="Q69" s="72"/>
      <c r="R69" s="72"/>
      <c r="S69" s="72"/>
      <c r="T69" s="72"/>
      <c r="U69" s="72"/>
      <c r="V69" s="92"/>
      <c r="W69" s="92"/>
      <c r="X69" s="92"/>
    </row>
    <row r="71" spans="1:24" x14ac:dyDescent="0.2">
      <c r="A71" s="1" t="s">
        <v>56</v>
      </c>
    </row>
    <row r="72" spans="1:24" x14ac:dyDescent="0.2">
      <c r="A72" s="1" t="s">
        <v>57</v>
      </c>
    </row>
    <row r="73" spans="1:24" x14ac:dyDescent="0.2">
      <c r="A73" s="1" t="s">
        <v>58</v>
      </c>
    </row>
    <row r="74" spans="1:24" x14ac:dyDescent="0.2">
      <c r="A74" s="1" t="s">
        <v>59</v>
      </c>
    </row>
    <row r="75" spans="1:24" x14ac:dyDescent="0.2">
      <c r="H75" s="45" t="s">
        <v>60</v>
      </c>
      <c r="M75" s="76"/>
    </row>
    <row r="76" spans="1:24" x14ac:dyDescent="0.2">
      <c r="A76" s="33" t="s">
        <v>38</v>
      </c>
      <c r="B76" s="34" t="s">
        <v>61</v>
      </c>
      <c r="C76" s="57" t="s">
        <v>62</v>
      </c>
      <c r="E76" s="33" t="s">
        <v>63</v>
      </c>
      <c r="F76" s="34" t="s">
        <v>64</v>
      </c>
      <c r="G76" s="40" t="s">
        <v>65</v>
      </c>
      <c r="H76" s="46" t="s">
        <v>66</v>
      </c>
      <c r="M76" s="11"/>
    </row>
    <row r="77" spans="1:24" x14ac:dyDescent="0.2">
      <c r="A77" s="10">
        <v>1</v>
      </c>
      <c r="B77" s="11">
        <f>IF(Case=4,+'CAL 1A'!A15,IF(Case=12,+'CAL 1A'!A15,IF(Case=9,+'CAL 1B'!A16,+'Assay Comparison'!A11)))</f>
        <v>500</v>
      </c>
      <c r="C77" s="36">
        <f>IF(Case=4,+'CAL 1A'!A18,IF(Case=9,+'CAL 1B'!A19,IF(Case=12,+'CAL 1A'!A18,+'Assay Comparison'!A12)))</f>
        <v>1E-3</v>
      </c>
      <c r="E77" s="35">
        <f>IF(AND(Case=18,Matches=4),0,1/C77^2)</f>
        <v>1000000</v>
      </c>
      <c r="F77" s="97">
        <f>E77/SUM($E$77:$E$79)</f>
        <v>0.33333333333333331</v>
      </c>
      <c r="G77" s="96">
        <f>F77*B77</f>
        <v>166.66666666666666</v>
      </c>
      <c r="H77" s="94">
        <f>F77^2*B77^2*C77^2</f>
        <v>2.7777777777777776E-2</v>
      </c>
      <c r="M77" s="21"/>
    </row>
    <row r="78" spans="1:24" x14ac:dyDescent="0.2">
      <c r="A78" s="10">
        <f>IF(N&gt;1,2,"")</f>
        <v>2</v>
      </c>
      <c r="B78" s="11">
        <f>IF(A78="","",IF(Case=6,+A19,IF(Case=12,+A27,IF(Case=15,+'CAL 2A'!A15,IF(Case=18,+A19)))))</f>
        <v>501</v>
      </c>
      <c r="C78" s="36">
        <f>IF(A78="","",IF(Case=6,+A20,IF(Case=12,+A28,IF(Case=15,+'CAL 2A'!A18,IF(Case=18,+A20)))))</f>
        <v>1E-3</v>
      </c>
      <c r="E78" s="35">
        <f>IF(A78="",0,IF(AND(Case=18,Matches=2),0,1/C78^2))</f>
        <v>1000000</v>
      </c>
      <c r="F78" s="97">
        <f>E78/SUM($E$77:$E$79)</f>
        <v>0.33333333333333331</v>
      </c>
      <c r="G78" s="96">
        <f>IF(A78="",0,F78*B78)</f>
        <v>167</v>
      </c>
      <c r="H78" s="94">
        <f>IF(A78="",0,F78^2*B78^2*C78^2)</f>
        <v>2.7888999999999997E-2</v>
      </c>
      <c r="M78" s="21"/>
    </row>
    <row r="79" spans="1:24" x14ac:dyDescent="0.2">
      <c r="A79" s="53">
        <f>IF(N&gt;2,3,"")</f>
        <v>3</v>
      </c>
      <c r="B79" s="12">
        <f>IF(A79="","",+A27)</f>
        <v>502</v>
      </c>
      <c r="C79" s="91">
        <f>IF(A79="","",+A28)</f>
        <v>1E-3</v>
      </c>
      <c r="E79" s="9">
        <f>IF(A79="",0,IF(AND(Case=18,Matches=1),0,1/C79^2))</f>
        <v>1000000</v>
      </c>
      <c r="F79" s="98">
        <f>E79/SUM($E$77:$E$79)</f>
        <v>0.33333333333333331</v>
      </c>
      <c r="G79" s="93">
        <f>IF(A79="",0,F79*B79)</f>
        <v>167.33333333333331</v>
      </c>
      <c r="H79" s="95">
        <f>IF(A79="",0,F79^2*B79^2*C79^2)</f>
        <v>2.8000444444444439E-2</v>
      </c>
    </row>
    <row r="81" spans="1:2" x14ac:dyDescent="0.2">
      <c r="A81" s="47">
        <f>SUM(G77:G79)</f>
        <v>500.99999999999994</v>
      </c>
      <c r="B81" s="1" t="s">
        <v>67</v>
      </c>
    </row>
    <row r="82" spans="1:2" x14ac:dyDescent="0.2">
      <c r="A82" s="47">
        <f>SQRT(SUM(H77:H79))</f>
        <v>0.28925286899566305</v>
      </c>
      <c r="B82" s="1" t="s">
        <v>68</v>
      </c>
    </row>
    <row r="83" spans="1:2" x14ac:dyDescent="0.2">
      <c r="A83" s="48">
        <f>A82/A81</f>
        <v>5.7735103591948715E-4</v>
      </c>
      <c r="B83" s="1" t="s">
        <v>69</v>
      </c>
    </row>
    <row r="84" spans="1:2" ht="15.75" x14ac:dyDescent="0.25">
      <c r="A84" s="8"/>
    </row>
    <row r="85" spans="1:2" x14ac:dyDescent="0.2">
      <c r="A85" s="1" t="s">
        <v>70</v>
      </c>
    </row>
    <row r="86" spans="1:2" x14ac:dyDescent="0.2">
      <c r="A86" t="s">
        <v>71</v>
      </c>
    </row>
    <row r="87" spans="1:2" x14ac:dyDescent="0.2">
      <c r="A87" t="s">
        <v>72</v>
      </c>
    </row>
    <row r="88" spans="1:2" x14ac:dyDescent="0.2">
      <c r="A88" s="1" t="s">
        <v>73</v>
      </c>
    </row>
    <row r="89" spans="1:2" x14ac:dyDescent="0.2">
      <c r="A89" t="s">
        <v>74</v>
      </c>
    </row>
    <row r="91" spans="1:2" x14ac:dyDescent="0.2">
      <c r="A91" s="42" t="s">
        <v>75</v>
      </c>
    </row>
    <row r="92" spans="1:2" x14ac:dyDescent="0.2">
      <c r="A92" s="42" t="s">
        <v>76</v>
      </c>
    </row>
    <row r="93" spans="1:2" x14ac:dyDescent="0.2">
      <c r="A93" s="42" t="s">
        <v>77</v>
      </c>
    </row>
    <row r="94" spans="1:2" x14ac:dyDescent="0.2">
      <c r="A94" s="42" t="s">
        <v>78</v>
      </c>
    </row>
    <row r="95" spans="1:2" x14ac:dyDescent="0.2">
      <c r="A95" s="37" t="s">
        <v>79</v>
      </c>
    </row>
    <row r="97" spans="1:2" x14ac:dyDescent="0.2">
      <c r="A97" t="s">
        <v>80</v>
      </c>
    </row>
    <row r="98" spans="1:2" x14ac:dyDescent="0.2">
      <c r="A98" t="s">
        <v>81</v>
      </c>
    </row>
    <row r="99" spans="1:2" x14ac:dyDescent="0.2">
      <c r="A99" t="s">
        <v>82</v>
      </c>
    </row>
    <row r="101" spans="1:2" x14ac:dyDescent="0.2">
      <c r="A101" t="s">
        <v>83</v>
      </c>
    </row>
    <row r="102" spans="1:2" x14ac:dyDescent="0.2">
      <c r="A102" t="s">
        <v>84</v>
      </c>
    </row>
    <row r="103" spans="1:2" ht="15.75" thickBot="1" x14ac:dyDescent="0.25"/>
    <row r="104" spans="1:2" ht="17.25" thickTop="1" thickBot="1" x14ac:dyDescent="0.3">
      <c r="A104" s="43">
        <f>0.01</f>
        <v>0.01</v>
      </c>
      <c r="B104" s="1" t="s">
        <v>85</v>
      </c>
    </row>
    <row r="105" spans="1:2" ht="16.5" thickTop="1" thickBot="1" x14ac:dyDescent="0.25">
      <c r="A105" s="1"/>
      <c r="B105" s="1"/>
    </row>
    <row r="106" spans="1:2" ht="17.25" thickTop="1" thickBot="1" x14ac:dyDescent="0.3">
      <c r="A106" s="43">
        <v>0</v>
      </c>
      <c r="B106" s="1" t="s">
        <v>86</v>
      </c>
    </row>
    <row r="107" spans="1:2" ht="17.25" thickTop="1" thickBot="1" x14ac:dyDescent="0.3">
      <c r="A107" s="71"/>
      <c r="B107" s="1"/>
    </row>
    <row r="108" spans="1:2" ht="17.25" thickTop="1" thickBot="1" x14ac:dyDescent="0.3">
      <c r="A108" s="43">
        <v>0</v>
      </c>
      <c r="B108" s="1" t="s">
        <v>87</v>
      </c>
    </row>
    <row r="109" spans="1:2" ht="16.5" thickTop="1" thickBot="1" x14ac:dyDescent="0.25"/>
    <row r="110" spans="1:2" ht="16.5" thickTop="1" thickBot="1" x14ac:dyDescent="0.25">
      <c r="A110" s="41">
        <f>SQRT(A104^2+A106^2+A83^2+A108^2)</f>
        <v>1.0016652845071417E-2</v>
      </c>
      <c r="B110" s="1" t="s">
        <v>88</v>
      </c>
    </row>
    <row r="111" spans="1:2" ht="15.75" thickTop="1" x14ac:dyDescent="0.2">
      <c r="B111" s="1" t="s">
        <v>89</v>
      </c>
    </row>
    <row r="113" spans="1:1" x14ac:dyDescent="0.2">
      <c r="A113" s="58"/>
    </row>
  </sheetData>
  <sheetProtection sheet="1" objects="1" scenarios="1"/>
  <pageMargins left="0.75" right="0.75" top="1" bottom="1" header="0.5" footer="0.5"/>
  <pageSetup orientation="portrait"/>
  <headerFooter alignWithMargins="0">
    <oddFooter>&amp;L&amp;F&amp;R&amp;D</oddFooter>
  </headerFooter>
  <rowBreaks count="1" manualBreakCount="1">
    <brk id="34" max="65535" man="1"/>
  </rowBreaks>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80" workbookViewId="0">
      <selection activeCell="A18" sqref="A18"/>
    </sheetView>
  </sheetViews>
  <sheetFormatPr defaultColWidth="8.6640625" defaultRowHeight="15" x14ac:dyDescent="0.2"/>
  <sheetData>
    <row r="1" spans="1:8" x14ac:dyDescent="0.2">
      <c r="A1" s="1" t="s">
        <v>90</v>
      </c>
    </row>
    <row r="2" spans="1:8" x14ac:dyDescent="0.2">
      <c r="A2" s="1" t="s">
        <v>91</v>
      </c>
    </row>
    <row r="3" spans="1:8" ht="15.75" x14ac:dyDescent="0.25">
      <c r="A3" s="30" t="str">
        <f>IF(Case=4,"This sheet is appropriate.",IF(Case=12,"This sheet is appropriate.","This sheet is NOT appropriate."))</f>
        <v>This sheet is NOT appropriate.</v>
      </c>
    </row>
    <row r="4" spans="1:8" x14ac:dyDescent="0.2">
      <c r="A4" s="1" t="s">
        <v>92</v>
      </c>
    </row>
    <row r="6" spans="1:8" ht="18" x14ac:dyDescent="0.2">
      <c r="A6" s="1" t="s">
        <v>93</v>
      </c>
    </row>
    <row r="7" spans="1:8" x14ac:dyDescent="0.2">
      <c r="A7">
        <f>AVERAGE('Assay Comparison'!G45:G46)</f>
        <v>0.12525025000000001</v>
      </c>
    </row>
    <row r="9" spans="1:8" ht="18" x14ac:dyDescent="0.2">
      <c r="A9" s="17" t="s">
        <v>94</v>
      </c>
      <c r="B9" s="18"/>
      <c r="C9" s="19"/>
      <c r="E9" s="4" t="s">
        <v>63</v>
      </c>
      <c r="F9" s="18" t="s">
        <v>95</v>
      </c>
      <c r="G9" s="18"/>
      <c r="H9" s="19" t="s">
        <v>61</v>
      </c>
    </row>
    <row r="10" spans="1:8" x14ac:dyDescent="0.2">
      <c r="A10" s="20" t="s">
        <v>96</v>
      </c>
      <c r="B10" s="21">
        <f>'Assay Comparison'!H45</f>
        <v>0.125</v>
      </c>
      <c r="C10" s="22"/>
      <c r="D10">
        <v>4</v>
      </c>
      <c r="E10" s="20">
        <f>IF(Matches=4,0,1/B10)</f>
        <v>8</v>
      </c>
      <c r="F10" s="21">
        <f>E10/SUM(E10:E11)</f>
        <v>0.50099900000199593</v>
      </c>
      <c r="G10" s="21"/>
      <c r="H10" s="22">
        <f>F10*'Assay Comparison'!A11</f>
        <v>250.49950000099795</v>
      </c>
    </row>
    <row r="11" spans="1:8" x14ac:dyDescent="0.2">
      <c r="A11" s="23" t="s">
        <v>97</v>
      </c>
      <c r="B11" s="24">
        <f>'Assay Comparison'!H46</f>
        <v>0.12550049999999999</v>
      </c>
      <c r="C11" s="25"/>
      <c r="D11">
        <v>2</v>
      </c>
      <c r="E11" s="23">
        <f>IF(Matches=2,0,1/B11)</f>
        <v>7.9680957446384681</v>
      </c>
      <c r="F11" s="24">
        <f>1-F10</f>
        <v>0.49900099999800407</v>
      </c>
      <c r="G11" s="24"/>
      <c r="H11" s="25">
        <f>F11*'Assay Comparison'!A19</f>
        <v>249.99950099900005</v>
      </c>
    </row>
    <row r="12" spans="1:8" x14ac:dyDescent="0.2">
      <c r="A12" s="26" t="s">
        <v>98</v>
      </c>
      <c r="B12" s="27">
        <f>(F11^2*B11)+F10^2*B10</f>
        <v>6.2624875000249491E-2</v>
      </c>
    </row>
    <row r="14" spans="1:8" x14ac:dyDescent="0.2">
      <c r="A14" t="s">
        <v>99</v>
      </c>
    </row>
    <row r="15" spans="1:8" ht="15.75" x14ac:dyDescent="0.25">
      <c r="A15" s="29">
        <f>H11+H10</f>
        <v>500.49900099999797</v>
      </c>
    </row>
    <row r="17" spans="1:1" x14ac:dyDescent="0.2">
      <c r="A17" s="1" t="s">
        <v>100</v>
      </c>
    </row>
    <row r="18" spans="1:1" ht="15.75" x14ac:dyDescent="0.25">
      <c r="A18" s="28">
        <f>IF(OR(Matches&lt;&gt;4,Matches&lt;&gt;2),SQRT(B12+A7)/A15,IF(Matches=2,SQRT(B10+A7)/A15,SQRT(B11+A7)/A15))</f>
        <v>8.6602698832900999E-4</v>
      </c>
    </row>
  </sheetData>
  <sheetProtection sheet="1" objects="1" scenarios="1"/>
  <pageMargins left="0.75" right="0.75" top="1" bottom="1" header="0.5" footer="0.5"/>
  <pageSetup orientation="portrait"/>
  <headerFooter alignWithMargins="0">
    <oddFooter>&amp;L&amp;F&amp;C&amp;A&amp;R&amp;D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80" workbookViewId="0">
      <selection activeCell="A19" sqref="A19"/>
    </sheetView>
  </sheetViews>
  <sheetFormatPr defaultColWidth="8.6640625" defaultRowHeight="15" x14ac:dyDescent="0.2"/>
  <sheetData>
    <row r="1" spans="1:8" x14ac:dyDescent="0.2">
      <c r="A1" s="1" t="s">
        <v>101</v>
      </c>
    </row>
    <row r="2" spans="1:8" x14ac:dyDescent="0.2">
      <c r="A2" s="1" t="s">
        <v>102</v>
      </c>
    </row>
    <row r="3" spans="1:8" ht="15.75" x14ac:dyDescent="0.25">
      <c r="A3" s="30" t="str">
        <f>IF(Case=9,"This sheet is appropriate.","This sheet is NOT appropriate.")</f>
        <v>This sheet is NOT appropriate.</v>
      </c>
    </row>
    <row r="4" spans="1:8" x14ac:dyDescent="0.2">
      <c r="A4" s="1" t="s">
        <v>103</v>
      </c>
    </row>
    <row r="6" spans="1:8" ht="18" x14ac:dyDescent="0.2">
      <c r="A6" s="1" t="s">
        <v>93</v>
      </c>
    </row>
    <row r="7" spans="1:8" x14ac:dyDescent="0.2">
      <c r="A7">
        <f>AVERAGE('Assay Comparison'!G45,'Assay Comparison'!G46,'Assay Comparison'!G55)</f>
        <v>0.12550083333333334</v>
      </c>
    </row>
    <row r="9" spans="1:8" ht="18" x14ac:dyDescent="0.2">
      <c r="A9" s="17" t="s">
        <v>94</v>
      </c>
      <c r="B9" s="18"/>
      <c r="C9" s="19"/>
      <c r="E9" s="4" t="s">
        <v>63</v>
      </c>
      <c r="F9" s="18" t="s">
        <v>95</v>
      </c>
      <c r="G9" s="18"/>
      <c r="H9" s="19" t="s">
        <v>61</v>
      </c>
    </row>
    <row r="10" spans="1:8" x14ac:dyDescent="0.2">
      <c r="A10" s="20" t="s">
        <v>96</v>
      </c>
      <c r="B10" s="21">
        <f>'Assay Comparison'!H45</f>
        <v>0.125</v>
      </c>
      <c r="C10" s="22"/>
      <c r="E10" s="20">
        <f>IF(Matches=4,0,1/B10)</f>
        <v>8</v>
      </c>
      <c r="F10" s="21">
        <f>E10/SUM($E$10:$E$12)</f>
        <v>0.3346653333368747</v>
      </c>
      <c r="G10" s="21"/>
      <c r="H10" s="22">
        <f>F10*'Assay Comparison'!A11</f>
        <v>167.33266666843735</v>
      </c>
    </row>
    <row r="11" spans="1:8" x14ac:dyDescent="0.2">
      <c r="A11" s="20" t="s">
        <v>97</v>
      </c>
      <c r="B11" s="21">
        <f>'Assay Comparison'!H46</f>
        <v>0.12550049999999999</v>
      </c>
      <c r="C11" s="22"/>
      <c r="E11" s="20">
        <f>IF(Matches=2,0,1/B11)</f>
        <v>7.9680957446384681</v>
      </c>
      <c r="F11" s="21">
        <f>E11/SUM($E$10:$E$12)</f>
        <v>0.3333306773049457</v>
      </c>
      <c r="G11" s="21"/>
      <c r="H11" s="22">
        <f>F11*'Assay Comparison'!A19</f>
        <v>166.99866932977778</v>
      </c>
    </row>
    <row r="12" spans="1:8" x14ac:dyDescent="0.2">
      <c r="A12" s="31" t="s">
        <v>104</v>
      </c>
      <c r="B12" s="24">
        <f>'Assay Comparison'!H55</f>
        <v>0.126002</v>
      </c>
      <c r="C12" s="25"/>
      <c r="E12" s="23">
        <f>IF(Matches=1,0,1/B12)</f>
        <v>7.9363819621910761</v>
      </c>
      <c r="F12" s="24">
        <f>1-F10-F11</f>
        <v>0.33200398935817954</v>
      </c>
      <c r="G12" s="24"/>
      <c r="H12" s="25">
        <f>F12*'Assay Comparison'!A27</f>
        <v>166.66600265780613</v>
      </c>
    </row>
    <row r="13" spans="1:8" x14ac:dyDescent="0.2">
      <c r="A13" s="26" t="s">
        <v>98</v>
      </c>
      <c r="B13" s="27">
        <f>F12^2*B12+F11^2*B11+F10^2*B10</f>
        <v>4.1833166667109331E-2</v>
      </c>
    </row>
    <row r="15" spans="1:8" x14ac:dyDescent="0.2">
      <c r="A15" t="s">
        <v>99</v>
      </c>
    </row>
    <row r="16" spans="1:8" ht="15.75" x14ac:dyDescent="0.25">
      <c r="A16" s="29">
        <f>H12+H11+H10</f>
        <v>500.99733865602127</v>
      </c>
    </row>
    <row r="18" spans="1:1" x14ac:dyDescent="0.2">
      <c r="A18" s="1" t="s">
        <v>100</v>
      </c>
    </row>
    <row r="19" spans="1:1" ht="15.75" x14ac:dyDescent="0.25">
      <c r="A19" s="28">
        <f>IF(OR(Matches&lt;&gt;1,Matches&lt;&gt;2,Matches&lt;&gt;4),SQRT(B13+A7)/A16,IF(Matches=4,SQRT(B11+B12+A7)/A16,IF(Matches=2,SQRT(B10+B12+A7)/A16,SQRT(B11+B10+A7)/A16)))</f>
        <v>8.165009182338008E-4</v>
      </c>
    </row>
  </sheetData>
  <sheetProtection sheet="1" objects="1" scenarios="1"/>
  <pageMargins left="0.75" right="0.75" top="1" bottom="1" header="0.5" footer="0.5"/>
  <pageSetup orientation="portrait"/>
  <headerFooter alignWithMargins="0">
    <oddFooter>&amp;L&amp;F&amp;C&amp;A&amp;R&amp;D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80" workbookViewId="0">
      <selection activeCell="A18" sqref="A18"/>
    </sheetView>
  </sheetViews>
  <sheetFormatPr defaultColWidth="8.6640625" defaultRowHeight="15" x14ac:dyDescent="0.2"/>
  <sheetData>
    <row r="1" spans="1:8" x14ac:dyDescent="0.2">
      <c r="A1" s="1" t="s">
        <v>105</v>
      </c>
    </row>
    <row r="2" spans="1:8" x14ac:dyDescent="0.2">
      <c r="A2" s="1" t="s">
        <v>106</v>
      </c>
    </row>
    <row r="3" spans="1:8" ht="15.75" x14ac:dyDescent="0.25">
      <c r="A3" s="30" t="str">
        <f>IF(Case=15,"This sheet is appropriate.","This sheet is NOT appropriate.")</f>
        <v>This sheet is NOT appropriate.</v>
      </c>
    </row>
    <row r="4" spans="1:8" x14ac:dyDescent="0.2">
      <c r="A4" s="1" t="s">
        <v>107</v>
      </c>
    </row>
    <row r="6" spans="1:8" ht="18" x14ac:dyDescent="0.2">
      <c r="A6" s="1" t="s">
        <v>93</v>
      </c>
    </row>
    <row r="7" spans="1:8" x14ac:dyDescent="0.2">
      <c r="A7">
        <f>AVERAGE('Assay Comparison'!G64:G65)</f>
        <v>0.12575124999999998</v>
      </c>
    </row>
    <row r="9" spans="1:8" ht="18" x14ac:dyDescent="0.2">
      <c r="A9" s="17" t="s">
        <v>94</v>
      </c>
      <c r="B9" s="18"/>
      <c r="C9" s="19"/>
      <c r="E9" s="4" t="s">
        <v>63</v>
      </c>
      <c r="F9" s="18" t="s">
        <v>95</v>
      </c>
      <c r="G9" s="18"/>
      <c r="H9" s="19" t="s">
        <v>61</v>
      </c>
    </row>
    <row r="10" spans="1:8" x14ac:dyDescent="0.2">
      <c r="A10" s="32" t="s">
        <v>97</v>
      </c>
      <c r="B10" s="21">
        <f>'Assay Comparison'!H64</f>
        <v>0.12550049999999999</v>
      </c>
      <c r="C10" s="22"/>
      <c r="E10" s="20">
        <f>IF(Matches=2,0,1/B10)</f>
        <v>7.9680957446384681</v>
      </c>
      <c r="F10" s="21">
        <f>E10/SUM(E10:E11)</f>
        <v>0.50099700798202806</v>
      </c>
      <c r="G10" s="21"/>
      <c r="H10" s="22">
        <f>F10*'Assay Comparison'!A19</f>
        <v>250.99950099899607</v>
      </c>
    </row>
    <row r="11" spans="1:8" x14ac:dyDescent="0.2">
      <c r="A11" s="31" t="s">
        <v>104</v>
      </c>
      <c r="B11" s="24">
        <f>'Assay Comparison'!H65</f>
        <v>0.126002</v>
      </c>
      <c r="C11" s="25"/>
      <c r="E11" s="23">
        <f>IF(Matches=1,0,1/B11)</f>
        <v>7.9363819621910761</v>
      </c>
      <c r="F11" s="24">
        <f>1-F10</f>
        <v>0.49900299201797194</v>
      </c>
      <c r="G11" s="24"/>
      <c r="H11" s="25">
        <f>F11*'Assay Comparison'!A27</f>
        <v>250.49950199302191</v>
      </c>
    </row>
    <row r="12" spans="1:8" x14ac:dyDescent="0.2">
      <c r="A12" s="26" t="s">
        <v>98</v>
      </c>
      <c r="B12" s="27">
        <f>F11^2*B11+F10^2*B10</f>
        <v>6.2875375000248507E-2</v>
      </c>
    </row>
    <row r="14" spans="1:8" x14ac:dyDescent="0.2">
      <c r="A14" t="s">
        <v>99</v>
      </c>
    </row>
    <row r="15" spans="1:8" ht="15.75" x14ac:dyDescent="0.25">
      <c r="A15" s="29">
        <f>H11+H10</f>
        <v>501.49900299201795</v>
      </c>
    </row>
    <row r="17" spans="1:1" x14ac:dyDescent="0.2">
      <c r="A17" s="1" t="s">
        <v>100</v>
      </c>
    </row>
    <row r="18" spans="1:1" ht="15.75" x14ac:dyDescent="0.25">
      <c r="A18" s="28">
        <f>IF(OR(Matches&lt;&gt;1,Matches&lt;&gt;2),SQRT(B12+A7)/A15,IF(Matches=1,SQRT(B10+A7)/A15,SQRT(B11+A7)/A15))</f>
        <v>8.6602698201608173E-4</v>
      </c>
    </row>
  </sheetData>
  <sheetProtection sheet="1" objects="1" scenarios="1"/>
  <pageMargins left="0.75" right="0.75" top="1" bottom="1" header="0.5" footer="0.5"/>
  <pageSetup orientation="portrait"/>
  <headerFooter alignWithMargins="0">
    <oddFooter>&amp;L&amp;F&amp;C&amp;A&amp;R&amp;D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Assay Comparison</vt:lpstr>
      <vt:lpstr>CAL 1A</vt:lpstr>
      <vt:lpstr>CAL 1B</vt:lpstr>
      <vt:lpstr>CAL 2A</vt:lpstr>
      <vt:lpstr>Case</vt:lpstr>
      <vt:lpstr>Matches</vt:lpstr>
      <vt:lpstr>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uncertainty calculation</dc:title>
  <dc:subject>assays of candidate standard</dc:subject>
  <dc:creator>Mike Messner</dc:creator>
  <cp:keywords>traceability protocol, calibration, uncertainty</cp:keywords>
  <dc:description>The results of up to three assays are entered together with their 95% uncertainties.  Tests for consistency are made (overlapping confidence intervals are desired) and a grand estimate and its uncertainty are computed.</dc:description>
  <cp:lastModifiedBy>Robert S Wright</cp:lastModifiedBy>
  <dcterms:created xsi:type="dcterms:W3CDTF">1997-07-16T19:27:34Z</dcterms:created>
  <dcterms:modified xsi:type="dcterms:W3CDTF">2016-02-29T22:45:36Z</dcterms:modified>
</cp:coreProperties>
</file>