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0" yWindow="0" windowWidth="25596" windowHeight="14496" tabRatio="852" firstSheet="6" activeTab="9"/>
  </bookViews>
  <sheets>
    <sheet name="Inputs" sheetId="8" r:id="rId1"/>
    <sheet name="Output" sheetId="13" r:id="rId2"/>
    <sheet name="DV-IDENTITY-0" sheetId="20" state="veryHidden" r:id="rId3"/>
    <sheet name="Batch Mix Oper." sheetId="44" r:id="rId4"/>
    <sheet name="Auxiliary Heater" sheetId="4" r:id="rId5"/>
    <sheet name="Non-Emergency Engine" sheetId="47" r:id="rId6"/>
    <sheet name="Emergency Generator" sheetId="27" r:id="rId7"/>
    <sheet name="Vehicle Traffic" sheetId="41" r:id="rId8"/>
    <sheet name="Storage Piles" sheetId="42" r:id="rId9"/>
    <sheet name="Solvent Degreaser" sheetId="46" r:id="rId10"/>
  </sheets>
  <definedNames>
    <definedName name="_xlnm.Print_Area" localSheetId="3">#REF!</definedName>
    <definedName name="_xlnm.Print_Area" localSheetId="0">Inputs!$B$1:$M$41</definedName>
    <definedName name="_xlnm.Print_Area" localSheetId="5">#REF!</definedName>
    <definedName name="_xlnm.Print_Area" localSheetId="9">#REF!</definedName>
    <definedName name="_xlnm.Print_Area" localSheetId="8">#REF!</definedName>
    <definedName name="_xlnm.Print_Area" localSheetId="7">#REF!</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5" i="47" l="1"/>
  <c r="E28" i="47" s="1"/>
  <c r="K33" i="47" s="1"/>
  <c r="L31" i="47"/>
  <c r="I28" i="47"/>
  <c r="H31" i="47" s="1"/>
  <c r="L15" i="47"/>
  <c r="A2" i="47"/>
  <c r="A1" i="47"/>
  <c r="F33" i="47" l="1"/>
  <c r="H33" i="47"/>
  <c r="J33" i="47"/>
  <c r="L33" i="47"/>
  <c r="E33" i="47"/>
  <c r="G33" i="47"/>
  <c r="I33" i="47"/>
  <c r="E12" i="47"/>
  <c r="D11" i="46"/>
  <c r="D12" i="46"/>
  <c r="D13" i="46"/>
  <c r="D14" i="46"/>
  <c r="D10" i="46"/>
  <c r="E15" i="46"/>
  <c r="A2" i="46"/>
  <c r="A1" i="46"/>
  <c r="E14" i="44"/>
  <c r="G14" i="44"/>
  <c r="H23" i="44"/>
  <c r="H37" i="44" s="1"/>
  <c r="E23" i="44"/>
  <c r="G15" i="44"/>
  <c r="G16" i="44"/>
  <c r="H17" i="44"/>
  <c r="F18" i="44"/>
  <c r="G18" i="44" s="1"/>
  <c r="G19" i="44"/>
  <c r="H21" i="44"/>
  <c r="G22" i="44"/>
  <c r="G36" i="44" s="1"/>
  <c r="A1" i="44"/>
  <c r="J23" i="8"/>
  <c r="E26" i="44"/>
  <c r="E27" i="44" s="1"/>
  <c r="E28" i="44" s="1"/>
  <c r="E29" i="44" s="1"/>
  <c r="E30" i="44" s="1"/>
  <c r="E31" i="44" s="1"/>
  <c r="E32" i="44" s="1"/>
  <c r="E33" i="44" s="1"/>
  <c r="E34" i="44" s="1"/>
  <c r="E35" i="44" s="1"/>
  <c r="E36" i="44" s="1"/>
  <c r="E22" i="44"/>
  <c r="E21" i="44"/>
  <c r="E20" i="44"/>
  <c r="E19" i="44"/>
  <c r="E18" i="44"/>
  <c r="E17" i="44"/>
  <c r="E16" i="44"/>
  <c r="E15" i="44"/>
  <c r="E13" i="44"/>
  <c r="A2" i="44"/>
  <c r="I17" i="13"/>
  <c r="F62" i="41"/>
  <c r="G62" i="41"/>
  <c r="F63" i="41"/>
  <c r="G63" i="41"/>
  <c r="F61" i="41"/>
  <c r="G61" i="41"/>
  <c r="G58" i="41"/>
  <c r="G59" i="41"/>
  <c r="G57" i="41"/>
  <c r="F58" i="41"/>
  <c r="F59" i="41"/>
  <c r="F57" i="41"/>
  <c r="E62" i="41"/>
  <c r="E63" i="41"/>
  <c r="E58" i="41"/>
  <c r="E19" i="41" s="1"/>
  <c r="E41" i="41" s="1"/>
  <c r="E59" i="41"/>
  <c r="E20" i="41" s="1"/>
  <c r="E42" i="41" s="1"/>
  <c r="E61" i="41"/>
  <c r="E57" i="41"/>
  <c r="E18" i="41" s="1"/>
  <c r="C62" i="41"/>
  <c r="C63" i="41"/>
  <c r="C61" i="41"/>
  <c r="C58" i="41"/>
  <c r="B19" i="41" s="1"/>
  <c r="B41" i="41" s="1"/>
  <c r="F50" i="41" s="1"/>
  <c r="C59" i="41"/>
  <c r="B20" i="41" s="1"/>
  <c r="B42" i="41" s="1"/>
  <c r="F51" i="41" s="1"/>
  <c r="C57" i="41"/>
  <c r="B18" i="41" s="1"/>
  <c r="B40" i="41" s="1"/>
  <c r="F49" i="41" s="1"/>
  <c r="E46" i="41"/>
  <c r="E21" i="41"/>
  <c r="C7" i="42"/>
  <c r="C6" i="42"/>
  <c r="C5" i="42"/>
  <c r="I25" i="8"/>
  <c r="G18" i="42"/>
  <c r="G17" i="42"/>
  <c r="A2" i="42"/>
  <c r="A1" i="42"/>
  <c r="A2" i="41"/>
  <c r="A1" i="41"/>
  <c r="K17" i="47" l="1"/>
  <c r="I17" i="47"/>
  <c r="G17" i="47"/>
  <c r="E17" i="47"/>
  <c r="L17" i="47"/>
  <c r="J17" i="47"/>
  <c r="H17" i="47"/>
  <c r="F17" i="47"/>
  <c r="L9" i="47"/>
  <c r="J11" i="13" s="1"/>
  <c r="J9" i="47"/>
  <c r="G11" i="13" s="1"/>
  <c r="H9" i="47"/>
  <c r="E11" i="13" s="1"/>
  <c r="F9" i="47"/>
  <c r="C11" i="13" s="1"/>
  <c r="K9" i="47"/>
  <c r="H11" i="13" s="1"/>
  <c r="I9" i="47"/>
  <c r="F11" i="13" s="1"/>
  <c r="G9" i="47"/>
  <c r="D11" i="13" s="1"/>
  <c r="E9" i="47"/>
  <c r="B11" i="13" s="1"/>
  <c r="E14" i="46"/>
  <c r="L23" i="44"/>
  <c r="F19" i="46"/>
  <c r="F20" i="46" s="1"/>
  <c r="J15" i="13" s="1"/>
  <c r="E19" i="46"/>
  <c r="E20" i="46" s="1"/>
  <c r="H15" i="13" s="1"/>
  <c r="E37" i="44"/>
  <c r="K36" i="44"/>
  <c r="H16" i="44"/>
  <c r="L16" i="44" s="1"/>
  <c r="H22" i="44"/>
  <c r="H36" i="44" s="1"/>
  <c r="G20" i="44"/>
  <c r="K20" i="44" s="1"/>
  <c r="H19" i="44"/>
  <c r="I19" i="44" s="1"/>
  <c r="M19" i="44" s="1"/>
  <c r="L21" i="44"/>
  <c r="H20" i="44"/>
  <c r="L20" i="44" s="1"/>
  <c r="G21" i="44"/>
  <c r="H18" i="44"/>
  <c r="L18" i="44" s="1"/>
  <c r="G17" i="44"/>
  <c r="H14" i="44"/>
  <c r="L14" i="44" s="1"/>
  <c r="G13" i="44"/>
  <c r="H13" i="44"/>
  <c r="L13" i="44" s="1"/>
  <c r="G23" i="44"/>
  <c r="G37" i="44" s="1"/>
  <c r="F37" i="44"/>
  <c r="L17" i="44"/>
  <c r="H15" i="44"/>
  <c r="L15" i="44" s="1"/>
  <c r="K13" i="44"/>
  <c r="F32" i="44"/>
  <c r="I14" i="44"/>
  <c r="M14" i="44" s="1"/>
  <c r="K14" i="44"/>
  <c r="I22" i="44"/>
  <c r="M22" i="44" s="1"/>
  <c r="I23" i="44"/>
  <c r="M23" i="44" s="1"/>
  <c r="I21" i="44"/>
  <c r="M21" i="44" s="1"/>
  <c r="I17" i="44"/>
  <c r="M17" i="44" s="1"/>
  <c r="H50" i="41"/>
  <c r="I24" i="41"/>
  <c r="G51" i="41"/>
  <c r="H63" i="41" s="1"/>
  <c r="J57" i="41"/>
  <c r="I62" i="41"/>
  <c r="F26" i="41"/>
  <c r="G50" i="41"/>
  <c r="H62" i="41" s="1"/>
  <c r="I50" i="41"/>
  <c r="J62" i="41" s="1"/>
  <c r="H51" i="41"/>
  <c r="I63" i="41" s="1"/>
  <c r="G25" i="41"/>
  <c r="H58" i="41" s="1"/>
  <c r="I25" i="41"/>
  <c r="J58" i="41" s="1"/>
  <c r="H26" i="41"/>
  <c r="I59" i="41" s="1"/>
  <c r="H24" i="41"/>
  <c r="I57" i="41" s="1"/>
  <c r="F24" i="41"/>
  <c r="F25" i="41"/>
  <c r="I51" i="41"/>
  <c r="J63" i="41" s="1"/>
  <c r="G24" i="41"/>
  <c r="H57" i="41" s="1"/>
  <c r="I26" i="41"/>
  <c r="J59" i="41" s="1"/>
  <c r="G26" i="41"/>
  <c r="H59" i="41" s="1"/>
  <c r="H25" i="41"/>
  <c r="I58" i="41" s="1"/>
  <c r="E40" i="41"/>
  <c r="K15" i="44"/>
  <c r="K17" i="44"/>
  <c r="K19" i="44"/>
  <c r="K21" i="44"/>
  <c r="K16" i="44"/>
  <c r="K18" i="44"/>
  <c r="K22" i="44"/>
  <c r="E20" i="42"/>
  <c r="C26" i="42" s="1"/>
  <c r="D4" i="4"/>
  <c r="E12" i="4" s="1"/>
  <c r="D5" i="4"/>
  <c r="E27" i="4" s="1"/>
  <c r="D6" i="4"/>
  <c r="E42" i="4" s="1"/>
  <c r="I27" i="4"/>
  <c r="H30" i="4" s="1"/>
  <c r="I42" i="4"/>
  <c r="H45" i="4" s="1"/>
  <c r="D5" i="27"/>
  <c r="E12" i="27" s="1"/>
  <c r="D6" i="27"/>
  <c r="E44" i="27" s="1"/>
  <c r="I28" i="27"/>
  <c r="H31" i="27" s="1"/>
  <c r="L31" i="27"/>
  <c r="L15" i="27"/>
  <c r="K47" i="27"/>
  <c r="G31" i="8"/>
  <c r="A1" i="27"/>
  <c r="A1" i="4"/>
  <c r="A1" i="13"/>
  <c r="A2" i="27"/>
  <c r="A2" i="4"/>
  <c r="A2" i="13"/>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HV42" i="20"/>
  <c r="AA32" i="20"/>
  <c r="AL34" i="20"/>
  <c r="HU42" i="20"/>
  <c r="M76" i="20"/>
  <c r="AM34" i="20"/>
  <c r="AS25" i="20"/>
  <c r="HW42" i="20"/>
  <c r="GI68" i="20"/>
  <c r="GC68" i="20"/>
  <c r="GB68" i="20"/>
  <c r="FY68" i="20"/>
  <c r="O17" i="20"/>
  <c r="AT25" i="20"/>
  <c r="FZ68" i="20"/>
  <c r="GE68" i="20"/>
  <c r="GD68" i="20"/>
  <c r="J10" i="20"/>
  <c r="F40" i="20"/>
  <c r="K18" i="20"/>
  <c r="J11" i="20"/>
  <c r="J12" i="20"/>
  <c r="BY18" i="20"/>
  <c r="BZ18" i="20"/>
  <c r="J13" i="20"/>
  <c r="CC18" i="20"/>
  <c r="CB18" i="20"/>
  <c r="CD18" i="20"/>
  <c r="Q32" i="20"/>
  <c r="L27" i="20"/>
  <c r="CA18" i="20"/>
  <c r="AQ25" i="20"/>
  <c r="AR25" i="20"/>
  <c r="FI13" i="20"/>
  <c r="FE13" i="20"/>
  <c r="HR42" i="20"/>
  <c r="HQ42" i="20"/>
  <c r="FH13" i="20"/>
  <c r="HS42" i="20"/>
  <c r="HT42" i="20"/>
  <c r="AG34" i="20"/>
  <c r="AH34" i="20"/>
  <c r="AI34" i="20"/>
  <c r="I18" i="44" l="1"/>
  <c r="M18" i="44" s="1"/>
  <c r="I13" i="44"/>
  <c r="M13" i="44" s="1"/>
  <c r="L19" i="44"/>
  <c r="I16" i="44"/>
  <c r="M16" i="44" s="1"/>
  <c r="I15" i="44"/>
  <c r="M15" i="44" s="1"/>
  <c r="L37" i="44"/>
  <c r="H33" i="44"/>
  <c r="G33" i="44"/>
  <c r="L22" i="44"/>
  <c r="I20" i="44"/>
  <c r="M20" i="44" s="1"/>
  <c r="G30" i="44"/>
  <c r="H30" i="44"/>
  <c r="L30" i="44" s="1"/>
  <c r="H34" i="44"/>
  <c r="G34" i="44"/>
  <c r="G29" i="44"/>
  <c r="H29" i="44"/>
  <c r="G35" i="44"/>
  <c r="H35" i="44"/>
  <c r="G32" i="44"/>
  <c r="H32" i="44"/>
  <c r="G31" i="44"/>
  <c r="H31" i="44"/>
  <c r="G28" i="44"/>
  <c r="H28" i="44"/>
  <c r="H27" i="44"/>
  <c r="L27" i="44" s="1"/>
  <c r="G27" i="44"/>
  <c r="K27" i="44" s="1"/>
  <c r="K28" i="44"/>
  <c r="K23" i="44"/>
  <c r="G49" i="41"/>
  <c r="H61" i="41" s="1"/>
  <c r="H66" i="41" s="1"/>
  <c r="I49" i="41"/>
  <c r="J61" i="41" s="1"/>
  <c r="J66" i="41" s="1"/>
  <c r="H49" i="41"/>
  <c r="I61" i="41" s="1"/>
  <c r="I66" i="41" s="1"/>
  <c r="E21" i="42"/>
  <c r="D26" i="42" s="1"/>
  <c r="E22" i="42"/>
  <c r="D29" i="42"/>
  <c r="C29" i="42"/>
  <c r="G49" i="27"/>
  <c r="E49" i="27"/>
  <c r="F49" i="27"/>
  <c r="F17" i="27"/>
  <c r="E17" i="27"/>
  <c r="L17" i="27"/>
  <c r="G17" i="27"/>
  <c r="H17" i="27"/>
  <c r="I17" i="27"/>
  <c r="J17" i="27"/>
  <c r="K17" i="27"/>
  <c r="L47" i="4"/>
  <c r="F47" i="4"/>
  <c r="G47" i="4"/>
  <c r="H47" i="4"/>
  <c r="I47" i="4"/>
  <c r="J47" i="4"/>
  <c r="K47" i="4"/>
  <c r="E47" i="4"/>
  <c r="L17" i="4"/>
  <c r="F17" i="4"/>
  <c r="G17" i="4"/>
  <c r="H17" i="4"/>
  <c r="I17" i="4"/>
  <c r="J17" i="4"/>
  <c r="K17" i="4"/>
  <c r="E17" i="4"/>
  <c r="L32" i="4"/>
  <c r="F32" i="4"/>
  <c r="G32" i="4"/>
  <c r="H32" i="4"/>
  <c r="I32" i="4"/>
  <c r="J32" i="4"/>
  <c r="K32" i="4"/>
  <c r="E32" i="4"/>
  <c r="K49" i="27"/>
  <c r="J49" i="27"/>
  <c r="I49" i="27"/>
  <c r="H49" i="27"/>
  <c r="E28" i="27"/>
  <c r="E9" i="4" l="1"/>
  <c r="B10" i="13" s="1"/>
  <c r="I27" i="44"/>
  <c r="M27" i="44" s="1"/>
  <c r="I28" i="44"/>
  <c r="M28" i="44" s="1"/>
  <c r="L28" i="44"/>
  <c r="K29" i="44"/>
  <c r="I41" i="42"/>
  <c r="B14" i="13" s="1"/>
  <c r="I42" i="42"/>
  <c r="C14" i="13" s="1"/>
  <c r="J78" i="41"/>
  <c r="C13" i="13" s="1"/>
  <c r="J77" i="41"/>
  <c r="B13" i="13" s="1"/>
  <c r="E26" i="42"/>
  <c r="E29" i="42" s="1"/>
  <c r="Y32" i="20"/>
  <c r="W32" i="20"/>
  <c r="U32" i="20"/>
  <c r="Z32" i="20"/>
  <c r="K9" i="4"/>
  <c r="H10" i="13" s="1"/>
  <c r="I9" i="4"/>
  <c r="F10" i="13" s="1"/>
  <c r="G9" i="4"/>
  <c r="D10" i="13" s="1"/>
  <c r="L9" i="4"/>
  <c r="J10" i="13" s="1"/>
  <c r="G33" i="27"/>
  <c r="G9" i="27" s="1"/>
  <c r="D12" i="13" s="1"/>
  <c r="H33" i="27"/>
  <c r="H9" i="27" s="1"/>
  <c r="E12" i="13" s="1"/>
  <c r="I33" i="27"/>
  <c r="I9" i="27" s="1"/>
  <c r="F12" i="13" s="1"/>
  <c r="J33" i="27"/>
  <c r="J9" i="27" s="1"/>
  <c r="G12" i="13" s="1"/>
  <c r="K33" i="27"/>
  <c r="K9" i="27" s="1"/>
  <c r="H12" i="13" s="1"/>
  <c r="L33" i="27"/>
  <c r="L9" i="27" s="1"/>
  <c r="J12" i="13" s="1"/>
  <c r="F33" i="27"/>
  <c r="F9" i="27" s="1"/>
  <c r="C12" i="13" s="1"/>
  <c r="E33" i="27"/>
  <c r="E9" i="27" s="1"/>
  <c r="B12" i="13" s="1"/>
  <c r="S32" i="20"/>
  <c r="X32" i="20"/>
  <c r="V32" i="20"/>
  <c r="T32" i="20"/>
  <c r="J9" i="4"/>
  <c r="G10" i="13" s="1"/>
  <c r="H9" i="4"/>
  <c r="E10" i="13" s="1"/>
  <c r="F9" i="4"/>
  <c r="C10" i="13" s="1"/>
  <c r="J17" i="13" l="1"/>
  <c r="IU8" i="20"/>
  <c r="IV8" i="20"/>
  <c r="I29" i="44"/>
  <c r="M29" i="44" s="1"/>
  <c r="L29" i="44"/>
  <c r="K30" i="44"/>
  <c r="B9" i="20"/>
  <c r="E17" i="13"/>
  <c r="D9" i="20"/>
  <c r="G17" i="13"/>
  <c r="F9" i="20"/>
  <c r="C9" i="20"/>
  <c r="E9" i="20"/>
  <c r="I30" i="44" l="1"/>
  <c r="M30" i="44" s="1"/>
  <c r="K31" i="44"/>
  <c r="H17" i="13"/>
  <c r="F17" i="13"/>
  <c r="K32" i="44" l="1"/>
  <c r="I31" i="44"/>
  <c r="M31" i="44" s="1"/>
  <c r="L31" i="44"/>
  <c r="K33" i="44" l="1"/>
  <c r="I32" i="44"/>
  <c r="M32" i="44" s="1"/>
  <c r="L32" i="44"/>
  <c r="I33" i="44" l="1"/>
  <c r="M33" i="44" s="1"/>
  <c r="L33" i="44"/>
  <c r="K34" i="44"/>
  <c r="I34" i="44" l="1"/>
  <c r="M34" i="44" s="1"/>
  <c r="L34" i="44"/>
  <c r="K35" i="44"/>
  <c r="I35" i="44" l="1"/>
  <c r="M35" i="44" s="1"/>
  <c r="L35" i="44"/>
  <c r="I36" i="44" l="1"/>
  <c r="M36" i="44" s="1"/>
  <c r="L36" i="44"/>
  <c r="K37" i="44"/>
  <c r="K40" i="44" s="1"/>
  <c r="B9" i="13" l="1"/>
  <c r="B17" i="13" s="1"/>
  <c r="L40" i="44"/>
  <c r="C9" i="13" s="1"/>
  <c r="C17" i="13" s="1"/>
  <c r="I37" i="44"/>
  <c r="M37" i="44" s="1"/>
  <c r="M40" i="44" s="1"/>
  <c r="D9" i="13" s="1"/>
  <c r="D17" i="13" l="1"/>
  <c r="A9" i="20"/>
</calcChain>
</file>

<file path=xl/sharedStrings.xml><?xml version="1.0" encoding="utf-8"?>
<sst xmlns="http://schemas.openxmlformats.org/spreadsheetml/2006/main" count="645" uniqueCount="250">
  <si>
    <t>%</t>
  </si>
  <si>
    <t>Purple values are pulled from other worksheet</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</si>
  <si>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</si>
  <si>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</si>
  <si>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</si>
  <si>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</si>
  <si>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</si>
  <si>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</si>
  <si>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</si>
  <si>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</si>
  <si>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</si>
  <si>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</si>
  <si>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</si>
  <si>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</si>
  <si>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</si>
  <si>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</si>
  <si>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</si>
  <si>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</si>
  <si>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</si>
  <si>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</si>
  <si>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</si>
  <si>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Total</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</si>
  <si>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</si>
  <si>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</si>
  <si>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</si>
  <si>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</si>
  <si>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</si>
  <si>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</si>
  <si>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</si>
  <si>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</si>
  <si>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</si>
  <si>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</si>
  <si>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</si>
  <si>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</si>
  <si>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</si>
  <si>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</si>
  <si>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</si>
  <si>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</si>
  <si>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</si>
  <si>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</si>
  <si>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</si>
  <si>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r>
      <t>Emission Factor</t>
    </r>
    <r>
      <rPr>
        <vertAlign val="superscript"/>
        <sz val="10"/>
        <rFont val="Arial"/>
        <family val="2"/>
      </rPr>
      <t>1</t>
    </r>
    <r>
      <rPr>
        <sz val="10"/>
        <rFont val="Arial"/>
      </rPr>
      <t xml:space="preserve"> (lbs/hp-hr)</t>
    </r>
  </si>
  <si>
    <t>Default = 0.0015</t>
    <phoneticPr fontId="2" type="noConversion"/>
  </si>
  <si>
    <t>Process</t>
  </si>
  <si>
    <t>2. Assume PM emissions are equal to PM10 emissions</t>
  </si>
  <si>
    <t>4. Assume 500 hours/yr of operation for an emergency engine</t>
  </si>
  <si>
    <t>MMBtu = million British thermal units</t>
  </si>
  <si>
    <t>Default = 0.0015</t>
  </si>
  <si>
    <t>Fuel Sulfur %</t>
  </si>
  <si>
    <t>Natural Gas-fired Auxiliary Heater(s) Capacity -</t>
  </si>
  <si>
    <t>Propane-fired Auxiliary Heater(s) Capacity -</t>
  </si>
  <si>
    <t>Distillate/Diesel-fired Auxiliary Heater(s) Capacity -</t>
  </si>
  <si>
    <t>The potential emissions of criteria pollutants and hazardous air pollutants for the facility will be displayed under the "Output" tab.</t>
  </si>
  <si>
    <t>This calculator does not calculate non-emergency engines. Contact your reviewing authority if you use non-emergency engines to power your operations.</t>
  </si>
  <si>
    <t>Diesel-fired Emergency Generator Engine Size:</t>
  </si>
  <si>
    <t>Gasoline-fired Emergency Generator Engine Size:</t>
  </si>
  <si>
    <t>Diesel-fired Emergency Generator(s) Size -</t>
  </si>
  <si>
    <t>Gasoline-fired Emergency Generator(s) Size -</t>
  </si>
  <si>
    <t>Single HAP</t>
  </si>
  <si>
    <t>Total HAPs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</si>
  <si>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</si>
  <si>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</si>
  <si>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</si>
  <si>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</si>
  <si>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</si>
  <si>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</si>
  <si>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Emissions from Emergency Generator Engine - Criteria Pollutants and Hazardous Air Pollutants</t>
  </si>
  <si>
    <t>If the throughput capacity of a piece of equipment limits (or bottlenecks) the maximum throughput of other equipment, then input the bottlenecked capacity of that other equipment, but only if it impacts output of product.</t>
  </si>
  <si>
    <t>Liquid Fuel</t>
  </si>
  <si>
    <r>
      <t>Emission Factor</t>
    </r>
    <r>
      <rPr>
        <vertAlign val="superscript"/>
        <sz val="10"/>
        <rFont val="Arial"/>
        <family val="2"/>
      </rPr>
      <t>1</t>
    </r>
    <r>
      <rPr>
        <sz val="10"/>
        <rFont val="Arial"/>
        <family val="2"/>
      </rPr>
      <t xml:space="preserve"> (lb/MMSCF)</t>
    </r>
  </si>
  <si>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</si>
  <si>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</si>
  <si>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</si>
  <si>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Used</t>
  </si>
  <si>
    <t>-</t>
  </si>
  <si>
    <t>1. Emission factors are from AP-42, Chapter 1.3, Tables 1.3-1, 1.3-2, 1.3-3, 1.3-9, and 1.3-10 for Fuel Oil Combustion (updated 05/10).</t>
  </si>
  <si>
    <t>1. Emission factors are from AP-42, Chapter 1.4, Tables 1.4-1, 1.4-2, 1.4-3, and 1.4-4 (updated 07/98).</t>
  </si>
  <si>
    <t>Emissions from Auxiliary Heaters - Criteria Pollutants and Hazardous Air Pollutants</t>
  </si>
  <si>
    <t>Summary - Total Potential to Emit</t>
  </si>
  <si>
    <t>If you operate multiple facilities of the same type (more than one aggregate conveyor, more than one generator), enter the total rated capacity.</t>
  </si>
  <si>
    <t>hp = horsepower</t>
  </si>
  <si>
    <t>Sand - Transfer to Conveyor</t>
  </si>
  <si>
    <t>Aggregate - Transfer to Conveyor</t>
  </si>
  <si>
    <t>Cement -  Unloading to Elevated Storage</t>
  </si>
  <si>
    <t>Sand - Transfer to Elevated Storage</t>
  </si>
  <si>
    <t>Aggregate - Transfer to Elevated Storage</t>
  </si>
  <si>
    <t>Weigh Hopper Loading</t>
  </si>
  <si>
    <t>Mixer Loading</t>
  </si>
  <si>
    <t>Emissions from Vehicle Traffic - Criteria Pollutants</t>
  </si>
  <si>
    <t>Emissions from Storage Piles - Criteria Pollutants</t>
  </si>
  <si>
    <t>where:</t>
  </si>
  <si>
    <t>w = mean vehicle weight (tons) =</t>
  </si>
  <si>
    <t xml:space="preserve">tons </t>
  </si>
  <si>
    <t>k = empirical constant =</t>
  </si>
  <si>
    <t>for PM</t>
  </si>
  <si>
    <t>for PM10</t>
  </si>
  <si>
    <t>a = empirical constant =</t>
  </si>
  <si>
    <t>b = empirical constant =</t>
  </si>
  <si>
    <t>p = number of days per year with 0.01 inches precipitation =</t>
  </si>
  <si>
    <t>Vehicle Type</t>
  </si>
  <si>
    <t xml:space="preserve">The source will use periodic sweeping to control the fugitive dust emissions. </t>
  </si>
  <si>
    <t>Control Efficiency From Sweeping (%):</t>
  </si>
  <si>
    <t>Where:</t>
  </si>
  <si>
    <t>k = particle size multiplier =</t>
  </si>
  <si>
    <t>s = surface material silt content (%) =</t>
  </si>
  <si>
    <t>W = mean vehicle weight =</t>
  </si>
  <si>
    <t>tons</t>
  </si>
  <si>
    <t>PM10</t>
  </si>
  <si>
    <t>According to AP-42, Chapter 13.2.4 - Aggregate Handling and Storage Piles, the PM/PM10 emission factors for storage piles</t>
  </si>
  <si>
    <t>can be estimated from the following equation:</t>
  </si>
  <si>
    <t>Ef =</t>
  </si>
  <si>
    <r>
      <t>(0.0032 x (U/5)</t>
    </r>
    <r>
      <rPr>
        <vertAlign val="superscript"/>
        <sz val="10"/>
        <rFont val="Arial"/>
        <family val="2"/>
      </rPr>
      <t xml:space="preserve">1.3 </t>
    </r>
    <r>
      <rPr>
        <sz val="10"/>
        <rFont val="Arial"/>
        <family val="2"/>
      </rPr>
      <t>x k)/(M/2)</t>
    </r>
    <r>
      <rPr>
        <vertAlign val="superscript"/>
        <sz val="10"/>
        <rFont val="Arial"/>
        <family val="2"/>
      </rPr>
      <t>1.4</t>
    </r>
  </si>
  <si>
    <t xml:space="preserve">           </t>
  </si>
  <si>
    <t>Ef = Emission Factor (lbs/ton)</t>
  </si>
  <si>
    <t>k = Particle size multiplier =</t>
  </si>
  <si>
    <t>1 for PM and 0.35 for PM10</t>
  </si>
  <si>
    <t>U = Mean wind speed (mph) =</t>
  </si>
  <si>
    <t>M = Moisture content (%) =</t>
  </si>
  <si>
    <t>PM Emission Factor =</t>
  </si>
  <si>
    <t>lbs/ton process</t>
  </si>
  <si>
    <t>PM10 Emission Factor =</t>
  </si>
  <si>
    <t>Site Parameters</t>
  </si>
  <si>
    <t xml:space="preserve">Average Wind Speed </t>
  </si>
  <si>
    <t>(mph)</t>
  </si>
  <si>
    <t xml:space="preserve">Moisture Content of Storage Piles </t>
  </si>
  <si>
    <t>(%)</t>
  </si>
  <si>
    <t>Roadway Traffic - Paved Roads</t>
  </si>
  <si>
    <t>Average Weight of Vehicles (tons)*</t>
  </si>
  <si>
    <t>Roadway Traffic - Unpaved Roads</t>
  </si>
  <si>
    <t>* Average weight = (Tare wt. + Gross (Loaded) Weight) / 2</t>
  </si>
  <si>
    <t>Trip Number
(trips/yr)</t>
  </si>
  <si>
    <t>Round Trip Distance
(mile/trip)</t>
  </si>
  <si>
    <t>Transit Mix Truck</t>
  </si>
  <si>
    <t>Gravel/Sand Delivery Truck</t>
  </si>
  <si>
    <t>Emission factors are from AP-42, Chapter 11.12, Concrete Batching, Tables 11.12-2, 11.12-3, 11.12-4, and 11.12-6. (June 2006)</t>
  </si>
  <si>
    <t>Yards Mix/yr</t>
  </si>
  <si>
    <t>Plant Maximum Production Capacity</t>
  </si>
  <si>
    <t>Cement Supplement -  Unloading to Elevated Storage</t>
  </si>
  <si>
    <t>Plant Equipment Maximum Throughput Capacity</t>
  </si>
  <si>
    <t>Engines and Heaters</t>
  </si>
  <si>
    <r>
      <t xml:space="preserve">Enter the facility's information below in the cells with </t>
    </r>
    <r>
      <rPr>
        <b/>
        <sz val="10"/>
        <color rgb="FFFF0000"/>
        <rFont val="Arial"/>
        <family val="2"/>
      </rPr>
      <t>red text</t>
    </r>
    <r>
      <rPr>
        <sz val="10"/>
        <rFont val="Arial"/>
      </rPr>
      <t xml:space="preserve">. 
Write the letter "Y" or "N" next to each fuel type to indicate that the facility does or does not burn that type of fuel. </t>
    </r>
  </si>
  <si>
    <t>(tons/hr)</t>
  </si>
  <si>
    <t xml:space="preserve">Maximum Throughput Rate </t>
  </si>
  <si>
    <t>tons/hr</t>
  </si>
  <si>
    <t>Emission Factors:</t>
  </si>
  <si>
    <t>Uncontrolled PM/PM10 (tons/yr) = Maximum Throughput Rate (tons/hr) x Emission Factor (lbs/ton) x 8,760 hr/yr x 1 ton/2,000 lbs</t>
  </si>
  <si>
    <t>PM2.5 Emission Factor =</t>
  </si>
  <si>
    <t>Emission Factor (lbs/ton)</t>
  </si>
  <si>
    <t>Vehicle Traffic</t>
  </si>
  <si>
    <t>Number of days with &gt;0.01 inches precipitation</t>
  </si>
  <si>
    <t>days/yr</t>
  </si>
  <si>
    <t>MMBtu/hr</t>
  </si>
  <si>
    <t>mph</t>
  </si>
  <si>
    <t>units</t>
  </si>
  <si>
    <r>
      <t>E</t>
    </r>
    <r>
      <rPr>
        <vertAlign val="subscript"/>
        <sz val="10"/>
        <rFont val="Arial"/>
        <family val="2"/>
      </rPr>
      <t>ext</t>
    </r>
    <r>
      <rPr>
        <sz val="10"/>
        <rFont val="Arial"/>
      </rPr>
      <t xml:space="preserve"> = emission factor (lb/vehicle mile traveled)</t>
    </r>
  </si>
  <si>
    <t>According to AP 42, Chapter 13.2.1 - Paved Roads (01/2011), the PM/PM10/PM2.5 emission factors for paved roads can be estimated from the following equation:</t>
  </si>
  <si>
    <t>for PM2.5</t>
  </si>
  <si>
    <t>Reference:</t>
  </si>
  <si>
    <r>
      <t xml:space="preserve"> (g/m</t>
    </r>
    <r>
      <rPr>
        <vertAlign val="superscript"/>
        <sz val="10"/>
        <rFont val="Arial"/>
      </rPr>
      <t>2</t>
    </r>
    <r>
      <rPr>
        <sz val="10"/>
        <rFont val="Arial"/>
      </rPr>
      <t>)</t>
    </r>
  </si>
  <si>
    <t>AP 42, Table 13.2.1-3</t>
  </si>
  <si>
    <t>AP-42, Table 13.2.1-1</t>
  </si>
  <si>
    <r>
      <t>sL = road surface silt loading (g/m</t>
    </r>
    <r>
      <rPr>
        <vertAlign val="superscript"/>
        <sz val="10"/>
        <rFont val="Arial"/>
      </rPr>
      <t>2</t>
    </r>
    <r>
      <rPr>
        <sz val="10"/>
        <rFont val="Arial"/>
      </rPr>
      <t>) =</t>
    </r>
  </si>
  <si>
    <t xml:space="preserve"> AP 42 Emission Factors - Paved Roads</t>
  </si>
  <si>
    <t>Provided by Applicant</t>
  </si>
  <si>
    <t xml:space="preserve"> AP 42 Emission Factors - Unpaved Roads</t>
  </si>
  <si>
    <t>According to AP 42, Section 13.2.2 Unpaved Roads (11/2006), the PM/PM10/PM2.5 emission factors for unpaved roads can be estimated from the following equation:</t>
  </si>
  <si>
    <t>days</t>
  </si>
  <si>
    <t>AP 42, Table 13.2.2-1</t>
  </si>
  <si>
    <r>
      <t>E</t>
    </r>
    <r>
      <rPr>
        <vertAlign val="subscript"/>
        <sz val="10"/>
        <rFont val="Arial"/>
        <family val="2"/>
      </rPr>
      <t>ext</t>
    </r>
    <r>
      <rPr>
        <sz val="10"/>
        <rFont val="Arial"/>
        <family val="2"/>
      </rPr>
      <t xml:space="preserve"> = (k (sL)</t>
    </r>
    <r>
      <rPr>
        <vertAlign val="superscript"/>
        <sz val="10"/>
        <rFont val="Arial"/>
      </rPr>
      <t xml:space="preserve">0.91 </t>
    </r>
    <r>
      <rPr>
        <sz val="10"/>
        <rFont val="Arial"/>
      </rPr>
      <t>(W)</t>
    </r>
    <r>
      <rPr>
        <vertAlign val="superscript"/>
        <sz val="10"/>
        <rFont val="Arial"/>
      </rPr>
      <t>1.02</t>
    </r>
    <r>
      <rPr>
        <sz val="10"/>
        <rFont val="Arial"/>
      </rPr>
      <t>) (1 - p/(4 x 365))</t>
    </r>
  </si>
  <si>
    <r>
      <t>E</t>
    </r>
    <r>
      <rPr>
        <vertAlign val="subscript"/>
        <sz val="10"/>
        <rFont val="Arial"/>
        <family val="2"/>
      </rPr>
      <t>ext</t>
    </r>
    <r>
      <rPr>
        <sz val="10"/>
        <rFont val="Arial"/>
        <family val="2"/>
      </rPr>
      <t xml:space="preserve"> = k (s/12)</t>
    </r>
    <r>
      <rPr>
        <vertAlign val="superscript"/>
        <sz val="10"/>
        <rFont val="Arial"/>
      </rPr>
      <t>a</t>
    </r>
    <r>
      <rPr>
        <sz val="10"/>
        <rFont val="Arial"/>
      </rPr>
      <t xml:space="preserve"> (W/3)</t>
    </r>
    <r>
      <rPr>
        <vertAlign val="superscript"/>
        <sz val="10"/>
        <rFont val="Arial"/>
      </rPr>
      <t xml:space="preserve">b </t>
    </r>
    <r>
      <rPr>
        <sz val="10"/>
        <rFont val="Arial"/>
      </rPr>
      <t>x (365-p)/365</t>
    </r>
  </si>
  <si>
    <t>PM10/PM2.5</t>
  </si>
  <si>
    <t>AP 42, Table 13.2.2-2</t>
  </si>
  <si>
    <t>Potential to Emit</t>
  </si>
  <si>
    <t>Paved Roads</t>
  </si>
  <si>
    <t>Unpaved Roads</t>
  </si>
  <si>
    <t>Road Type</t>
  </si>
  <si>
    <t>Trips/year</t>
  </si>
  <si>
    <t>Distance (miles)</t>
  </si>
  <si>
    <t>Avg. Wt. (tons)</t>
  </si>
  <si>
    <t>Throughput</t>
  </si>
  <si>
    <t>Materials Handling Process</t>
  </si>
  <si>
    <t>PTE (ton/yr) = Throughput (tons/hr) x EF (lb/ton) x 8760 hr x 1 ton/2000 lb</t>
  </si>
  <si>
    <t>Controlled Emissions (ton/yr)</t>
  </si>
  <si>
    <t>Materials Handling and Loading</t>
  </si>
  <si>
    <t>OR</t>
  </si>
  <si>
    <t>Emission Factor (lb/ton)</t>
  </si>
  <si>
    <t>Emission Factor (lb/yard)</t>
  </si>
  <si>
    <t>Calculation Methodology</t>
  </si>
  <si>
    <t>Controlled?</t>
  </si>
  <si>
    <t>Is the Dry Mix and Water Mixed Prior to Loading (Mixer Loading) or After Loading (Truck Loading)?          [Choose One]</t>
  </si>
  <si>
    <t>Units</t>
  </si>
  <si>
    <t>Amount</t>
  </si>
  <si>
    <t>Truck Loading</t>
  </si>
  <si>
    <t>Controlled Emissions from Concrete Batch Mix Materials Handling - Criteria Pollutants</t>
  </si>
  <si>
    <t xml:space="preserve">Controlled? </t>
  </si>
  <si>
    <t>PM 2.5 emission factors are from AP-42, Chapter 11.12, Concrete Batching, Background Document, Table 17.1. (June 2006)</t>
  </si>
  <si>
    <t>PM2.5</t>
  </si>
  <si>
    <t>Emission Factors (lb/mile)</t>
  </si>
  <si>
    <t>Methodology:</t>
  </si>
  <si>
    <t>PTE (tons/yr) = Trips/yr x Distance (miles) x Emission Factor (lb/mile) x 1 ton/2,000 lbs</t>
  </si>
  <si>
    <t>PM Emissions After Control (tons/yr) = PTE Before Control (tons/yr) x (1 - Control Efficiency From Sweeping/Watering (%)) =</t>
  </si>
  <si>
    <t>PM10 Emissions After Control (tons/yr) = PTE Before Control (tons/yr) x (1 - Control Efficiency From Sweeping/Watering (%)) =</t>
  </si>
  <si>
    <t xml:space="preserve">   [EPA will assume 50% control from following fugitive dust control plan for roadways.]</t>
  </si>
  <si>
    <t>Controlled Emissions PM/PM10</t>
  </si>
  <si>
    <t>Storage Piles</t>
  </si>
  <si>
    <t>Control Efficiency From Watering (%):</t>
  </si>
  <si>
    <t>Note: Emissions from vehicle traffic and storage piles are considered fugitive emissions and are not counted towards PTE, as concrete batching is not one of the 28 listed source categories.</t>
  </si>
  <si>
    <t>Weigh Hopper Loading (Sand and Aggregate Only)</t>
  </si>
  <si>
    <t>Mixer Loading (Cement and Cement Supplement Only)</t>
  </si>
  <si>
    <t>Transit Mix Truck Loading (Cement and Cement Supp. Only)</t>
  </si>
  <si>
    <t>Railcar/Barge/Truck Sand Unloading</t>
  </si>
  <si>
    <t>Railcar/Barge/Truck Aggregate Unloading</t>
  </si>
  <si>
    <t>Assume that transfer of sand and aggregate to elevated storage and weigh hopper loading has a capture/control efficiency of 90%.</t>
  </si>
  <si>
    <t>PTE (ton/yr) = Yards mix/yr x EF (lb/yard) x 1 ton/2000 lb</t>
  </si>
  <si>
    <t>Emissions from Solvent Degreasers - Criteria Pollutants and Hazardous Air Pollutants</t>
  </si>
  <si>
    <t>PTE (ton/yr) = Solvent Use (gal/yr) x Density (lb/gal) x % VOC Content x 1 ton/2,000 lb</t>
  </si>
  <si>
    <t>Note: Enter whole number  for percent. If VOC content is 50 percent, enter "50".</t>
  </si>
  <si>
    <t>Note: Enter whole number  for percent. If HAP content is 50 percent, enter "50".</t>
  </si>
  <si>
    <t>Solvent Degreasing</t>
  </si>
  <si>
    <t>Controlled Emissions (ton/yr) = PTE (ton/yr) x ( 1 - (Recycled Solvent (gal/yr)/Purchased Solvent (gal/yr)))</t>
  </si>
  <si>
    <t>INPUT THE FOLLOWING INFORMATION ABOUT ONSITE SOLVENT USE</t>
  </si>
  <si>
    <t xml:space="preserve">Annual Solvent Use/Purchases (gal/year) </t>
  </si>
  <si>
    <t>Solvent Density (lbs/gal)</t>
  </si>
  <si>
    <t>Solvent VOC Content (%)</t>
  </si>
  <si>
    <t>Solvent HAP Content (%)</t>
  </si>
  <si>
    <t>Solvent Sent Offsite for Recycling (gal/yr)</t>
  </si>
  <si>
    <r>
      <rPr>
        <b/>
        <sz val="12"/>
        <color theme="6" tint="-0.249977111117893"/>
        <rFont val="Arial"/>
        <family val="2"/>
      </rPr>
      <t>Enter the maximum capacity information for the equipment at your concrete batch mix operation (lines 14 - 24)</t>
    </r>
    <r>
      <rPr>
        <b/>
        <sz val="12"/>
        <rFont val="Arial"/>
        <family val="2"/>
      </rPr>
      <t xml:space="preserve">
</t>
    </r>
    <r>
      <rPr>
        <b/>
        <sz val="12"/>
        <color rgb="FFFF0000"/>
        <rFont val="Arial"/>
        <family val="2"/>
      </rPr>
      <t xml:space="preserve">OR 
</t>
    </r>
    <r>
      <rPr>
        <b/>
        <sz val="12"/>
        <color theme="5" tint="-0.249977111117893"/>
        <rFont val="Arial"/>
        <family val="2"/>
      </rPr>
      <t>Enter the maximum number of yards of concrete your plant can deliver (maximum production capacity) in one year (line 26).</t>
    </r>
  </si>
  <si>
    <t/>
  </si>
  <si>
    <t>Onsite Solvent Usage</t>
  </si>
  <si>
    <t>Other Delivery Truck</t>
  </si>
  <si>
    <t xml:space="preserve">(gal/year) </t>
  </si>
  <si>
    <t>Annual Solvent Use/Purchases</t>
  </si>
  <si>
    <t xml:space="preserve">Solvent Density </t>
  </si>
  <si>
    <t xml:space="preserve">Solvent VOC Content </t>
  </si>
  <si>
    <t xml:space="preserve">Solvent HAP Content </t>
  </si>
  <si>
    <t xml:space="preserve">Solvent Sent Offsite for Recycling </t>
  </si>
  <si>
    <t>(gal/yr)</t>
  </si>
  <si>
    <t>(lbs/gal)</t>
  </si>
  <si>
    <t>y</t>
  </si>
  <si>
    <t xml:space="preserve">Potential to Emit </t>
  </si>
  <si>
    <t>Auxiliary Heater(s)</t>
  </si>
  <si>
    <t>Emergency Generators</t>
  </si>
  <si>
    <t>tons/yr</t>
  </si>
  <si>
    <t>Assumes equipment is controlled, as required by GP</t>
  </si>
  <si>
    <t>Potential To Emit Calculator for Concrete Batch Plants</t>
  </si>
  <si>
    <t>Diesel-fired Non-Emergency Engine(s) Size -</t>
  </si>
  <si>
    <t xml:space="preserve">Natural Gas/Propane-fired Emergency Generator(s) Size - </t>
  </si>
  <si>
    <t>Non-Emergency Engines</t>
  </si>
  <si>
    <t>Directions:</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</si>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</sst>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
    <numFmt numFmtId="167" formatCode="#,##0.0000"/>
    <numFmt numFmtId="168" formatCode="0.00000"/>
  </numFmts>
  <fonts count="35"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rgb="FF7030A0"/>
      <name val="Arial"/>
      <family val="2"/>
    </font>
    <font>
      <b/>
      <sz val="10"/>
      <color rgb="FF0070C0"/>
      <name val="Arial"/>
      <family val="2"/>
    </font>
    <font>
      <sz val="10"/>
      <color rgb="FF0070C0"/>
      <name val="Arial"/>
      <family val="2"/>
    </font>
    <font>
      <sz val="8"/>
      <name val="Verdana"/>
    </font>
    <font>
      <sz val="10"/>
      <name val="Arial"/>
      <family val="2"/>
    </font>
    <font>
      <u/>
      <sz val="10"/>
      <color theme="10"/>
      <name val="Arial"/>
    </font>
    <font>
      <u/>
      <sz val="10"/>
      <color theme="11"/>
      <name val="Arial"/>
    </font>
    <font>
      <sz val="10"/>
      <color rgb="FFFF0000"/>
      <name val="Arial"/>
      <family val="2"/>
    </font>
    <font>
      <u/>
      <sz val="10"/>
      <color theme="10"/>
      <name val="Arial"/>
      <family val="2"/>
    </font>
    <font>
      <sz val="12"/>
      <name val="Arial"/>
      <family val="2"/>
    </font>
    <font>
      <b/>
      <sz val="10"/>
      <name val="Arial"/>
    </font>
    <font>
      <vertAlign val="superscript"/>
      <sz val="10"/>
      <name val="Arial"/>
    </font>
    <font>
      <sz val="10"/>
      <color indexed="8"/>
      <name val="Arial"/>
    </font>
    <font>
      <b/>
      <i/>
      <sz val="10"/>
      <color indexed="10"/>
      <name val="Arial"/>
      <family val="2"/>
    </font>
    <font>
      <b/>
      <sz val="10"/>
      <color rgb="FFFF0000"/>
      <name val="Arial"/>
      <family val="2"/>
    </font>
    <font>
      <b/>
      <sz val="12"/>
      <color rgb="FFFF0000"/>
      <name val="Arial"/>
      <family val="2"/>
    </font>
    <font>
      <b/>
      <sz val="12"/>
      <color theme="5" tint="-0.249977111117893"/>
      <name val="Arial"/>
      <family val="2"/>
    </font>
    <font>
      <b/>
      <sz val="12"/>
      <color theme="6" tint="-0.249977111117893"/>
      <name val="Arial"/>
      <family val="2"/>
    </font>
    <font>
      <b/>
      <sz val="10"/>
      <color theme="6"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73">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style="medium">
        <color auto="1"/>
      </left>
      <right/>
      <top style="thick">
        <color auto="1"/>
      </top>
      <bottom/>
      <diagonal/>
    </border>
    <border>
      <left/>
      <right style="thick">
        <color auto="1"/>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auto="1"/>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auto="1"/>
      </left>
      <right style="medium">
        <color indexed="64"/>
      </right>
      <top/>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top/>
      <bottom style="double">
        <color indexed="64"/>
      </bottom>
      <diagonal/>
    </border>
    <border>
      <left/>
      <right style="thin">
        <color auto="1"/>
      </right>
      <top/>
      <bottom style="double">
        <color indexed="64"/>
      </bottom>
      <diagonal/>
    </border>
    <border>
      <left style="medium">
        <color indexed="64"/>
      </left>
      <right/>
      <top/>
      <bottom style="double">
        <color indexed="64"/>
      </bottom>
      <diagonal/>
    </border>
    <border>
      <left style="thin">
        <color indexed="64"/>
      </left>
      <right style="medium">
        <color indexed="64"/>
      </right>
      <top style="thin">
        <color auto="1"/>
      </top>
      <bottom/>
      <diagonal/>
    </border>
    <border>
      <left/>
      <right/>
      <top style="thin">
        <color auto="1"/>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double">
        <color auto="1"/>
      </top>
      <bottom style="medium">
        <color indexed="64"/>
      </bottom>
      <diagonal/>
    </border>
    <border>
      <left style="medium">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auto="1"/>
      </left>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double">
        <color indexed="64"/>
      </bottom>
      <diagonal/>
    </border>
    <border>
      <left style="thin">
        <color indexed="64"/>
      </left>
      <right/>
      <top style="medium">
        <color indexed="64"/>
      </top>
      <bottom style="thin">
        <color auto="1"/>
      </bottom>
      <diagonal/>
    </border>
  </borders>
  <cellStyleXfs count="6">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384">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0" fillId="0" borderId="0" xfId="0" applyNumberFormat="1" applyAlignment="1">
      <alignment horizontal="left" vertical="top" wrapText="1"/>
    </xf>
    <xf numFmtId="0" fontId="5" fillId="0" borderId="0" xfId="0" applyFont="1" applyBorder="1"/>
    <xf numFmtId="0" fontId="9" fillId="0" borderId="0" xfId="0" applyFont="1" applyAlignment="1"/>
    <xf numFmtId="14" fontId="0" fillId="0" borderId="0" xfId="0" applyNumberFormat="1" applyAlignment="1"/>
    <xf numFmtId="0" fontId="16" fillId="0" borderId="0" xfId="0" applyFont="1"/>
    <xf numFmtId="0" fontId="5" fillId="0" borderId="2" xfId="0" applyFont="1" applyBorder="1"/>
    <xf numFmtId="0" fontId="11" fillId="0" borderId="0" xfId="0" applyFont="1"/>
    <xf numFmtId="0" fontId="12" fillId="0" borderId="0" xfId="0" applyFont="1"/>
    <xf numFmtId="0" fontId="13" fillId="0" borderId="0" xfId="0" applyFont="1"/>
    <xf numFmtId="0" fontId="5" fillId="0" borderId="8" xfId="0" applyFont="1" applyBorder="1" applyAlignment="1">
      <alignment horizontal="center"/>
    </xf>
    <xf numFmtId="0" fontId="5" fillId="0" borderId="3" xfId="0" applyFont="1" applyBorder="1"/>
    <xf numFmtId="0" fontId="5" fillId="0" borderId="7" xfId="0" applyFont="1" applyBorder="1"/>
    <xf numFmtId="0" fontId="13" fillId="0" borderId="0" xfId="0" applyFont="1" applyBorder="1"/>
    <xf numFmtId="0" fontId="12" fillId="0" borderId="0" xfId="0" applyFont="1" applyBorder="1"/>
    <xf numFmtId="0" fontId="0" fillId="0" borderId="0" xfId="0" applyFont="1" applyFill="1" applyBorder="1" applyAlignment="1">
      <alignment horizontal="center"/>
    </xf>
    <xf numFmtId="166" fontId="13" fillId="0" borderId="0" xfId="0" applyNumberFormat="1" applyFont="1" applyBorder="1" applyAlignment="1">
      <alignment horizontal="center"/>
    </xf>
    <xf numFmtId="0" fontId="13"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0" xfId="0" applyFont="1" applyBorder="1"/>
    <xf numFmtId="0" fontId="5" fillId="2" borderId="1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5" fillId="0" borderId="18" xfId="0" applyFont="1" applyBorder="1" applyAlignment="1">
      <alignment horizontal="center"/>
    </xf>
    <xf numFmtId="166" fontId="5" fillId="0" borderId="19" xfId="0" applyNumberFormat="1" applyFont="1" applyBorder="1" applyAlignment="1">
      <alignment horizontal="center"/>
    </xf>
    <xf numFmtId="0" fontId="13" fillId="0" borderId="6" xfId="0" applyFont="1" applyBorder="1"/>
    <xf numFmtId="0" fontId="5" fillId="2" borderId="9" xfId="0" applyFont="1" applyFill="1" applyBorder="1" applyAlignment="1">
      <alignment horizontal="center"/>
    </xf>
    <xf numFmtId="0" fontId="5" fillId="2" borderId="11" xfId="0" applyFont="1" applyFill="1" applyBorder="1" applyAlignment="1">
      <alignment horizontal="center"/>
    </xf>
    <xf numFmtId="0" fontId="5" fillId="0" borderId="20" xfId="0" applyFont="1" applyBorder="1"/>
    <xf numFmtId="0" fontId="5" fillId="0" borderId="8"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66" fontId="5" fillId="0" borderId="21" xfId="0" applyNumberFormat="1" applyFont="1" applyBorder="1" applyAlignment="1">
      <alignment horizontal="center"/>
    </xf>
    <xf numFmtId="2" fontId="17" fillId="0" borderId="18" xfId="0" applyNumberFormat="1" applyFont="1" applyBorder="1" applyAlignment="1">
      <alignment horizontal="center"/>
    </xf>
    <xf numFmtId="2" fontId="17" fillId="0" borderId="12" xfId="0" applyNumberFormat="1" applyFont="1" applyBorder="1" applyAlignment="1">
      <alignment horizontal="center"/>
    </xf>
    <xf numFmtId="2" fontId="17" fillId="0" borderId="14" xfId="0" applyNumberFormat="1" applyFont="1" applyBorder="1" applyAlignment="1">
      <alignment horizontal="center"/>
    </xf>
    <xf numFmtId="3" fontId="16" fillId="0" borderId="0" xfId="0" applyNumberFormat="1" applyFont="1"/>
    <xf numFmtId="0" fontId="18" fillId="0" borderId="0" xfId="0" applyFont="1"/>
    <xf numFmtId="0" fontId="5" fillId="0" borderId="0" xfId="0" applyFont="1" applyFill="1" applyBorder="1" applyAlignment="1">
      <alignment horizontal="center"/>
    </xf>
    <xf numFmtId="11" fontId="5" fillId="0" borderId="23" xfId="0" applyNumberFormat="1" applyFont="1" applyBorder="1" applyAlignment="1">
      <alignment horizontal="center"/>
    </xf>
    <xf numFmtId="11" fontId="5" fillId="0" borderId="21" xfId="0" applyNumberFormat="1" applyFont="1" applyBorder="1" applyAlignment="1">
      <alignment horizontal="center"/>
    </xf>
    <xf numFmtId="11" fontId="5" fillId="0" borderId="22" xfId="0" applyNumberFormat="1" applyFont="1" applyBorder="1" applyAlignment="1">
      <alignment horizontal="center"/>
    </xf>
    <xf numFmtId="11" fontId="5" fillId="0" borderId="8" xfId="0" applyNumberFormat="1" applyFont="1" applyBorder="1" applyAlignment="1">
      <alignment horizontal="center"/>
    </xf>
    <xf numFmtId="11" fontId="5" fillId="0" borderId="24" xfId="0" applyNumberFormat="1" applyFont="1" applyBorder="1" applyAlignment="1">
      <alignment horizontal="center"/>
    </xf>
    <xf numFmtId="0" fontId="9" fillId="0" borderId="0" xfId="0" applyFont="1" applyAlignment="1">
      <alignment horizontal="center"/>
    </xf>
    <xf numFmtId="0" fontId="0" fillId="0" borderId="0" xfId="0" applyAlignment="1"/>
    <xf numFmtId="0" fontId="20" fillId="0" borderId="0" xfId="0" applyFont="1" applyBorder="1"/>
    <xf numFmtId="0" fontId="20" fillId="0" borderId="0" xfId="0" applyFont="1"/>
    <xf numFmtId="0" fontId="0" fillId="0" borderId="0" xfId="0" applyFont="1" applyBorder="1" applyAlignment="1">
      <alignment vertical="top" wrapText="1"/>
    </xf>
    <xf numFmtId="0" fontId="0" fillId="0" borderId="0" xfId="0" applyAlignment="1">
      <alignment vertical="top" wrapText="1"/>
    </xf>
    <xf numFmtId="0" fontId="24" fillId="0" borderId="0" xfId="5" applyAlignment="1" applyProtection="1"/>
    <xf numFmtId="0" fontId="16" fillId="0" borderId="0" xfId="0" applyFont="1" applyAlignment="1">
      <alignment horizontal="center"/>
    </xf>
    <xf numFmtId="167" fontId="16" fillId="0" borderId="0" xfId="0" applyNumberFormat="1" applyFont="1"/>
    <xf numFmtId="0" fontId="20" fillId="2" borderId="10"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7" xfId="0" applyFont="1" applyBorder="1" applyAlignment="1">
      <alignment horizontal="center"/>
    </xf>
    <xf numFmtId="2" fontId="17" fillId="0" borderId="27" xfId="0" applyNumberFormat="1" applyFont="1" applyBorder="1" applyAlignment="1">
      <alignment horizontal="center"/>
    </xf>
    <xf numFmtId="11" fontId="5" fillId="0" borderId="28" xfId="0" applyNumberFormat="1" applyFont="1" applyBorder="1" applyAlignment="1">
      <alignment horizontal="center"/>
    </xf>
    <xf numFmtId="0" fontId="5" fillId="0" borderId="29" xfId="0" applyFont="1" applyBorder="1" applyAlignment="1">
      <alignment horizontal="center"/>
    </xf>
    <xf numFmtId="0" fontId="13" fillId="0" borderId="30" xfId="0" applyFont="1" applyBorder="1" applyAlignment="1">
      <alignment horizontal="center"/>
    </xf>
    <xf numFmtId="0" fontId="13" fillId="0" borderId="31" xfId="0" applyFont="1" applyBorder="1" applyAlignment="1">
      <alignment horizontal="center"/>
    </xf>
    <xf numFmtId="0" fontId="13" fillId="0" borderId="31" xfId="0" applyFont="1" applyBorder="1"/>
    <xf numFmtId="0" fontId="13" fillId="0" borderId="32" xfId="0" applyFont="1" applyBorder="1"/>
    <xf numFmtId="0" fontId="5" fillId="0" borderId="33" xfId="0" applyFont="1" applyBorder="1"/>
    <xf numFmtId="0" fontId="5" fillId="0" borderId="35" xfId="0" applyFont="1" applyBorder="1"/>
    <xf numFmtId="0" fontId="13" fillId="0" borderId="37" xfId="0" applyFont="1" applyBorder="1"/>
    <xf numFmtId="164" fontId="17" fillId="0" borderId="38" xfId="0" applyNumberFormat="1" applyFont="1" applyBorder="1" applyAlignment="1">
      <alignment horizontal="center"/>
    </xf>
    <xf numFmtId="0" fontId="13" fillId="0" borderId="39" xfId="0" applyFont="1" applyBorder="1"/>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2" fontId="17" fillId="0" borderId="43" xfId="0" applyNumberFormat="1" applyFont="1" applyBorder="1" applyAlignment="1">
      <alignment horizontal="center"/>
    </xf>
    <xf numFmtId="2" fontId="17" fillId="0" borderId="28" xfId="0" applyNumberFormat="1" applyFont="1" applyBorder="1" applyAlignment="1">
      <alignment horizontal="center"/>
    </xf>
    <xf numFmtId="164" fontId="17" fillId="0" borderId="36" xfId="0" applyNumberFormat="1" applyFont="1" applyBorder="1" applyAlignment="1">
      <alignment horizontal="center"/>
    </xf>
    <xf numFmtId="0" fontId="20" fillId="0" borderId="34" xfId="0" applyFont="1" applyBorder="1" applyAlignment="1">
      <alignment horizontal="center" vertical="center"/>
    </xf>
    <xf numFmtId="0" fontId="20" fillId="0" borderId="36" xfId="0" applyFont="1" applyBorder="1" applyAlignment="1">
      <alignment horizontal="center"/>
    </xf>
    <xf numFmtId="0" fontId="20" fillId="0" borderId="40" xfId="0" applyFont="1" applyBorder="1" applyAlignment="1">
      <alignment horizontal="center" vertical="center"/>
    </xf>
    <xf numFmtId="0" fontId="20" fillId="0" borderId="0" xfId="0" applyFont="1" applyBorder="1" applyAlignment="1">
      <alignment horizontal="center" vertical="center"/>
    </xf>
    <xf numFmtId="0" fontId="13" fillId="0" borderId="44" xfId="0" applyFont="1" applyBorder="1"/>
    <xf numFmtId="0" fontId="5" fillId="0" borderId="26" xfId="0" applyFont="1" applyBorder="1" applyAlignment="1">
      <alignment horizontal="center"/>
    </xf>
    <xf numFmtId="0" fontId="13" fillId="0" borderId="45" xfId="0" applyFont="1" applyBorder="1"/>
    <xf numFmtId="0" fontId="0" fillId="0" borderId="0" xfId="0" applyAlignment="1">
      <alignment vertical="center"/>
    </xf>
    <xf numFmtId="0" fontId="0" fillId="0" borderId="0" xfId="0" applyAlignment="1">
      <alignment horizontal="right" vertical="center"/>
    </xf>
    <xf numFmtId="0" fontId="3" fillId="0" borderId="0" xfId="0"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164" fontId="3" fillId="0" borderId="0" xfId="0" applyNumberFormat="1" applyFont="1" applyBorder="1" applyAlignment="1">
      <alignment horizontal="center" vertical="center"/>
    </xf>
    <xf numFmtId="0" fontId="20"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2" fontId="17" fillId="0" borderId="0" xfId="0" applyNumberFormat="1" applyFont="1" applyBorder="1" applyAlignment="1">
      <alignment horizontal="center"/>
    </xf>
    <xf numFmtId="0" fontId="9" fillId="0" borderId="0" xfId="0" applyFont="1" applyAlignment="1">
      <alignment horizontal="center"/>
    </xf>
    <xf numFmtId="0" fontId="20" fillId="0" borderId="33" xfId="0" applyFont="1" applyBorder="1"/>
    <xf numFmtId="2" fontId="17" fillId="0" borderId="38" xfId="0" applyNumberFormat="1" applyFont="1" applyBorder="1" applyAlignment="1">
      <alignment horizontal="center"/>
    </xf>
    <xf numFmtId="0" fontId="20" fillId="0" borderId="31" xfId="0" applyFont="1" applyBorder="1" applyAlignment="1">
      <alignment horizontal="center"/>
    </xf>
    <xf numFmtId="0" fontId="20" fillId="0" borderId="4" xfId="0" applyFont="1" applyBorder="1"/>
    <xf numFmtId="0" fontId="20" fillId="0" borderId="0" xfId="0" applyFont="1" applyFill="1" applyBorder="1" applyAlignment="1">
      <alignment horizontal="center"/>
    </xf>
    <xf numFmtId="0" fontId="20" fillId="0" borderId="48" xfId="0" applyFont="1" applyBorder="1"/>
    <xf numFmtId="0" fontId="20" fillId="0" borderId="46" xfId="0" applyFont="1" applyBorder="1"/>
    <xf numFmtId="0" fontId="20" fillId="0" borderId="35" xfId="0" applyFont="1" applyBorder="1"/>
    <xf numFmtId="0" fontId="20" fillId="0" borderId="8" xfId="0" applyFont="1" applyBorder="1"/>
    <xf numFmtId="0" fontId="20" fillId="0" borderId="26" xfId="0" applyFont="1" applyBorder="1" applyAlignment="1">
      <alignment horizontal="center"/>
    </xf>
    <xf numFmtId="0" fontId="20" fillId="0" borderId="30" xfId="0" applyFont="1" applyBorder="1" applyAlignment="1">
      <alignment horizontal="center"/>
    </xf>
    <xf numFmtId="0" fontId="20" fillId="0" borderId="45" xfId="0" applyFont="1" applyBorder="1"/>
    <xf numFmtId="166" fontId="20" fillId="0" borderId="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right" vertical="center"/>
    </xf>
    <xf numFmtId="0" fontId="16" fillId="0" borderId="0" xfId="0" applyFont="1" applyAlignment="1">
      <alignment horizontal="center" vertical="center"/>
    </xf>
    <xf numFmtId="0" fontId="20" fillId="0" borderId="10" xfId="0" applyFont="1" applyBorder="1" applyAlignment="1">
      <alignment horizontal="center"/>
    </xf>
    <xf numFmtId="0" fontId="20" fillId="2" borderId="10" xfId="0" applyFont="1" applyFill="1" applyBorder="1" applyAlignment="1">
      <alignment horizontal="center" vertical="center"/>
    </xf>
    <xf numFmtId="0" fontId="20" fillId="2" borderId="41" xfId="0" applyFont="1" applyFill="1" applyBorder="1" applyAlignment="1">
      <alignment horizontal="center"/>
    </xf>
    <xf numFmtId="0" fontId="20" fillId="2" borderId="42" xfId="0" applyFont="1" applyFill="1" applyBorder="1" applyAlignment="1">
      <alignment horizontal="center"/>
    </xf>
    <xf numFmtId="0" fontId="20" fillId="0" borderId="40" xfId="0" applyFont="1" applyBorder="1" applyAlignment="1">
      <alignment horizontal="center"/>
    </xf>
    <xf numFmtId="2" fontId="17" fillId="0" borderId="36" xfId="0" applyNumberFormat="1" applyFont="1" applyBorder="1" applyAlignment="1">
      <alignment horizontal="center"/>
    </xf>
    <xf numFmtId="165" fontId="20" fillId="0" borderId="10" xfId="0" applyNumberFormat="1" applyFont="1" applyBorder="1" applyAlignment="1">
      <alignment horizontal="center"/>
    </xf>
    <xf numFmtId="0" fontId="20" fillId="0" borderId="27" xfId="0" applyFont="1" applyBorder="1" applyAlignment="1">
      <alignment horizontal="center"/>
    </xf>
    <xf numFmtId="0" fontId="20" fillId="0" borderId="31" xfId="0" applyFont="1" applyBorder="1"/>
    <xf numFmtId="0" fontId="20" fillId="0" borderId="32" xfId="0" applyFont="1" applyBorder="1"/>
    <xf numFmtId="166" fontId="20" fillId="0" borderId="26" xfId="0" applyNumberFormat="1" applyFont="1" applyBorder="1" applyAlignment="1">
      <alignment horizontal="center"/>
    </xf>
    <xf numFmtId="0" fontId="20" fillId="0" borderId="34" xfId="0" applyFont="1" applyBorder="1" applyAlignment="1">
      <alignment horizontal="center"/>
    </xf>
    <xf numFmtId="2" fontId="0" fillId="0" borderId="10" xfId="0" applyNumberFormat="1" applyBorder="1" applyAlignment="1">
      <alignment horizontal="center" vertical="center"/>
    </xf>
    <xf numFmtId="164" fontId="16" fillId="0" borderId="0" xfId="0" applyNumberFormat="1" applyFont="1" applyAlignment="1">
      <alignment horizontal="center"/>
    </xf>
    <xf numFmtId="0" fontId="20" fillId="0" borderId="10" xfId="0" quotePrefix="1" applyFont="1" applyBorder="1" applyAlignment="1">
      <alignment horizontal="center" vertical="center"/>
    </xf>
    <xf numFmtId="0" fontId="5" fillId="0" borderId="0" xfId="0" applyFont="1" applyBorder="1" applyAlignment="1">
      <alignment horizontal="center"/>
    </xf>
    <xf numFmtId="2" fontId="5" fillId="0" borderId="10" xfId="0" applyNumberFormat="1" applyFont="1" applyBorder="1" applyAlignment="1">
      <alignment horizontal="center"/>
    </xf>
    <xf numFmtId="0" fontId="20" fillId="2" borderId="25" xfId="0" applyFont="1" applyFill="1" applyBorder="1" applyAlignment="1">
      <alignment horizontal="center"/>
    </xf>
    <xf numFmtId="0" fontId="5" fillId="2" borderId="25" xfId="0" applyFont="1" applyFill="1" applyBorder="1" applyAlignment="1">
      <alignment horizontal="center"/>
    </xf>
    <xf numFmtId="0" fontId="5" fillId="0" borderId="50" xfId="0" applyFont="1" applyBorder="1"/>
    <xf numFmtId="0" fontId="5" fillId="0" borderId="50" xfId="0" applyFont="1" applyBorder="1" applyAlignment="1">
      <alignment horizontal="center"/>
    </xf>
    <xf numFmtId="0" fontId="20" fillId="2" borderId="49" xfId="0" applyFont="1" applyFill="1" applyBorder="1" applyAlignment="1">
      <alignment horizontal="center"/>
    </xf>
    <xf numFmtId="2" fontId="5" fillId="0" borderId="34" xfId="0" applyNumberFormat="1" applyFont="1" applyBorder="1" applyAlignment="1">
      <alignment horizontal="center"/>
    </xf>
    <xf numFmtId="0" fontId="5" fillId="0" borderId="51" xfId="0" applyFont="1" applyBorder="1"/>
    <xf numFmtId="0" fontId="5" fillId="0" borderId="52" xfId="0" applyFont="1" applyBorder="1" applyAlignment="1">
      <alignment horizontal="center"/>
    </xf>
    <xf numFmtId="2" fontId="17" fillId="0" borderId="37" xfId="0" applyNumberFormat="1" applyFont="1" applyBorder="1" applyAlignment="1">
      <alignment horizontal="center"/>
    </xf>
    <xf numFmtId="166" fontId="5" fillId="0" borderId="8" xfId="0" applyNumberFormat="1" applyFont="1" applyBorder="1" applyAlignment="1">
      <alignment horizontal="center"/>
    </xf>
    <xf numFmtId="0" fontId="5" fillId="0" borderId="39" xfId="0" applyFont="1" applyBorder="1" applyAlignment="1">
      <alignment horizontal="center"/>
    </xf>
    <xf numFmtId="0" fontId="5" fillId="0" borderId="10" xfId="0" applyFont="1" applyBorder="1"/>
    <xf numFmtId="0" fontId="20" fillId="0" borderId="38" xfId="0" applyFont="1" applyBorder="1"/>
    <xf numFmtId="0" fontId="20" fillId="0" borderId="47" xfId="0" applyFont="1" applyBorder="1"/>
    <xf numFmtId="0" fontId="20" fillId="0" borderId="53" xfId="0" applyFont="1" applyBorder="1" applyAlignment="1">
      <alignment horizontal="center"/>
    </xf>
    <xf numFmtId="166" fontId="20" fillId="0" borderId="53" xfId="0" applyNumberFormat="1" applyFont="1" applyBorder="1" applyAlignment="1">
      <alignment horizontal="center"/>
    </xf>
    <xf numFmtId="2" fontId="20" fillId="0" borderId="54" xfId="0" applyNumberFormat="1" applyFont="1" applyBorder="1" applyAlignment="1">
      <alignment horizontal="center"/>
    </xf>
    <xf numFmtId="0" fontId="20" fillId="0" borderId="54" xfId="0" applyFont="1" applyBorder="1" applyAlignment="1"/>
    <xf numFmtId="166" fontId="20" fillId="0" borderId="53" xfId="0" applyNumberFormat="1" applyFont="1" applyBorder="1" applyAlignment="1">
      <alignment horizontal="center" vertical="center"/>
    </xf>
    <xf numFmtId="0" fontId="20" fillId="0" borderId="53" xfId="0" applyFont="1" applyBorder="1" applyAlignment="1">
      <alignment horizontal="center" vertical="center"/>
    </xf>
    <xf numFmtId="2" fontId="20" fillId="0" borderId="53" xfId="0" applyNumberFormat="1" applyFont="1" applyBorder="1" applyAlignment="1">
      <alignment horizontal="center" vertical="center"/>
    </xf>
    <xf numFmtId="0" fontId="20" fillId="0" borderId="54" xfId="0" applyFont="1" applyBorder="1" applyAlignment="1">
      <alignment horizontal="center" vertical="center"/>
    </xf>
    <xf numFmtId="0" fontId="5" fillId="0" borderId="37" xfId="0" applyFont="1" applyBorder="1" applyAlignment="1">
      <alignment horizontal="center"/>
    </xf>
    <xf numFmtId="0" fontId="7" fillId="0" borderId="30" xfId="0" applyFont="1" applyBorder="1"/>
    <xf numFmtId="0" fontId="1" fillId="0" borderId="9" xfId="0" applyFont="1" applyBorder="1"/>
    <xf numFmtId="0" fontId="20" fillId="2" borderId="34" xfId="0" applyFont="1" applyFill="1" applyBorder="1" applyAlignment="1">
      <alignment horizontal="center" vertical="center"/>
    </xf>
    <xf numFmtId="0" fontId="20" fillId="0" borderId="9" xfId="0" applyFont="1" applyFill="1" applyBorder="1"/>
    <xf numFmtId="0" fontId="20" fillId="0" borderId="34" xfId="0" quotePrefix="1" applyFont="1" applyBorder="1" applyAlignment="1">
      <alignment horizontal="center" vertical="center"/>
    </xf>
    <xf numFmtId="0" fontId="20" fillId="0" borderId="9" xfId="0" applyFont="1" applyBorder="1"/>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0" fontId="0" fillId="0" borderId="33" xfId="0" applyBorder="1"/>
    <xf numFmtId="0" fontId="0" fillId="0" borderId="37" xfId="0" applyBorder="1"/>
    <xf numFmtId="0" fontId="20" fillId="0" borderId="55" xfId="0" applyFont="1" applyFill="1" applyBorder="1"/>
    <xf numFmtId="2" fontId="1" fillId="0" borderId="56" xfId="0" applyNumberFormat="1" applyFont="1" applyBorder="1" applyAlignment="1">
      <alignment horizontal="center"/>
    </xf>
    <xf numFmtId="2" fontId="1" fillId="0" borderId="57" xfId="0" applyNumberFormat="1" applyFont="1" applyBorder="1" applyAlignment="1">
      <alignment horizontal="center"/>
    </xf>
    <xf numFmtId="165" fontId="1" fillId="0" borderId="58" xfId="0" applyNumberFormat="1" applyFont="1" applyBorder="1" applyAlignment="1">
      <alignment horizontal="center"/>
    </xf>
    <xf numFmtId="0" fontId="0" fillId="0" borderId="0" xfId="0" applyFill="1" applyBorder="1" applyAlignment="1">
      <alignment vertical="center"/>
    </xf>
    <xf numFmtId="0" fontId="16" fillId="0" borderId="0" xfId="0" applyFont="1" applyBorder="1" applyAlignment="1">
      <alignment horizontal="center" vertical="center"/>
    </xf>
    <xf numFmtId="0" fontId="26" fillId="0" borderId="0" xfId="0" applyFont="1"/>
    <xf numFmtId="0" fontId="26" fillId="0" borderId="0" xfId="0" applyFont="1" applyAlignment="1">
      <alignment horizontal="right"/>
    </xf>
    <xf numFmtId="49" fontId="26" fillId="0" borderId="0" xfId="0" applyNumberFormat="1" applyFont="1" applyAlignment="1">
      <alignment horizontal="left"/>
    </xf>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5" fillId="0" borderId="0" xfId="0" applyFont="1" applyAlignment="1">
      <alignment horizontal="center"/>
    </xf>
    <xf numFmtId="166" fontId="28" fillId="0" borderId="10" xfId="0" applyNumberFormat="1" applyFont="1" applyBorder="1"/>
    <xf numFmtId="0" fontId="28" fillId="0" borderId="0" xfId="0" applyFont="1"/>
    <xf numFmtId="2" fontId="26" fillId="0" borderId="0" xfId="0" applyNumberFormat="1" applyFont="1"/>
    <xf numFmtId="0" fontId="26" fillId="0" borderId="10" xfId="0" applyFont="1" applyBorder="1" applyAlignment="1">
      <alignment horizontal="center" vertical="center" wrapText="1"/>
    </xf>
    <xf numFmtId="166" fontId="5" fillId="0" borderId="10" xfId="0" applyNumberFormat="1" applyFont="1" applyBorder="1" applyAlignment="1">
      <alignment horizontal="center"/>
    </xf>
    <xf numFmtId="9" fontId="5" fillId="3" borderId="10" xfId="0" applyNumberFormat="1" applyFont="1" applyFill="1" applyBorder="1" applyAlignment="1">
      <alignment horizontal="center"/>
    </xf>
    <xf numFmtId="0" fontId="5" fillId="0" borderId="10" xfId="0" applyFont="1" applyFill="1" applyBorder="1"/>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20" fillId="0" borderId="9" xfId="0" applyFont="1" applyBorder="1" applyAlignment="1">
      <alignment horizontal="left"/>
    </xf>
    <xf numFmtId="0" fontId="20" fillId="0" borderId="0" xfId="0" applyFont="1" applyAlignment="1">
      <alignment horizontal="left"/>
    </xf>
    <xf numFmtId="0" fontId="20" fillId="0" borderId="0" xfId="0" applyFont="1" applyAlignment="1">
      <alignment horizontal="right"/>
    </xf>
    <xf numFmtId="0" fontId="29" fillId="0" borderId="0" xfId="0" applyFont="1"/>
    <xf numFmtId="164" fontId="20" fillId="0" borderId="10" xfId="0" applyNumberFormat="1" applyFont="1" applyBorder="1" applyAlignment="1">
      <alignment horizontal="center"/>
    </xf>
    <xf numFmtId="0" fontId="20" fillId="0" borderId="0" xfId="0" applyFont="1" applyBorder="1" applyAlignment="1">
      <alignment horizontal="right"/>
    </xf>
    <xf numFmtId="0" fontId="26" fillId="0" borderId="0" xfId="0" applyFont="1" applyBorder="1" applyAlignment="1">
      <alignment horizontal="center" vertical="center" wrapText="1"/>
    </xf>
    <xf numFmtId="0" fontId="1"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xf>
    <xf numFmtId="0" fontId="34" fillId="0" borderId="0" xfId="0" applyFont="1" applyAlignment="1">
      <alignment vertical="center"/>
    </xf>
    <xf numFmtId="0" fontId="23" fillId="0" borderId="0" xfId="0" applyFont="1" applyBorder="1" applyAlignment="1">
      <alignment horizontal="center" vertical="center" wrapText="1"/>
    </xf>
    <xf numFmtId="0" fontId="20" fillId="0" borderId="0" xfId="0" applyFont="1" applyFill="1" applyBorder="1" applyAlignment="1">
      <alignment vertical="center"/>
    </xf>
    <xf numFmtId="0" fontId="2" fillId="0" borderId="0" xfId="0" applyFont="1" applyBorder="1" applyAlignment="1">
      <alignment vertical="center"/>
    </xf>
    <xf numFmtId="166" fontId="20" fillId="0" borderId="10" xfId="0" applyNumberFormat="1" applyFont="1" applyFill="1" applyBorder="1" applyAlignment="1">
      <alignment horizontal="center"/>
    </xf>
    <xf numFmtId="0" fontId="20" fillId="0" borderId="68" xfId="0" applyFont="1" applyBorder="1" applyAlignment="1"/>
    <xf numFmtId="0" fontId="20" fillId="0" borderId="65" xfId="0" applyFont="1" applyBorder="1" applyAlignment="1">
      <alignment horizontal="center"/>
    </xf>
    <xf numFmtId="0" fontId="0" fillId="0" borderId="35" xfId="0" applyBorder="1"/>
    <xf numFmtId="0" fontId="0" fillId="0" borderId="8" xfId="0" applyBorder="1"/>
    <xf numFmtId="0" fontId="0" fillId="0" borderId="39" xfId="0" applyBorder="1"/>
    <xf numFmtId="1" fontId="17" fillId="0" borderId="0" xfId="0" applyNumberFormat="1" applyFont="1" applyBorder="1" applyAlignment="1">
      <alignment horizontal="center"/>
    </xf>
    <xf numFmtId="1" fontId="17" fillId="0" borderId="37" xfId="0" applyNumberFormat="1" applyFont="1" applyBorder="1" applyAlignment="1">
      <alignment horizontal="center"/>
    </xf>
    <xf numFmtId="168" fontId="20" fillId="0" borderId="10" xfId="0" applyNumberFormat="1" applyFont="1" applyBorder="1" applyAlignment="1">
      <alignment horizontal="center"/>
    </xf>
    <xf numFmtId="164" fontId="17" fillId="0" borderId="0" xfId="0" applyNumberFormat="1" applyFont="1" applyBorder="1" applyAlignment="1">
      <alignment horizontal="center"/>
    </xf>
    <xf numFmtId="168" fontId="17" fillId="0" borderId="0" xfId="0" applyNumberFormat="1" applyFont="1" applyBorder="1" applyAlignment="1">
      <alignment horizontal="center"/>
    </xf>
    <xf numFmtId="0" fontId="11" fillId="0" borderId="0" xfId="0" applyFont="1" applyAlignment="1"/>
    <xf numFmtId="166" fontId="16" fillId="0" borderId="0" xfId="0" applyNumberFormat="1" applyFont="1" applyAlignment="1">
      <alignment horizontal="center" vertical="center"/>
    </xf>
    <xf numFmtId="0" fontId="20" fillId="0" borderId="59" xfId="0" applyFont="1" applyBorder="1"/>
    <xf numFmtId="0" fontId="23" fillId="0" borderId="66" xfId="0" applyFont="1" applyBorder="1" applyAlignment="1">
      <alignment horizontal="center" vertical="center"/>
    </xf>
    <xf numFmtId="0" fontId="20" fillId="0" borderId="61" xfId="0" applyFont="1" applyBorder="1"/>
    <xf numFmtId="0" fontId="23" fillId="0" borderId="67" xfId="0" applyFont="1" applyBorder="1" applyAlignment="1">
      <alignment horizontal="center" vertical="center"/>
    </xf>
    <xf numFmtId="0" fontId="20" fillId="0" borderId="27" xfId="0" applyFont="1" applyBorder="1"/>
    <xf numFmtId="0" fontId="20" fillId="0" borderId="13" xfId="0" applyFont="1" applyFill="1" applyBorder="1" applyAlignment="1">
      <alignment vertical="center"/>
    </xf>
    <xf numFmtId="0" fontId="20" fillId="0" borderId="60" xfId="0" applyFont="1" applyFill="1" applyBorder="1" applyAlignment="1">
      <alignment vertical="center"/>
    </xf>
    <xf numFmtId="0" fontId="20" fillId="0" borderId="62" xfId="0" applyFont="1" applyFill="1" applyBorder="1" applyAlignment="1">
      <alignment vertical="center"/>
    </xf>
    <xf numFmtId="0" fontId="16" fillId="0" borderId="10" xfId="0" applyFont="1" applyBorder="1"/>
    <xf numFmtId="166" fontId="16" fillId="0" borderId="10" xfId="0" applyNumberFormat="1" applyFont="1" applyFill="1" applyBorder="1"/>
    <xf numFmtId="2" fontId="5" fillId="0" borderId="0" xfId="0" applyNumberFormat="1" applyFont="1" applyBorder="1" applyAlignment="1">
      <alignment horizontal="center"/>
    </xf>
    <xf numFmtId="0" fontId="20" fillId="0" borderId="0" xfId="0" applyFont="1" applyBorder="1" applyAlignment="1">
      <alignment horizontal="left"/>
    </xf>
    <xf numFmtId="165" fontId="20" fillId="0" borderId="34" xfId="0" applyNumberFormat="1" applyFont="1" applyBorder="1" applyAlignment="1">
      <alignment horizontal="center"/>
    </xf>
    <xf numFmtId="0" fontId="20" fillId="0" borderId="68" xfId="0" applyFont="1" applyBorder="1" applyAlignment="1">
      <alignment horizontal="left"/>
    </xf>
    <xf numFmtId="0" fontId="9" fillId="0" borderId="0" xfId="0" applyFont="1" applyAlignment="1">
      <alignment horizontal="center"/>
    </xf>
    <xf numFmtId="0" fontId="13" fillId="0" borderId="0" xfId="0" applyFont="1" applyBorder="1" applyAlignment="1">
      <alignment horizontal="left" wrapText="1"/>
    </xf>
    <xf numFmtId="0" fontId="16" fillId="0" borderId="10" xfId="0" applyFont="1" applyBorder="1" applyAlignment="1">
      <alignment horizontal="center"/>
    </xf>
    <xf numFmtId="0" fontId="20" fillId="0" borderId="0" xfId="0" applyFont="1" applyFill="1" applyBorder="1" applyAlignment="1">
      <alignment horizontal="center" vertical="center"/>
    </xf>
    <xf numFmtId="0" fontId="23" fillId="0" borderId="10" xfId="0" applyFont="1" applyBorder="1" applyAlignment="1">
      <alignment horizontal="center"/>
    </xf>
    <xf numFmtId="0" fontId="5" fillId="0" borderId="46" xfId="0" applyFont="1" applyBorder="1" applyAlignment="1">
      <alignment horizontal="center"/>
    </xf>
    <xf numFmtId="0" fontId="5" fillId="0" borderId="71" xfId="0" applyFont="1" applyBorder="1" applyAlignment="1">
      <alignment horizontal="center"/>
    </xf>
    <xf numFmtId="0" fontId="5" fillId="2" borderId="0" xfId="0" applyFont="1" applyFill="1" applyBorder="1" applyAlignment="1">
      <alignment horizontal="center"/>
    </xf>
    <xf numFmtId="0" fontId="16" fillId="0" borderId="0" xfId="0" applyFont="1" applyBorder="1" applyAlignment="1">
      <alignment horizontal="center"/>
    </xf>
    <xf numFmtId="165" fontId="20" fillId="0" borderId="0" xfId="0" applyNumberFormat="1" applyFont="1" applyBorder="1" applyAlignment="1">
      <alignment horizontal="center"/>
    </xf>
    <xf numFmtId="0" fontId="20" fillId="2" borderId="65" xfId="0" applyFont="1" applyFill="1" applyBorder="1" applyAlignment="1">
      <alignment horizontal="center"/>
    </xf>
    <xf numFmtId="0" fontId="0" fillId="0" borderId="62" xfId="0" applyBorder="1" applyAlignment="1">
      <alignment horizontal="center"/>
    </xf>
    <xf numFmtId="0" fontId="20" fillId="0" borderId="10" xfId="0" applyFont="1" applyFill="1" applyBorder="1" applyAlignment="1">
      <alignment horizontal="center" vertical="center"/>
    </xf>
    <xf numFmtId="0" fontId="20" fillId="0" borderId="25" xfId="0" applyFont="1" applyFill="1" applyBorder="1" applyAlignment="1">
      <alignment vertical="center"/>
    </xf>
    <xf numFmtId="0" fontId="1" fillId="0" borderId="10" xfId="0" applyFont="1" applyFill="1" applyBorder="1" applyAlignment="1">
      <alignment horizontal="center" vertical="center"/>
    </xf>
    <xf numFmtId="0" fontId="13" fillId="0" borderId="10" xfId="0" applyFont="1" applyBorder="1" applyAlignment="1">
      <alignment horizontal="center"/>
    </xf>
    <xf numFmtId="0" fontId="0" fillId="0" borderId="29" xfId="0" applyBorder="1" applyAlignment="1">
      <alignment horizontal="center"/>
    </xf>
    <xf numFmtId="0" fontId="20" fillId="2" borderId="34" xfId="0" applyFont="1" applyFill="1" applyBorder="1" applyAlignment="1">
      <alignment horizontal="center"/>
    </xf>
    <xf numFmtId="0" fontId="20" fillId="0" borderId="33" xfId="0" applyFont="1" applyFill="1" applyBorder="1" applyAlignment="1">
      <alignment horizontal="center" vertical="center"/>
    </xf>
    <xf numFmtId="2" fontId="5" fillId="0" borderId="37" xfId="0" applyNumberFormat="1" applyFont="1" applyBorder="1" applyAlignment="1">
      <alignment horizontal="center"/>
    </xf>
    <xf numFmtId="0" fontId="20" fillId="0" borderId="33" xfId="0" applyFont="1" applyFill="1" applyBorder="1" applyAlignment="1">
      <alignment vertical="center"/>
    </xf>
    <xf numFmtId="0" fontId="5" fillId="0" borderId="48" xfId="0" applyFont="1" applyBorder="1" applyAlignment="1">
      <alignment horizontal="center"/>
    </xf>
    <xf numFmtId="0" fontId="5" fillId="0" borderId="33" xfId="0" applyFont="1" applyBorder="1" applyAlignment="1">
      <alignment horizontal="center"/>
    </xf>
    <xf numFmtId="0" fontId="12" fillId="0" borderId="33" xfId="0" applyFont="1" applyBorder="1"/>
    <xf numFmtId="0" fontId="13" fillId="0" borderId="35" xfId="0" applyFont="1" applyBorder="1"/>
    <xf numFmtId="166" fontId="5" fillId="0" borderId="34" xfId="0" applyNumberFormat="1" applyFont="1" applyBorder="1" applyAlignment="1">
      <alignment horizontal="center"/>
    </xf>
    <xf numFmtId="0" fontId="3" fillId="0" borderId="0" xfId="0" applyFont="1" applyFill="1" applyBorder="1" applyAlignment="1">
      <alignment horizontal="center" vertical="center"/>
    </xf>
    <xf numFmtId="0" fontId="20" fillId="0" borderId="34" xfId="0" applyFont="1" applyBorder="1" applyAlignment="1">
      <alignment horizontal="center"/>
    </xf>
    <xf numFmtId="0" fontId="1" fillId="0" borderId="33" xfId="0" applyFont="1" applyBorder="1"/>
    <xf numFmtId="0" fontId="20" fillId="0" borderId="25" xfId="0" applyFont="1" applyFill="1" applyBorder="1" applyAlignment="1">
      <alignment horizontal="center" vertical="center"/>
    </xf>
    <xf numFmtId="0" fontId="20" fillId="0" borderId="10" xfId="0" applyFont="1" applyBorder="1" applyAlignment="1">
      <alignment horizontal="center" wrapText="1"/>
    </xf>
    <xf numFmtId="0" fontId="20" fillId="0" borderId="10" xfId="0" applyFont="1" applyFill="1" applyBorder="1" applyAlignment="1">
      <alignment horizontal="center" wrapText="1"/>
    </xf>
    <xf numFmtId="2" fontId="1" fillId="0" borderId="10" xfId="0" applyNumberFormat="1" applyFont="1" applyBorder="1" applyAlignment="1">
      <alignment horizontal="center"/>
    </xf>
    <xf numFmtId="2" fontId="26" fillId="0" borderId="10" xfId="0" applyNumberFormat="1" applyFont="1" applyBorder="1" applyAlignment="1">
      <alignment horizontal="center"/>
    </xf>
    <xf numFmtId="2" fontId="26" fillId="0" borderId="0" xfId="0" applyNumberFormat="1" applyFont="1" applyBorder="1"/>
    <xf numFmtId="0" fontId="1" fillId="0" borderId="10" xfId="0" applyFont="1" applyBorder="1" applyAlignment="1">
      <alignment horizontal="center"/>
    </xf>
    <xf numFmtId="164" fontId="0" fillId="0" borderId="10" xfId="0" applyNumberFormat="1" applyBorder="1" applyAlignment="1">
      <alignment horizontal="center" vertical="center"/>
    </xf>
    <xf numFmtId="168" fontId="26" fillId="0" borderId="10" xfId="0" applyNumberFormat="1" applyFont="1" applyBorder="1" applyAlignment="1">
      <alignment horizontal="center"/>
    </xf>
    <xf numFmtId="0" fontId="23" fillId="0" borderId="10" xfId="0" applyFont="1" applyBorder="1" applyAlignment="1">
      <alignment horizontal="center"/>
    </xf>
    <xf numFmtId="0" fontId="20" fillId="0" borderId="0" xfId="0" applyFont="1" applyFill="1" applyBorder="1"/>
    <xf numFmtId="0" fontId="11" fillId="0" borderId="0" xfId="0" applyFont="1" applyBorder="1"/>
    <xf numFmtId="0" fontId="23" fillId="0" borderId="0" xfId="0" applyFont="1" applyBorder="1"/>
    <xf numFmtId="0" fontId="23" fillId="0" borderId="10" xfId="0" applyFont="1" applyBorder="1" applyAlignment="1">
      <alignment horizontal="center" vertical="center" wrapText="1"/>
    </xf>
    <xf numFmtId="0" fontId="1" fillId="0" borderId="60" xfId="0" applyFont="1" applyFill="1" applyBorder="1" applyAlignment="1">
      <alignment vertical="center"/>
    </xf>
    <xf numFmtId="0" fontId="20" fillId="0" borderId="10" xfId="0" applyFont="1" applyFill="1" applyBorder="1" applyAlignment="1">
      <alignment horizontal="right" vertical="center"/>
    </xf>
    <xf numFmtId="0" fontId="20" fillId="0" borderId="0" xfId="0" applyFont="1" applyFill="1" applyBorder="1" applyAlignment="1">
      <alignment horizontal="right" vertical="center"/>
    </xf>
    <xf numFmtId="0" fontId="1" fillId="0" borderId="10" xfId="0" applyFont="1" applyFill="1" applyBorder="1" applyAlignment="1">
      <alignment vertical="center"/>
    </xf>
    <xf numFmtId="0" fontId="1" fillId="0" borderId="66" xfId="0" applyFont="1" applyFill="1" applyBorder="1" applyAlignment="1">
      <alignment horizontal="center" vertical="center"/>
    </xf>
    <xf numFmtId="0" fontId="20" fillId="0" borderId="10" xfId="0" applyFont="1" applyFill="1" applyBorder="1" applyAlignment="1">
      <alignmen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3" fillId="0" borderId="66" xfId="0" applyFont="1" applyFill="1" applyBorder="1" applyAlignment="1">
      <alignment horizontal="center" vertical="center"/>
    </xf>
    <xf numFmtId="0" fontId="20" fillId="0" borderId="66" xfId="0" applyFont="1" applyFill="1" applyBorder="1" applyAlignment="1">
      <alignment vertical="center"/>
    </xf>
    <xf numFmtId="0" fontId="0" fillId="0" borderId="66" xfId="0" applyFill="1" applyBorder="1" applyAlignment="1">
      <alignment vertical="center"/>
    </xf>
    <xf numFmtId="0" fontId="23" fillId="0" borderId="66" xfId="0" applyFont="1" applyFill="1" applyBorder="1" applyAlignment="1">
      <alignment horizontal="center" vertical="center"/>
    </xf>
    <xf numFmtId="0" fontId="23" fillId="0" borderId="60" xfId="0" applyFont="1" applyFill="1" applyBorder="1" applyAlignment="1">
      <alignment horizontal="center" vertical="center" wrapText="1"/>
    </xf>
    <xf numFmtId="0" fontId="20" fillId="0" borderId="27" xfId="0" applyFont="1" applyFill="1" applyBorder="1" applyAlignment="1">
      <alignment horizontal="righ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0" fillId="0" borderId="13" xfId="0" applyFill="1" applyBorder="1" applyAlignment="1">
      <alignment vertical="center"/>
    </xf>
    <xf numFmtId="164" fontId="3" fillId="0" borderId="0" xfId="0" applyNumberFormat="1" applyFont="1" applyFill="1" applyBorder="1" applyAlignment="1">
      <alignment horizontal="center" vertical="center"/>
    </xf>
    <xf numFmtId="0" fontId="5" fillId="0" borderId="13" xfId="0" applyFont="1" applyFill="1" applyBorder="1" applyAlignment="1">
      <alignment vertical="center"/>
    </xf>
    <xf numFmtId="0" fontId="20" fillId="0" borderId="61" xfId="0" applyFont="1" applyFill="1" applyBorder="1" applyAlignment="1">
      <alignment horizontal="right" vertical="center"/>
    </xf>
    <xf numFmtId="0" fontId="3" fillId="0" borderId="67" xfId="0" applyFont="1" applyFill="1" applyBorder="1" applyAlignment="1">
      <alignment horizontal="center" vertical="center"/>
    </xf>
    <xf numFmtId="0" fontId="20" fillId="0" borderId="67" xfId="0" applyFont="1" applyFill="1" applyBorder="1" applyAlignment="1">
      <alignment vertical="center"/>
    </xf>
    <xf numFmtId="0" fontId="0" fillId="0" borderId="67" xfId="0" applyFill="1" applyBorder="1" applyAlignment="1">
      <alignment vertical="center"/>
    </xf>
    <xf numFmtId="0" fontId="1" fillId="0" borderId="0" xfId="0" applyFont="1" applyFill="1" applyBorder="1" applyAlignment="1">
      <alignment horizontal="right" vertical="center"/>
    </xf>
    <xf numFmtId="0" fontId="20" fillId="0" borderId="0" xfId="0" applyFont="1" applyFill="1" applyBorder="1" applyAlignment="1">
      <alignment vertical="center" wrapText="1"/>
    </xf>
    <xf numFmtId="0" fontId="0" fillId="0" borderId="0" xfId="0" applyFont="1" applyFill="1" applyBorder="1" applyAlignment="1">
      <alignment vertical="center" wrapText="1"/>
    </xf>
    <xf numFmtId="0" fontId="23"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3" fillId="4" borderId="10" xfId="0" applyFont="1" applyFill="1" applyBorder="1" applyAlignment="1">
      <alignment horizontal="center"/>
    </xf>
    <xf numFmtId="0" fontId="9" fillId="0" borderId="0" xfId="0" applyFont="1" applyAlignment="1">
      <alignment horizontal="center"/>
    </xf>
    <xf numFmtId="0" fontId="20" fillId="0" borderId="0" xfId="0" applyFont="1" applyFill="1" applyBorder="1" applyAlignment="1">
      <alignment horizontal="center" vertical="center"/>
    </xf>
    <xf numFmtId="0" fontId="16" fillId="0" borderId="0" xfId="0" applyFont="1" applyBorder="1"/>
    <xf numFmtId="167" fontId="16" fillId="0" borderId="0" xfId="0" applyNumberFormat="1" applyFont="1" applyBorder="1"/>
    <xf numFmtId="0" fontId="18" fillId="0" borderId="0" xfId="0" applyFont="1" applyBorder="1"/>
    <xf numFmtId="11" fontId="5" fillId="0" borderId="0" xfId="0" applyNumberFormat="1" applyFont="1" applyBorder="1" applyAlignment="1">
      <alignment horizontal="center"/>
    </xf>
    <xf numFmtId="166" fontId="5" fillId="0" borderId="0" xfId="0" applyNumberFormat="1" applyFont="1" applyBorder="1" applyAlignment="1">
      <alignment horizontal="center"/>
    </xf>
    <xf numFmtId="0" fontId="9" fillId="0" borderId="0" xfId="0" applyFont="1" applyAlignment="1">
      <alignment horizontal="center"/>
    </xf>
    <xf numFmtId="14" fontId="0" fillId="0" borderId="0" xfId="0" applyNumberFormat="1" applyAlignment="1">
      <alignment horizontal="center"/>
    </xf>
    <xf numFmtId="0" fontId="0" fillId="0" borderId="0" xfId="0" applyAlignment="1">
      <alignment horizontal="left" vertical="center" wrapText="1"/>
    </xf>
    <xf numFmtId="0" fontId="20" fillId="0" borderId="0" xfId="0" applyFont="1" applyAlignment="1">
      <alignment horizontal="left" vertical="center"/>
    </xf>
    <xf numFmtId="0" fontId="11" fillId="0" borderId="0" xfId="0" applyFont="1" applyAlignment="1">
      <alignment horizontal="left" vertical="center" wrapText="1"/>
    </xf>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23" fillId="0" borderId="0" xfId="0" applyFont="1" applyBorder="1" applyAlignment="1">
      <alignment horizontal="center" vertical="center" wrapText="1"/>
    </xf>
    <xf numFmtId="0" fontId="3" fillId="0" borderId="0" xfId="0" applyFont="1" applyAlignment="1">
      <alignment horizontal="center" vertical="center" wrapText="1"/>
    </xf>
    <xf numFmtId="0" fontId="23" fillId="0" borderId="10" xfId="0" applyFont="1" applyBorder="1" applyAlignment="1">
      <alignment horizontal="center"/>
    </xf>
    <xf numFmtId="0" fontId="1"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9" fillId="0" borderId="0" xfId="0" applyFont="1" applyAlignment="1">
      <alignment horizontal="center"/>
    </xf>
    <xf numFmtId="14" fontId="0" fillId="0" borderId="0" xfId="0" applyNumberFormat="1" applyAlignment="1">
      <alignment horizontal="center"/>
    </xf>
    <xf numFmtId="0" fontId="3" fillId="0" borderId="0" xfId="0" applyFont="1" applyAlignment="1">
      <alignment horizontal="center" vertical="center" wrapText="1"/>
    </xf>
    <xf numFmtId="0" fontId="20" fillId="0" borderId="0" xfId="0" applyFont="1" applyAlignment="1">
      <alignment horizontal="left" vertical="center" wrapText="1"/>
    </xf>
    <xf numFmtId="0" fontId="11" fillId="0" borderId="0" xfId="0" applyFont="1" applyAlignment="1">
      <alignment horizontal="left" vertical="center" wrapText="1"/>
    </xf>
    <xf numFmtId="0" fontId="23" fillId="0" borderId="12" xfId="0" applyFont="1" applyFill="1" applyBorder="1" applyAlignment="1">
      <alignment horizontal="center" vertical="center"/>
    </xf>
    <xf numFmtId="0" fontId="23" fillId="0" borderId="27" xfId="0" applyFont="1" applyFill="1" applyBorder="1" applyAlignment="1">
      <alignment horizontal="center" vertical="center"/>
    </xf>
    <xf numFmtId="0" fontId="20" fillId="0" borderId="0" xfId="0" applyNumberFormat="1" applyFont="1" applyAlignment="1">
      <alignment horizontal="left" vertical="center" wrapText="1"/>
    </xf>
    <xf numFmtId="0" fontId="20" fillId="0" borderId="1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20" fillId="0" borderId="0" xfId="0" applyFont="1" applyAlignment="1">
      <alignment horizontal="left" vertical="center"/>
    </xf>
    <xf numFmtId="0" fontId="1" fillId="0" borderId="10" xfId="0" applyFont="1" applyFill="1" applyBorder="1" applyAlignment="1">
      <alignment horizontal="left" vertical="center" wrapText="1"/>
    </xf>
    <xf numFmtId="0" fontId="30" fillId="0" borderId="10" xfId="0" applyFont="1" applyFill="1" applyBorder="1" applyAlignment="1">
      <alignment horizontal="center" vertical="center"/>
    </xf>
    <xf numFmtId="0" fontId="23" fillId="0" borderId="0" xfId="0" applyFont="1" applyBorder="1" applyAlignment="1">
      <alignment horizontal="center" vertical="center" wrapText="1"/>
    </xf>
    <xf numFmtId="0" fontId="20" fillId="0" borderId="0" xfId="0"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left" wrapText="1"/>
    </xf>
    <xf numFmtId="0" fontId="20" fillId="0" borderId="42" xfId="0" applyFont="1"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14" fontId="25" fillId="0" borderId="30" xfId="0" applyNumberFormat="1" applyFont="1" applyBorder="1" applyAlignment="1">
      <alignment horizontal="center" vertical="top" wrapText="1"/>
    </xf>
    <xf numFmtId="14" fontId="25" fillId="0" borderId="31" xfId="0" applyNumberFormat="1" applyFont="1" applyBorder="1" applyAlignment="1">
      <alignment horizontal="center" vertical="top" wrapText="1"/>
    </xf>
    <xf numFmtId="14" fontId="25" fillId="0" borderId="32" xfId="0" applyNumberFormat="1" applyFont="1" applyBorder="1" applyAlignment="1">
      <alignment horizontal="center" vertical="top" wrapText="1"/>
    </xf>
    <xf numFmtId="0" fontId="11" fillId="0" borderId="0" xfId="0" applyFont="1" applyAlignment="1">
      <alignment horizontal="center"/>
    </xf>
    <xf numFmtId="0" fontId="12" fillId="0" borderId="41" xfId="0" applyFont="1" applyBorder="1" applyAlignment="1">
      <alignment horizontal="center"/>
    </xf>
    <xf numFmtId="0" fontId="12" fillId="0" borderId="42" xfId="0" applyFont="1" applyBorder="1" applyAlignment="1">
      <alignment horizontal="center"/>
    </xf>
    <xf numFmtId="0" fontId="13" fillId="0" borderId="42" xfId="0" applyFont="1" applyBorder="1" applyAlignment="1">
      <alignment horizontal="center"/>
    </xf>
    <xf numFmtId="0" fontId="13" fillId="0" borderId="40" xfId="0" applyFont="1" applyBorder="1" applyAlignment="1">
      <alignment horizontal="center"/>
    </xf>
    <xf numFmtId="0" fontId="13" fillId="0" borderId="10"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20" fillId="0" borderId="0" xfId="0" applyFont="1" applyBorder="1" applyAlignment="1">
      <alignment horizontal="left" wrapText="1"/>
    </xf>
    <xf numFmtId="0" fontId="13" fillId="0" borderId="0" xfId="0" applyFont="1" applyBorder="1" applyAlignment="1">
      <alignment horizontal="left" wrapText="1"/>
    </xf>
    <xf numFmtId="0" fontId="13" fillId="0" borderId="34" xfId="0" applyFont="1" applyBorder="1" applyAlignment="1">
      <alignment horizont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20" fillId="0" borderId="0" xfId="0" applyFont="1" applyAlignment="1">
      <alignment horizontal="right" vertical="top"/>
    </xf>
    <xf numFmtId="0" fontId="20" fillId="0" borderId="64" xfId="0" applyFont="1" applyBorder="1" applyAlignment="1">
      <alignment horizontal="left"/>
    </xf>
    <xf numFmtId="0" fontId="20" fillId="0" borderId="65" xfId="0" applyFont="1" applyBorder="1" applyAlignment="1">
      <alignment horizontal="left"/>
    </xf>
    <xf numFmtId="0" fontId="20" fillId="0" borderId="10" xfId="0" applyFont="1" applyBorder="1" applyAlignment="1">
      <alignment horizontal="left"/>
    </xf>
    <xf numFmtId="0" fontId="13" fillId="0" borderId="69" xfId="0" applyFont="1" applyBorder="1" applyAlignment="1">
      <alignment horizontal="center"/>
    </xf>
    <xf numFmtId="0" fontId="13" fillId="0" borderId="70" xfId="0" applyFont="1" applyBorder="1" applyAlignment="1">
      <alignment horizontal="center"/>
    </xf>
    <xf numFmtId="0" fontId="20" fillId="0" borderId="0" xfId="0" applyFont="1" applyAlignment="1">
      <alignment horizontal="left"/>
    </xf>
    <xf numFmtId="0" fontId="20" fillId="0" borderId="63" xfId="0" applyFont="1" applyBorder="1" applyAlignment="1">
      <alignment horizontal="right"/>
    </xf>
    <xf numFmtId="0" fontId="20" fillId="0" borderId="65" xfId="0" applyFont="1" applyBorder="1" applyAlignment="1">
      <alignment horizontal="right"/>
    </xf>
    <xf numFmtId="2" fontId="1" fillId="0" borderId="10" xfId="0" applyNumberFormat="1" applyFont="1" applyBorder="1" applyAlignment="1">
      <alignment horizontal="center"/>
    </xf>
    <xf numFmtId="2" fontId="26" fillId="0" borderId="10" xfId="0" applyNumberFormat="1" applyFont="1" applyBorder="1" applyAlignment="1">
      <alignment horizontal="center"/>
    </xf>
    <xf numFmtId="0" fontId="20" fillId="0" borderId="72" xfId="0" applyFont="1" applyBorder="1" applyAlignment="1">
      <alignment horizontal="center"/>
    </xf>
    <xf numFmtId="0" fontId="20" fillId="0" borderId="70" xfId="0" applyFont="1" applyBorder="1" applyAlignment="1">
      <alignment horizontal="center"/>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B1:O66"/>
  <sheetViews>
    <sheetView workbookViewId="0">
      <selection activeCell="B3" sqref="B3:I3"/>
    </sheetView>
  </sheetViews>
  <sheetFormatPr defaultColWidth="8.6640625" defaultRowHeight="13.2" x14ac:dyDescent="0.25"/>
  <cols>
    <col min="1" max="1" width="9.6640625" customWidth="1"/>
    <col min="2" max="2" width="12" customWidth="1"/>
    <col min="3" max="3" width="52.33203125" customWidth="1"/>
    <col min="4" max="4" width="12.109375" bestFit="1" customWidth="1"/>
    <col min="5" max="5" width="12.109375" customWidth="1"/>
    <col min="6" max="6" width="13.5546875" customWidth="1"/>
    <col min="7" max="7" width="15" customWidth="1"/>
    <col min="8" max="8" width="14.88671875" customWidth="1"/>
    <col min="9" max="9" width="14.6640625" customWidth="1"/>
    <col min="10" max="10" width="12.5546875" customWidth="1"/>
    <col min="11" max="11" width="18.44140625" customWidth="1"/>
    <col min="12" max="12" width="11.109375" customWidth="1"/>
    <col min="15" max="15" width="0" hidden="1" customWidth="1"/>
  </cols>
  <sheetData>
    <row r="1" spans="2:13" ht="21" x14ac:dyDescent="0.4">
      <c r="B1" s="330" t="s">
        <v>244</v>
      </c>
      <c r="C1" s="330"/>
      <c r="D1" s="330"/>
      <c r="E1" s="330"/>
      <c r="F1" s="330"/>
      <c r="G1" s="330"/>
      <c r="H1" s="330"/>
      <c r="I1" s="330"/>
      <c r="J1" s="318"/>
      <c r="K1" s="318"/>
      <c r="L1" s="318"/>
    </row>
    <row r="2" spans="2:13" x14ac:dyDescent="0.25">
      <c r="B2" s="331">
        <v>41822</v>
      </c>
      <c r="C2" s="331"/>
      <c r="D2" s="331"/>
      <c r="E2" s="331"/>
      <c r="F2" s="331"/>
      <c r="G2" s="331"/>
      <c r="H2" s="331"/>
      <c r="I2" s="331"/>
      <c r="J2" s="319"/>
      <c r="K2" s="319"/>
      <c r="L2" s="319"/>
      <c r="M2" s="319"/>
    </row>
    <row r="3" spans="2:13" ht="42.75" customHeight="1" x14ac:dyDescent="0.25">
      <c r="B3" s="332" t="s">
        <v>249</v>
      </c>
      <c r="C3" s="332"/>
      <c r="D3" s="332"/>
      <c r="E3" s="332"/>
      <c r="F3" s="332"/>
      <c r="G3" s="332"/>
      <c r="H3" s="332"/>
      <c r="I3" s="332"/>
      <c r="J3" s="326"/>
      <c r="K3" s="326"/>
      <c r="L3" s="326"/>
    </row>
    <row r="5" spans="2:13" s="94" customFormat="1" ht="36" customHeight="1" x14ac:dyDescent="0.25">
      <c r="B5" s="95" t="s">
        <v>248</v>
      </c>
      <c r="C5" s="333" t="s">
        <v>140</v>
      </c>
      <c r="D5" s="333"/>
      <c r="E5" s="333"/>
      <c r="F5" s="333"/>
      <c r="G5" s="333"/>
      <c r="H5" s="333"/>
      <c r="I5" s="333"/>
      <c r="J5" s="320"/>
      <c r="K5" s="320"/>
      <c r="L5" s="320"/>
    </row>
    <row r="6" spans="2:13" s="94" customFormat="1" ht="51" customHeight="1" x14ac:dyDescent="0.25">
      <c r="C6" s="334" t="s">
        <v>226</v>
      </c>
      <c r="D6" s="334"/>
      <c r="E6" s="334"/>
      <c r="F6" s="334"/>
      <c r="G6" s="334"/>
      <c r="H6" s="334"/>
      <c r="I6" s="334"/>
      <c r="J6" s="322"/>
      <c r="K6" s="322"/>
      <c r="L6" s="322"/>
    </row>
    <row r="7" spans="2:13" s="94" customFormat="1" ht="15" customHeight="1" x14ac:dyDescent="0.25">
      <c r="C7" s="342" t="s">
        <v>79</v>
      </c>
      <c r="D7" s="342"/>
      <c r="E7" s="342"/>
      <c r="F7" s="342"/>
      <c r="G7" s="342"/>
      <c r="H7" s="342"/>
      <c r="I7" s="342"/>
      <c r="J7" s="321"/>
      <c r="K7" s="321"/>
      <c r="L7" s="321"/>
    </row>
    <row r="8" spans="2:13" s="94" customFormat="1" ht="15" customHeight="1" x14ac:dyDescent="0.25">
      <c r="C8" s="337" t="s">
        <v>52</v>
      </c>
      <c r="D8" s="337"/>
      <c r="E8" s="337"/>
      <c r="F8" s="337"/>
      <c r="G8" s="337"/>
      <c r="H8" s="337"/>
      <c r="I8" s="337"/>
      <c r="J8" s="323"/>
      <c r="K8" s="323"/>
      <c r="L8" s="323"/>
    </row>
    <row r="9" spans="2:13" s="94" customFormat="1" ht="15" customHeight="1" x14ac:dyDescent="0.25">
      <c r="C9" s="337" t="s">
        <v>53</v>
      </c>
      <c r="D9" s="340"/>
      <c r="E9" s="340"/>
      <c r="F9" s="340"/>
      <c r="G9" s="340"/>
      <c r="H9" s="340"/>
      <c r="I9" s="340"/>
      <c r="J9" s="340"/>
      <c r="K9" s="340"/>
      <c r="L9" s="340"/>
    </row>
    <row r="10" spans="2:13" ht="25.2" customHeight="1" x14ac:dyDescent="0.25">
      <c r="C10" s="337" t="s">
        <v>67</v>
      </c>
      <c r="D10" s="337"/>
      <c r="E10" s="337"/>
      <c r="F10" s="337"/>
      <c r="G10" s="337"/>
      <c r="H10" s="337"/>
      <c r="I10" s="337"/>
      <c r="J10" s="324"/>
      <c r="K10" s="324"/>
      <c r="L10" s="324"/>
    </row>
    <row r="11" spans="2:13" ht="25.2" customHeight="1" x14ac:dyDescent="0.25">
      <c r="C11" s="195"/>
      <c r="D11" s="196"/>
      <c r="E11" s="196"/>
      <c r="F11" s="196"/>
      <c r="G11" s="196"/>
      <c r="H11" s="196"/>
      <c r="I11" s="196"/>
      <c r="J11" s="196"/>
      <c r="K11" s="196"/>
      <c r="L11" s="196"/>
    </row>
    <row r="12" spans="2:13" ht="12.75" customHeight="1" x14ac:dyDescent="0.25">
      <c r="B12" s="341" t="s">
        <v>2</v>
      </c>
      <c r="C12" s="341"/>
      <c r="D12" s="7"/>
      <c r="E12" s="7"/>
      <c r="F12" s="7"/>
      <c r="G12" s="101"/>
      <c r="H12" s="101"/>
      <c r="I12" s="204"/>
      <c r="J12" s="204"/>
      <c r="K12" s="204"/>
      <c r="L12" s="7"/>
      <c r="M12" s="7"/>
    </row>
    <row r="13" spans="2:13" ht="18" customHeight="1" x14ac:dyDescent="0.25">
      <c r="B13" s="207"/>
      <c r="C13" s="284" t="s">
        <v>138</v>
      </c>
      <c r="D13" s="285" t="s">
        <v>191</v>
      </c>
      <c r="E13" s="252" t="s">
        <v>190</v>
      </c>
      <c r="F13" s="281"/>
      <c r="G13" s="338"/>
      <c r="H13" s="339"/>
      <c r="I13" s="90"/>
      <c r="J13" s="90"/>
      <c r="K13" s="122"/>
    </row>
    <row r="14" spans="2:13" x14ac:dyDescent="0.25">
      <c r="B14" s="94"/>
      <c r="C14" s="282" t="s">
        <v>210</v>
      </c>
      <c r="D14" s="308"/>
      <c r="E14" s="250" t="s">
        <v>143</v>
      </c>
      <c r="F14" s="286" t="s">
        <v>21</v>
      </c>
      <c r="G14" s="335"/>
      <c r="H14" s="336"/>
      <c r="I14" s="205"/>
      <c r="J14" s="205"/>
      <c r="K14" s="206"/>
    </row>
    <row r="15" spans="2:13" x14ac:dyDescent="0.25">
      <c r="B15" s="94"/>
      <c r="C15" s="282" t="s">
        <v>211</v>
      </c>
      <c r="D15" s="308"/>
      <c r="E15" s="250" t="s">
        <v>143</v>
      </c>
      <c r="F15" s="286" t="s">
        <v>21</v>
      </c>
      <c r="G15" s="335"/>
      <c r="H15" s="336"/>
      <c r="I15" s="205"/>
      <c r="J15" s="205"/>
      <c r="K15" s="206"/>
    </row>
    <row r="16" spans="2:13" x14ac:dyDescent="0.25">
      <c r="B16" s="94"/>
      <c r="C16" s="282" t="s">
        <v>83</v>
      </c>
      <c r="D16" s="308"/>
      <c r="E16" s="250" t="s">
        <v>143</v>
      </c>
      <c r="F16" s="286" t="s">
        <v>21</v>
      </c>
      <c r="G16" s="335"/>
      <c r="H16" s="336"/>
      <c r="I16" s="205"/>
      <c r="J16" s="205"/>
      <c r="K16" s="206"/>
    </row>
    <row r="17" spans="2:15" x14ac:dyDescent="0.25">
      <c r="B17" s="94"/>
      <c r="C17" s="282" t="s">
        <v>137</v>
      </c>
      <c r="D17" s="308"/>
      <c r="E17" s="250" t="s">
        <v>143</v>
      </c>
      <c r="F17" s="286" t="s">
        <v>21</v>
      </c>
      <c r="G17" s="335"/>
      <c r="H17" s="336"/>
      <c r="I17" s="205"/>
      <c r="J17" s="205"/>
      <c r="K17" s="206"/>
    </row>
    <row r="18" spans="2:15" x14ac:dyDescent="0.25">
      <c r="B18" s="94"/>
      <c r="C18" s="282" t="s">
        <v>81</v>
      </c>
      <c r="D18" s="308"/>
      <c r="E18" s="250" t="s">
        <v>143</v>
      </c>
      <c r="F18" s="286" t="s">
        <v>21</v>
      </c>
      <c r="G18" s="335"/>
      <c r="H18" s="336"/>
      <c r="I18" s="205"/>
      <c r="J18" s="205"/>
      <c r="K18" s="206"/>
    </row>
    <row r="19" spans="2:15" x14ac:dyDescent="0.25">
      <c r="B19" s="94"/>
      <c r="C19" s="282" t="s">
        <v>82</v>
      </c>
      <c r="D19" s="308"/>
      <c r="E19" s="250" t="s">
        <v>143</v>
      </c>
      <c r="F19" s="286" t="s">
        <v>21</v>
      </c>
      <c r="G19" s="335"/>
      <c r="H19" s="336"/>
      <c r="I19" s="205"/>
      <c r="J19" s="205"/>
      <c r="K19" s="206"/>
    </row>
    <row r="20" spans="2:15" x14ac:dyDescent="0.25">
      <c r="B20" s="94"/>
      <c r="C20" s="282" t="s">
        <v>84</v>
      </c>
      <c r="D20" s="308"/>
      <c r="E20" s="250" t="s">
        <v>143</v>
      </c>
      <c r="F20" s="286" t="s">
        <v>21</v>
      </c>
      <c r="G20" s="335"/>
      <c r="H20" s="336"/>
      <c r="I20" s="205"/>
      <c r="J20" s="205"/>
      <c r="K20" s="206"/>
    </row>
    <row r="21" spans="2:15" x14ac:dyDescent="0.25">
      <c r="B21" s="94"/>
      <c r="C21" s="282" t="s">
        <v>85</v>
      </c>
      <c r="D21" s="308"/>
      <c r="E21" s="250" t="s">
        <v>143</v>
      </c>
      <c r="F21" s="286" t="s">
        <v>21</v>
      </c>
      <c r="G21" s="335"/>
      <c r="H21" s="336"/>
      <c r="I21" s="205"/>
      <c r="J21" s="205"/>
      <c r="K21" s="206"/>
    </row>
    <row r="22" spans="2:15" x14ac:dyDescent="0.25">
      <c r="B22" s="94"/>
      <c r="C22" s="282" t="s">
        <v>207</v>
      </c>
      <c r="D22" s="308"/>
      <c r="E22" s="250" t="s">
        <v>143</v>
      </c>
      <c r="F22" s="286" t="s">
        <v>21</v>
      </c>
      <c r="G22" s="335"/>
      <c r="H22" s="336"/>
      <c r="I22" s="205"/>
      <c r="J22" s="205"/>
      <c r="K22" s="206"/>
    </row>
    <row r="23" spans="2:15" x14ac:dyDescent="0.25">
      <c r="B23" s="94"/>
      <c r="C23" s="282" t="s">
        <v>208</v>
      </c>
      <c r="D23" s="308"/>
      <c r="E23" s="250" t="s">
        <v>143</v>
      </c>
      <c r="F23" s="286" t="s">
        <v>21</v>
      </c>
      <c r="G23" s="335"/>
      <c r="H23" s="336"/>
      <c r="I23" s="205"/>
      <c r="J23" s="345" t="str">
        <f>IF(D22=0,"",IF(D23&gt;0,IF(D24&gt;0,"Choose either Truck Mix Loading OR Mixer Loading, not both","")))</f>
        <v/>
      </c>
      <c r="K23" s="345"/>
    </row>
    <row r="24" spans="2:15" x14ac:dyDescent="0.25">
      <c r="B24" s="94"/>
      <c r="C24" s="282" t="s">
        <v>209</v>
      </c>
      <c r="D24" s="308"/>
      <c r="E24" s="250" t="s">
        <v>143</v>
      </c>
      <c r="F24" s="286" t="s">
        <v>21</v>
      </c>
      <c r="G24" s="335"/>
      <c r="H24" s="336"/>
      <c r="I24" s="205"/>
      <c r="J24" s="345"/>
      <c r="K24" s="345"/>
      <c r="L24" s="6"/>
    </row>
    <row r="25" spans="2:15" ht="10.5" customHeight="1" x14ac:dyDescent="0.25">
      <c r="B25" s="94"/>
      <c r="C25" s="283"/>
      <c r="D25" s="241"/>
      <c r="E25" s="209"/>
      <c r="F25" s="209"/>
      <c r="G25" s="346"/>
      <c r="H25" s="346"/>
      <c r="I25" s="325" t="str">
        <f>IF(SUM(D14:D24)&gt;0,(IF(D26&gt;0,"ERROR: Input your plant's capacity either in the Equipment Maximum Throughput Capacity OR Plant Maximum Production Capacity, not both. Set the other value(s) to zero.","")),IF(SUM(D14:D24)=0,IF(D26&gt;0,"","ERROR: Set either Equipment Maximum Throughput Capacity OR Plant Maximum Production Capacity values to a positive number.")))</f>
        <v/>
      </c>
      <c r="J25" s="325"/>
      <c r="K25" s="325"/>
      <c r="L25" s="6"/>
    </row>
    <row r="26" spans="2:15" ht="24" customHeight="1" x14ac:dyDescent="0.25">
      <c r="B26" s="94"/>
      <c r="C26" s="287" t="s">
        <v>136</v>
      </c>
      <c r="D26" s="308">
        <v>2000000</v>
      </c>
      <c r="E26" s="286" t="s">
        <v>135</v>
      </c>
      <c r="F26" s="209"/>
      <c r="G26" s="346"/>
      <c r="H26" s="346"/>
      <c r="I26" s="325"/>
      <c r="J26" s="325"/>
      <c r="K26" s="325"/>
      <c r="L26" s="6"/>
    </row>
    <row r="27" spans="2:15" ht="10.5" customHeight="1" x14ac:dyDescent="0.25">
      <c r="B27" s="94"/>
      <c r="C27" s="288"/>
      <c r="D27" s="241"/>
      <c r="E27" s="209"/>
      <c r="F27" s="209"/>
      <c r="G27" s="241"/>
      <c r="H27" s="241"/>
      <c r="I27" s="325"/>
      <c r="J27" s="325"/>
      <c r="K27" s="325"/>
      <c r="L27" s="6"/>
    </row>
    <row r="28" spans="2:15" ht="28.5" customHeight="1" x14ac:dyDescent="0.25">
      <c r="B28" s="94"/>
      <c r="C28" s="343" t="s">
        <v>189</v>
      </c>
      <c r="D28" s="343"/>
      <c r="E28" s="344" t="s">
        <v>87</v>
      </c>
      <c r="F28" s="344"/>
      <c r="G28" s="241"/>
      <c r="H28" s="241"/>
      <c r="I28" s="325"/>
      <c r="J28" s="325"/>
      <c r="K28" s="325"/>
      <c r="L28" s="6"/>
      <c r="O28" s="60" t="s">
        <v>87</v>
      </c>
    </row>
    <row r="29" spans="2:15" ht="9.75" customHeight="1" x14ac:dyDescent="0.25">
      <c r="B29" s="94"/>
      <c r="C29" s="210"/>
      <c r="D29" s="97"/>
      <c r="E29" s="97"/>
      <c r="F29" s="98"/>
      <c r="G29" s="205"/>
      <c r="H29" s="205"/>
      <c r="I29" s="325"/>
      <c r="J29" s="325"/>
      <c r="K29" s="325"/>
      <c r="L29" s="6"/>
      <c r="O29" s="60" t="s">
        <v>192</v>
      </c>
    </row>
    <row r="30" spans="2:15" ht="15.75" customHeight="1" x14ac:dyDescent="0.25">
      <c r="B30" s="94"/>
      <c r="C30" s="289" t="s">
        <v>139</v>
      </c>
      <c r="D30" s="290"/>
      <c r="E30" s="291" t="s">
        <v>153</v>
      </c>
      <c r="F30" s="292"/>
      <c r="G30" s="293"/>
      <c r="H30" s="293"/>
      <c r="I30" s="294"/>
      <c r="J30" s="208"/>
      <c r="K30" s="208"/>
      <c r="L30" s="6"/>
    </row>
    <row r="31" spans="2:15" x14ac:dyDescent="0.25">
      <c r="B31" s="94"/>
      <c r="C31" s="295" t="s">
        <v>49</v>
      </c>
      <c r="D31" s="264"/>
      <c r="E31" s="209" t="s">
        <v>151</v>
      </c>
      <c r="F31" s="179" t="s">
        <v>21</v>
      </c>
      <c r="G31" s="296" t="str">
        <f t="shared" ref="G31" si="0">IF(D31&gt;=0,"","ERROR!")</f>
        <v/>
      </c>
      <c r="H31" s="297" t="s">
        <v>8</v>
      </c>
      <c r="I31" s="298"/>
      <c r="J31" s="94"/>
      <c r="L31" s="6"/>
    </row>
    <row r="32" spans="2:15" x14ac:dyDescent="0.25">
      <c r="B32" s="94"/>
      <c r="C32" s="295" t="s">
        <v>50</v>
      </c>
      <c r="D32" s="264"/>
      <c r="E32" s="209" t="s">
        <v>151</v>
      </c>
      <c r="F32" s="179" t="s">
        <v>21</v>
      </c>
      <c r="G32" s="241" t="s">
        <v>48</v>
      </c>
      <c r="H32" s="299">
        <v>1.5E-3</v>
      </c>
      <c r="I32" s="229" t="s">
        <v>47</v>
      </c>
      <c r="J32" s="94"/>
    </row>
    <row r="33" spans="2:13" x14ac:dyDescent="0.25">
      <c r="B33" s="94"/>
      <c r="C33" s="295" t="s">
        <v>51</v>
      </c>
      <c r="D33" s="264">
        <v>10</v>
      </c>
      <c r="E33" s="209" t="s">
        <v>151</v>
      </c>
      <c r="F33" s="179" t="s">
        <v>21</v>
      </c>
      <c r="G33" s="241" t="s">
        <v>48</v>
      </c>
      <c r="H33" s="299">
        <v>1.5E-3</v>
      </c>
      <c r="I33" s="300" t="s">
        <v>42</v>
      </c>
      <c r="J33" s="94"/>
    </row>
    <row r="34" spans="2:13" x14ac:dyDescent="0.25">
      <c r="B34" s="94"/>
      <c r="C34" s="295" t="s">
        <v>245</v>
      </c>
      <c r="D34" s="264">
        <v>750</v>
      </c>
      <c r="E34" s="209" t="s">
        <v>35</v>
      </c>
      <c r="F34" s="209" t="s">
        <v>21</v>
      </c>
      <c r="G34" s="312" t="s">
        <v>48</v>
      </c>
      <c r="H34" s="299">
        <v>1.5E-3</v>
      </c>
      <c r="I34" s="229" t="s">
        <v>47</v>
      </c>
      <c r="J34" s="94"/>
    </row>
    <row r="35" spans="2:13" x14ac:dyDescent="0.25">
      <c r="B35" s="94"/>
      <c r="C35" s="295" t="s">
        <v>56</v>
      </c>
      <c r="D35" s="264">
        <v>500</v>
      </c>
      <c r="E35" s="209" t="s">
        <v>35</v>
      </c>
      <c r="F35" s="179" t="s">
        <v>21</v>
      </c>
      <c r="G35" s="241" t="s">
        <v>48</v>
      </c>
      <c r="H35" s="299">
        <v>1.5E-3</v>
      </c>
      <c r="I35" s="229" t="s">
        <v>47</v>
      </c>
      <c r="J35" s="94"/>
    </row>
    <row r="36" spans="2:13" x14ac:dyDescent="0.25">
      <c r="B36" s="94"/>
      <c r="C36" s="295" t="s">
        <v>246</v>
      </c>
      <c r="D36" s="264">
        <v>250</v>
      </c>
      <c r="E36" s="209" t="s">
        <v>35</v>
      </c>
      <c r="F36" s="209" t="s">
        <v>21</v>
      </c>
      <c r="G36" s="312" t="s">
        <v>48</v>
      </c>
      <c r="H36" s="299">
        <v>1.5E-3</v>
      </c>
      <c r="I36" s="229" t="s">
        <v>47</v>
      </c>
      <c r="J36" s="94"/>
    </row>
    <row r="37" spans="2:13" x14ac:dyDescent="0.25">
      <c r="B37" s="94"/>
      <c r="C37" s="301" t="s">
        <v>57</v>
      </c>
      <c r="D37" s="302">
        <v>250</v>
      </c>
      <c r="E37" s="303" t="s">
        <v>35</v>
      </c>
      <c r="F37" s="304" t="s">
        <v>21</v>
      </c>
      <c r="G37" s="312" t="s">
        <v>48</v>
      </c>
      <c r="H37" s="299">
        <v>1.5E-3</v>
      </c>
      <c r="I37" s="229" t="s">
        <v>47</v>
      </c>
      <c r="J37" s="94"/>
    </row>
    <row r="38" spans="2:13" ht="13.2" customHeight="1" x14ac:dyDescent="0.25">
      <c r="B38" s="94"/>
      <c r="C38" s="305"/>
      <c r="D38" s="264"/>
      <c r="E38" s="105" t="s">
        <v>46</v>
      </c>
      <c r="F38" s="179"/>
      <c r="G38" s="179"/>
      <c r="H38" s="306"/>
      <c r="I38" s="307"/>
      <c r="J38" s="102"/>
      <c r="K38" s="61"/>
      <c r="L38" s="61"/>
      <c r="M38" s="62"/>
    </row>
    <row r="39" spans="2:13" x14ac:dyDescent="0.25">
      <c r="B39" s="94"/>
      <c r="C39" s="103"/>
      <c r="D39" s="96"/>
      <c r="E39" s="179" t="s">
        <v>80</v>
      </c>
      <c r="F39" s="103"/>
      <c r="G39" s="98"/>
      <c r="H39" s="102"/>
      <c r="I39" s="102"/>
      <c r="J39" s="102"/>
      <c r="K39" s="61"/>
      <c r="L39" s="61"/>
      <c r="M39" s="62"/>
    </row>
    <row r="40" spans="2:13" x14ac:dyDescent="0.25">
      <c r="B40" s="94"/>
      <c r="C40" s="104"/>
      <c r="D40" s="96"/>
      <c r="E40" s="179"/>
      <c r="F40" s="100"/>
      <c r="G40" s="99"/>
      <c r="H40" s="102"/>
      <c r="I40" s="102"/>
      <c r="J40" s="102"/>
      <c r="K40" s="61"/>
      <c r="L40" s="61"/>
    </row>
    <row r="41" spans="2:13" x14ac:dyDescent="0.25">
      <c r="B41" s="106" t="s">
        <v>121</v>
      </c>
      <c r="C41" s="104"/>
      <c r="D41" s="96"/>
      <c r="E41" s="209" t="s">
        <v>153</v>
      </c>
      <c r="F41" s="100"/>
      <c r="G41" s="99"/>
      <c r="H41" s="102"/>
      <c r="I41" s="102"/>
      <c r="J41" s="102"/>
      <c r="K41" s="61"/>
      <c r="L41" s="61"/>
    </row>
    <row r="42" spans="2:13" x14ac:dyDescent="0.25">
      <c r="C42" s="224" t="s">
        <v>122</v>
      </c>
      <c r="D42" s="225">
        <v>5</v>
      </c>
      <c r="E42" s="230" t="s">
        <v>152</v>
      </c>
    </row>
    <row r="43" spans="2:13" x14ac:dyDescent="0.25">
      <c r="C43" s="228" t="s">
        <v>149</v>
      </c>
      <c r="D43" s="205">
        <v>50</v>
      </c>
      <c r="E43" s="229" t="s">
        <v>150</v>
      </c>
    </row>
    <row r="44" spans="2:13" x14ac:dyDescent="0.25">
      <c r="C44" s="226" t="s">
        <v>124</v>
      </c>
      <c r="D44" s="227">
        <v>5</v>
      </c>
      <c r="E44" s="231" t="s">
        <v>0</v>
      </c>
    </row>
    <row r="45" spans="2:13" x14ac:dyDescent="0.25">
      <c r="C45" s="203"/>
    </row>
    <row r="46" spans="2:13" x14ac:dyDescent="0.25">
      <c r="B46" s="1" t="s">
        <v>126</v>
      </c>
      <c r="C46" s="203"/>
    </row>
    <row r="47" spans="2:13" ht="24" customHeight="1" x14ac:dyDescent="0.25">
      <c r="C47" s="191" t="s">
        <v>99</v>
      </c>
      <c r="D47" s="328" t="s">
        <v>127</v>
      </c>
      <c r="E47" s="329"/>
      <c r="F47" s="328" t="s">
        <v>130</v>
      </c>
      <c r="G47" s="329"/>
      <c r="H47" s="328" t="s">
        <v>131</v>
      </c>
      <c r="I47" s="329"/>
      <c r="J47" s="203"/>
    </row>
    <row r="48" spans="2:13" x14ac:dyDescent="0.25">
      <c r="C48" s="280" t="s">
        <v>132</v>
      </c>
      <c r="D48" s="327">
        <v>25</v>
      </c>
      <c r="E48" s="327"/>
      <c r="F48" s="327">
        <v>1000</v>
      </c>
      <c r="G48" s="327"/>
      <c r="H48" s="327">
        <v>0.1</v>
      </c>
      <c r="I48" s="327"/>
    </row>
    <row r="49" spans="2:9" x14ac:dyDescent="0.25">
      <c r="C49" s="242" t="s">
        <v>133</v>
      </c>
      <c r="D49" s="327">
        <v>25</v>
      </c>
      <c r="E49" s="327"/>
      <c r="F49" s="327">
        <v>50</v>
      </c>
      <c r="G49" s="327"/>
      <c r="H49" s="327">
        <v>0.1</v>
      </c>
      <c r="I49" s="327"/>
    </row>
    <row r="50" spans="2:9" x14ac:dyDescent="0.25">
      <c r="C50" s="276" t="s">
        <v>229</v>
      </c>
      <c r="D50" s="327">
        <v>1</v>
      </c>
      <c r="E50" s="327"/>
      <c r="F50" s="327">
        <v>200</v>
      </c>
      <c r="G50" s="327"/>
      <c r="H50" s="327">
        <v>0.1</v>
      </c>
      <c r="I50" s="327"/>
    </row>
    <row r="51" spans="2:9" x14ac:dyDescent="0.25">
      <c r="C51" s="60"/>
      <c r="D51" s="60" t="s">
        <v>129</v>
      </c>
      <c r="E51" s="60"/>
    </row>
    <row r="52" spans="2:9" x14ac:dyDescent="0.25">
      <c r="B52" s="1" t="s">
        <v>128</v>
      </c>
    </row>
    <row r="53" spans="2:9" ht="26.25" customHeight="1" x14ac:dyDescent="0.25">
      <c r="C53" s="191" t="s">
        <v>99</v>
      </c>
      <c r="D53" s="328" t="s">
        <v>127</v>
      </c>
      <c r="E53" s="329"/>
      <c r="F53" s="328" t="s">
        <v>130</v>
      </c>
      <c r="G53" s="329"/>
      <c r="H53" s="328" t="s">
        <v>131</v>
      </c>
      <c r="I53" s="329"/>
    </row>
    <row r="54" spans="2:9" x14ac:dyDescent="0.25">
      <c r="C54" s="280" t="s">
        <v>132</v>
      </c>
      <c r="D54" s="327">
        <v>25</v>
      </c>
      <c r="E54" s="327"/>
      <c r="F54" s="327">
        <v>1000</v>
      </c>
      <c r="G54" s="327"/>
      <c r="H54" s="327">
        <v>0.15</v>
      </c>
      <c r="I54" s="327"/>
    </row>
    <row r="55" spans="2:9" x14ac:dyDescent="0.25">
      <c r="C55" s="242" t="s">
        <v>133</v>
      </c>
      <c r="D55" s="327">
        <v>25</v>
      </c>
      <c r="E55" s="327"/>
      <c r="F55" s="327">
        <v>50</v>
      </c>
      <c r="G55" s="327"/>
      <c r="H55" s="327">
        <v>0.4</v>
      </c>
      <c r="I55" s="327"/>
    </row>
    <row r="56" spans="2:9" x14ac:dyDescent="0.25">
      <c r="C56" s="276" t="s">
        <v>229</v>
      </c>
      <c r="D56" s="327">
        <v>1</v>
      </c>
      <c r="E56" s="327"/>
      <c r="F56" s="327">
        <v>200</v>
      </c>
      <c r="G56" s="327"/>
      <c r="H56" s="327">
        <v>0</v>
      </c>
      <c r="I56" s="327"/>
    </row>
    <row r="57" spans="2:9" x14ac:dyDescent="0.25">
      <c r="C57" s="60"/>
      <c r="D57" s="60" t="s">
        <v>129</v>
      </c>
    </row>
    <row r="59" spans="2:9" x14ac:dyDescent="0.25">
      <c r="B59" s="6"/>
      <c r="C59" s="6"/>
      <c r="D59" s="6"/>
      <c r="E59" s="6"/>
      <c r="F59" s="6"/>
    </row>
    <row r="61" spans="2:9" x14ac:dyDescent="0.25">
      <c r="B61" s="1" t="s">
        <v>228</v>
      </c>
    </row>
    <row r="62" spans="2:9" x14ac:dyDescent="0.25">
      <c r="C62" s="60" t="s">
        <v>231</v>
      </c>
      <c r="D62" s="276">
        <v>10</v>
      </c>
      <c r="E62" s="60" t="s">
        <v>230</v>
      </c>
    </row>
    <row r="63" spans="2:9" x14ac:dyDescent="0.25">
      <c r="C63" s="60" t="s">
        <v>232</v>
      </c>
      <c r="D63" s="276">
        <v>8</v>
      </c>
      <c r="E63" s="60" t="s">
        <v>237</v>
      </c>
    </row>
    <row r="64" spans="2:9" x14ac:dyDescent="0.25">
      <c r="C64" s="60" t="s">
        <v>233</v>
      </c>
      <c r="D64" s="276">
        <v>50</v>
      </c>
      <c r="E64" s="60" t="s">
        <v>125</v>
      </c>
      <c r="F64" t="s">
        <v>216</v>
      </c>
    </row>
    <row r="65" spans="3:6" x14ac:dyDescent="0.25">
      <c r="C65" s="60" t="s">
        <v>234</v>
      </c>
      <c r="D65" s="276">
        <v>30</v>
      </c>
      <c r="E65" s="60" t="s">
        <v>125</v>
      </c>
      <c r="F65" t="s">
        <v>217</v>
      </c>
    </row>
    <row r="66" spans="3:6" x14ac:dyDescent="0.25">
      <c r="C66" s="60" t="s">
        <v>235</v>
      </c>
      <c r="D66" s="276">
        <v>5</v>
      </c>
      <c r="E66" s="60" t="s">
        <v>236</v>
      </c>
      <c r="F66" t="s">
        <v>227</v>
      </c>
    </row>
  </sheetData>
  <mergeCells count="51">
    <mergeCell ref="C7:I7"/>
    <mergeCell ref="C28:D28"/>
    <mergeCell ref="E28:F28"/>
    <mergeCell ref="J23:K24"/>
    <mergeCell ref="G15:H15"/>
    <mergeCell ref="G25:H25"/>
    <mergeCell ref="G26:H26"/>
    <mergeCell ref="G21:H21"/>
    <mergeCell ref="G22:H22"/>
    <mergeCell ref="G23:H23"/>
    <mergeCell ref="G24:H24"/>
    <mergeCell ref="G20:H20"/>
    <mergeCell ref="G17:H17"/>
    <mergeCell ref="G14:H14"/>
    <mergeCell ref="G16:H16"/>
    <mergeCell ref="G18:H18"/>
    <mergeCell ref="G19:H19"/>
    <mergeCell ref="C8:I8"/>
    <mergeCell ref="G13:H13"/>
    <mergeCell ref="C9:L9"/>
    <mergeCell ref="B12:C12"/>
    <mergeCell ref="C10:I10"/>
    <mergeCell ref="B1:I1"/>
    <mergeCell ref="B2:I2"/>
    <mergeCell ref="B3:I3"/>
    <mergeCell ref="C5:I5"/>
    <mergeCell ref="C6:I6"/>
    <mergeCell ref="D47:E47"/>
    <mergeCell ref="F47:G47"/>
    <mergeCell ref="H47:I47"/>
    <mergeCell ref="D53:E53"/>
    <mergeCell ref="F53:G53"/>
    <mergeCell ref="H53:I53"/>
    <mergeCell ref="D48:E48"/>
    <mergeCell ref="F48:G48"/>
    <mergeCell ref="H48:I48"/>
    <mergeCell ref="D55:E55"/>
    <mergeCell ref="D56:E56"/>
    <mergeCell ref="F55:G55"/>
    <mergeCell ref="F56:G56"/>
    <mergeCell ref="H55:I55"/>
    <mergeCell ref="H56:I56"/>
    <mergeCell ref="D54:E54"/>
    <mergeCell ref="F54:G54"/>
    <mergeCell ref="H54:I54"/>
    <mergeCell ref="D49:E49"/>
    <mergeCell ref="D50:E50"/>
    <mergeCell ref="F49:G49"/>
    <mergeCell ref="F50:G50"/>
    <mergeCell ref="H49:I49"/>
    <mergeCell ref="H50:I50"/>
  </mergeCells>
  <phoneticPr fontId="2" type="noConversion"/>
  <dataValidations count="1">
    <dataValidation type="list" allowBlank="1" showInputMessage="1" showErrorMessage="1" sqref="E28:F28">
      <formula1>$O$28:$O$29</formula1>
    </dataValidation>
  </dataValidations>
  <pageMargins left="0.75" right="0.75" top="1" bottom="1" header="0.5" footer="0.5"/>
  <pageSetup scale="57" orientation="portrait" r:id="rId1"/>
  <headerFooter alignWithMargins="0">
    <oddFooter>Page &amp;P of &amp;N</oddFooter>
  </headerFooter>
  <colBreaks count="1" manualBreakCount="1">
    <brk id="13" max="1048575" man="1"/>
  </colBreaks>
  <customProperties>
    <customPr name="DVSECTIONID" r:id="rId2"/>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26"/>
  <sheetViews>
    <sheetView tabSelected="1" workbookViewId="0">
      <selection activeCell="H30" sqref="H30"/>
    </sheetView>
  </sheetViews>
  <sheetFormatPr defaultColWidth="8.6640625" defaultRowHeight="13.2" x14ac:dyDescent="0.25"/>
  <cols>
    <col min="1" max="1" width="11.44140625" customWidth="1"/>
    <col min="2" max="2" width="22.33203125" customWidth="1"/>
    <col min="3" max="3" width="21" customWidth="1"/>
    <col min="4" max="4" width="10.88671875" customWidth="1"/>
  </cols>
  <sheetData>
    <row r="1" spans="1:15" ht="21" x14ac:dyDescent="0.4">
      <c r="A1" s="330" t="str">
        <f>Inputs!B1</f>
        <v>Potential To Emit Calculator for Concrete Batch Plants</v>
      </c>
      <c r="B1" s="330"/>
      <c r="C1" s="330"/>
      <c r="D1" s="330"/>
      <c r="E1" s="330"/>
      <c r="F1" s="330"/>
      <c r="G1" s="330"/>
      <c r="H1" s="330"/>
      <c r="I1" s="330"/>
      <c r="J1" s="330"/>
      <c r="K1" s="330"/>
      <c r="L1" s="330"/>
      <c r="M1" s="330"/>
      <c r="N1" s="9"/>
      <c r="O1" s="9"/>
    </row>
    <row r="2" spans="1:15" x14ac:dyDescent="0.25">
      <c r="A2" s="331">
        <f>Inputs!B2</f>
        <v>41822</v>
      </c>
      <c r="B2" s="331"/>
      <c r="C2" s="331"/>
      <c r="D2" s="331"/>
      <c r="E2" s="331"/>
      <c r="F2" s="331"/>
      <c r="G2" s="331"/>
      <c r="H2" s="331"/>
      <c r="I2" s="331"/>
      <c r="J2" s="331"/>
      <c r="K2" s="331"/>
      <c r="L2" s="331"/>
      <c r="M2" s="331"/>
      <c r="N2" s="10"/>
      <c r="O2" s="10"/>
    </row>
    <row r="3" spans="1:15" ht="17.25" customHeight="1" x14ac:dyDescent="0.3">
      <c r="A3" s="355" t="s">
        <v>214</v>
      </c>
      <c r="B3" s="355"/>
      <c r="C3" s="355"/>
      <c r="D3" s="355"/>
      <c r="E3" s="355"/>
      <c r="F3" s="355"/>
      <c r="G3" s="355"/>
      <c r="H3" s="355"/>
      <c r="I3" s="355"/>
      <c r="J3" s="355"/>
      <c r="K3" s="355"/>
      <c r="L3" s="355"/>
      <c r="M3" s="355"/>
    </row>
    <row r="4" spans="1:15" x14ac:dyDescent="0.25">
      <c r="A4" s="60"/>
      <c r="B4" s="123"/>
      <c r="C4" s="123"/>
      <c r="D4" s="124"/>
      <c r="E4" s="97"/>
      <c r="F4" s="60"/>
      <c r="G4" s="60"/>
      <c r="H4" s="60"/>
      <c r="I4" s="60"/>
      <c r="J4" s="60"/>
      <c r="K4" s="60"/>
      <c r="L4" s="60"/>
      <c r="M4" s="60"/>
    </row>
    <row r="5" spans="1:15" x14ac:dyDescent="0.25">
      <c r="A5" s="60"/>
      <c r="B5" s="123"/>
      <c r="C5" s="123"/>
      <c r="D5" s="124"/>
      <c r="E5" s="97"/>
      <c r="F5" s="60"/>
      <c r="G5" s="60"/>
      <c r="H5" s="60"/>
      <c r="I5" s="5" t="s">
        <v>1</v>
      </c>
      <c r="J5" s="60"/>
      <c r="K5" s="60"/>
      <c r="L5" s="60"/>
      <c r="M5" s="60"/>
    </row>
    <row r="6" spans="1:15" x14ac:dyDescent="0.25">
      <c r="A6" s="60"/>
      <c r="B6" s="123"/>
      <c r="C6" s="123"/>
      <c r="D6" s="124"/>
      <c r="E6" s="97"/>
      <c r="F6" s="60"/>
      <c r="G6" s="60"/>
      <c r="H6" s="60"/>
      <c r="I6" s="2" t="s">
        <v>20</v>
      </c>
      <c r="J6" s="60"/>
      <c r="K6" s="60"/>
      <c r="L6" s="60"/>
      <c r="M6" s="60"/>
    </row>
    <row r="7" spans="1:15" ht="13.8" thickBot="1" x14ac:dyDescent="0.3">
      <c r="A7" s="60"/>
      <c r="B7" s="60"/>
      <c r="C7" s="60"/>
      <c r="D7" s="60"/>
      <c r="E7" s="60"/>
      <c r="F7" s="60"/>
      <c r="G7" s="60"/>
      <c r="H7" s="60"/>
      <c r="I7" s="60"/>
      <c r="J7" s="60"/>
      <c r="K7" s="60"/>
      <c r="L7" s="60"/>
      <c r="M7" s="60"/>
    </row>
    <row r="8" spans="1:15" ht="13.8" thickTop="1" x14ac:dyDescent="0.25">
      <c r="A8" s="112"/>
      <c r="B8" s="112"/>
      <c r="C8" s="112"/>
      <c r="D8" s="112"/>
      <c r="E8" s="112"/>
      <c r="F8" s="112"/>
      <c r="G8" s="112"/>
      <c r="H8" s="112"/>
      <c r="I8" s="112"/>
      <c r="J8" s="112"/>
      <c r="K8" s="112"/>
      <c r="L8" s="112"/>
      <c r="M8" s="60"/>
    </row>
    <row r="9" spans="1:15" ht="15.6" x14ac:dyDescent="0.3">
      <c r="A9" s="59"/>
      <c r="B9" s="278" t="s">
        <v>220</v>
      </c>
      <c r="C9" s="59"/>
      <c r="D9" s="59"/>
      <c r="E9" s="59"/>
      <c r="F9" s="59"/>
      <c r="G9" s="59"/>
      <c r="H9" s="59"/>
      <c r="I9" s="59"/>
      <c r="J9" s="59"/>
      <c r="K9" s="59"/>
      <c r="L9" s="59"/>
      <c r="M9" s="60"/>
    </row>
    <row r="10" spans="1:15" x14ac:dyDescent="0.25">
      <c r="A10" s="59"/>
      <c r="B10" s="26" t="s">
        <v>221</v>
      </c>
      <c r="C10" s="26"/>
      <c r="D10" s="309">
        <f>Inputs!D62</f>
        <v>10</v>
      </c>
      <c r="E10" s="59"/>
      <c r="F10" s="59"/>
      <c r="G10" s="59"/>
      <c r="H10" s="59"/>
      <c r="I10" s="59"/>
      <c r="J10" s="59"/>
      <c r="K10" s="59"/>
      <c r="L10" s="59"/>
      <c r="M10" s="60"/>
    </row>
    <row r="11" spans="1:15" x14ac:dyDescent="0.25">
      <c r="A11" s="59"/>
      <c r="B11" s="26" t="s">
        <v>222</v>
      </c>
      <c r="C11" s="59"/>
      <c r="D11" s="309">
        <f>Inputs!D63</f>
        <v>8</v>
      </c>
      <c r="E11" s="59"/>
      <c r="F11" s="59"/>
      <c r="G11" s="59"/>
      <c r="H11" s="59"/>
      <c r="I11" s="59"/>
      <c r="J11" s="59"/>
      <c r="K11" s="59"/>
      <c r="L11" s="59"/>
      <c r="M11" s="60"/>
    </row>
    <row r="12" spans="1:15" x14ac:dyDescent="0.25">
      <c r="A12" s="59"/>
      <c r="B12" s="26" t="s">
        <v>223</v>
      </c>
      <c r="C12" s="59"/>
      <c r="D12" s="309">
        <f>Inputs!D64</f>
        <v>50</v>
      </c>
      <c r="E12" s="59" t="s">
        <v>216</v>
      </c>
      <c r="F12" s="59"/>
      <c r="G12" s="59"/>
      <c r="H12" s="59"/>
      <c r="I12" s="59"/>
      <c r="J12" s="59"/>
      <c r="K12" s="59"/>
      <c r="L12" s="59"/>
      <c r="M12" s="60"/>
    </row>
    <row r="13" spans="1:15" x14ac:dyDescent="0.25">
      <c r="A13" s="59"/>
      <c r="B13" s="26" t="s">
        <v>224</v>
      </c>
      <c r="C13" s="59"/>
      <c r="D13" s="309">
        <f>Inputs!D65</f>
        <v>30</v>
      </c>
      <c r="E13" s="59" t="s">
        <v>217</v>
      </c>
      <c r="F13" s="59"/>
      <c r="G13" s="59"/>
      <c r="H13" s="59"/>
      <c r="I13" s="59"/>
      <c r="J13" s="59"/>
      <c r="K13" s="59"/>
      <c r="L13" s="59"/>
      <c r="M13" s="60"/>
    </row>
    <row r="14" spans="1:15" x14ac:dyDescent="0.25">
      <c r="A14" s="59"/>
      <c r="B14" s="26" t="s">
        <v>225</v>
      </c>
      <c r="C14" s="59"/>
      <c r="D14" s="309">
        <f>Inputs!D66</f>
        <v>5</v>
      </c>
      <c r="E14" s="279" t="str">
        <f>IF(D14&gt;D10,"  Solvent recycling cannot exceed purchases","")</f>
        <v/>
      </c>
      <c r="F14" s="59"/>
      <c r="G14" s="59"/>
      <c r="H14" s="59"/>
      <c r="I14" s="59"/>
      <c r="J14" s="59"/>
      <c r="K14" s="59"/>
      <c r="L14" s="59"/>
      <c r="M14" s="60"/>
    </row>
    <row r="15" spans="1:15" ht="13.8" thickBot="1" x14ac:dyDescent="0.3">
      <c r="A15" s="1"/>
      <c r="B15" s="1"/>
      <c r="C15" s="60"/>
      <c r="D15" s="113"/>
      <c r="E15" s="64" t="str">
        <f>IF(D4&gt;0,"Y","")</f>
        <v/>
      </c>
      <c r="F15" s="60"/>
      <c r="G15" s="59"/>
      <c r="H15" s="59"/>
      <c r="I15" s="59"/>
      <c r="J15" s="59"/>
      <c r="K15" s="59"/>
      <c r="L15" s="59"/>
      <c r="M15" s="60"/>
    </row>
    <row r="16" spans="1:15" s="15" customFormat="1" ht="12.75" customHeight="1" x14ac:dyDescent="0.25">
      <c r="A16" s="60"/>
      <c r="B16" s="119"/>
      <c r="C16" s="111"/>
      <c r="D16" s="111"/>
      <c r="E16" s="382" t="s">
        <v>17</v>
      </c>
      <c r="F16" s="383"/>
      <c r="G16" s="122"/>
      <c r="H16" s="122"/>
      <c r="I16" s="122"/>
      <c r="J16" s="122"/>
      <c r="K16" s="59"/>
      <c r="L16" s="59"/>
      <c r="M16" s="59"/>
      <c r="N16" s="19"/>
    </row>
    <row r="17" spans="1:13" s="15" customFormat="1" x14ac:dyDescent="0.25">
      <c r="A17" s="59"/>
      <c r="B17" s="109"/>
      <c r="C17" s="59"/>
      <c r="D17" s="59"/>
      <c r="E17" s="66" t="s">
        <v>18</v>
      </c>
      <c r="F17" s="265" t="s">
        <v>65</v>
      </c>
      <c r="G17" s="59"/>
      <c r="H17" s="19"/>
      <c r="I17" s="19"/>
    </row>
    <row r="18" spans="1:13" s="15" customFormat="1" x14ac:dyDescent="0.25">
      <c r="A18" s="59"/>
      <c r="B18" s="109"/>
      <c r="C18" s="59"/>
      <c r="D18" s="59"/>
      <c r="E18" s="132"/>
      <c r="F18" s="154"/>
      <c r="G18" s="59"/>
      <c r="H18" s="19"/>
      <c r="I18" s="19"/>
    </row>
    <row r="19" spans="1:13" s="14" customFormat="1" x14ac:dyDescent="0.25">
      <c r="A19" s="26"/>
      <c r="B19" s="109" t="s">
        <v>24</v>
      </c>
      <c r="C19" s="26"/>
      <c r="D19" s="26"/>
      <c r="E19" s="70">
        <f>D10*D11*D12/100/2000</f>
        <v>0.02</v>
      </c>
      <c r="F19" s="110">
        <f>D10*D11*D13/100/2000</f>
        <v>1.2E-2</v>
      </c>
      <c r="G19" s="26"/>
      <c r="H19" s="20"/>
      <c r="I19" s="20"/>
    </row>
    <row r="20" spans="1:13" s="14" customFormat="1" x14ac:dyDescent="0.25">
      <c r="A20" s="26"/>
      <c r="B20" s="109" t="s">
        <v>182</v>
      </c>
      <c r="C20" s="26"/>
      <c r="D20" s="26"/>
      <c r="E20" s="70">
        <f>IF(D10=0,0,E19*(1-D14/D10))</f>
        <v>0.01</v>
      </c>
      <c r="F20" s="110">
        <f>IF(D10=0,0,F19*(1-D14/D10))</f>
        <v>6.0000000000000001E-3</v>
      </c>
      <c r="G20" s="26"/>
      <c r="H20" s="20"/>
      <c r="I20" s="20"/>
    </row>
    <row r="21" spans="1:13" s="15" customFormat="1" ht="13.8" thickBot="1" x14ac:dyDescent="0.3">
      <c r="A21" s="59"/>
      <c r="B21" s="116"/>
      <c r="C21" s="117"/>
      <c r="D21" s="117"/>
      <c r="E21" s="118"/>
      <c r="F21" s="120"/>
      <c r="G21" s="59"/>
      <c r="H21" s="19"/>
      <c r="I21" s="19"/>
    </row>
    <row r="22" spans="1:13" s="15" customFormat="1" x14ac:dyDescent="0.25">
      <c r="A22" s="60"/>
      <c r="B22" s="1" t="s">
        <v>9</v>
      </c>
      <c r="C22" s="60"/>
      <c r="D22" s="60"/>
      <c r="E22" s="60"/>
      <c r="F22" s="60"/>
      <c r="G22" s="60"/>
      <c r="H22" s="60"/>
      <c r="I22" s="60"/>
      <c r="J22" s="60"/>
      <c r="K22" s="60"/>
      <c r="L22" s="60"/>
      <c r="M22" s="60"/>
    </row>
    <row r="23" spans="1:13" s="15" customFormat="1" x14ac:dyDescent="0.25">
      <c r="A23" s="60"/>
      <c r="B23" s="60" t="s">
        <v>215</v>
      </c>
      <c r="C23" s="60"/>
      <c r="D23" s="60"/>
      <c r="E23" s="60"/>
      <c r="F23" s="60"/>
      <c r="G23" s="60"/>
      <c r="H23" s="60"/>
      <c r="I23" s="60"/>
      <c r="J23" s="60"/>
      <c r="K23" s="60"/>
      <c r="L23" s="60"/>
      <c r="M23" s="60"/>
    </row>
    <row r="24" spans="1:13" s="15" customFormat="1" x14ac:dyDescent="0.25">
      <c r="A24" s="60"/>
      <c r="B24" s="277" t="s">
        <v>219</v>
      </c>
      <c r="C24" s="60"/>
      <c r="D24" s="60"/>
      <c r="E24" s="60"/>
      <c r="F24" s="60"/>
      <c r="G24" s="60"/>
      <c r="H24" s="60"/>
      <c r="I24" s="60"/>
      <c r="J24" s="60"/>
      <c r="K24" s="60"/>
      <c r="L24" s="60"/>
      <c r="M24" s="60"/>
    </row>
    <row r="25" spans="1:13" x14ac:dyDescent="0.25">
      <c r="A25" s="60"/>
      <c r="B25" s="60"/>
      <c r="C25" s="60"/>
      <c r="D25" s="60"/>
      <c r="E25" s="60"/>
      <c r="F25" s="60"/>
      <c r="G25" s="60"/>
      <c r="H25" s="60"/>
      <c r="I25" s="60"/>
      <c r="J25" s="60"/>
      <c r="K25" s="60"/>
      <c r="L25" s="60"/>
      <c r="M25" s="60"/>
    </row>
    <row r="26" spans="1:13" x14ac:dyDescent="0.25">
      <c r="A26" s="60"/>
      <c r="B26" s="60"/>
      <c r="C26" s="60"/>
      <c r="D26" s="60"/>
      <c r="E26" s="60"/>
      <c r="F26" s="60"/>
      <c r="G26" s="60"/>
      <c r="H26" s="60"/>
      <c r="I26" s="60"/>
      <c r="J26" s="60"/>
      <c r="K26" s="60"/>
      <c r="L26" s="60"/>
      <c r="M26" s="60"/>
    </row>
  </sheetData>
  <mergeCells count="4">
    <mergeCell ref="A1:M1"/>
    <mergeCell ref="A2:M2"/>
    <mergeCell ref="A3:M3"/>
    <mergeCell ref="E16:F16"/>
  </mergeCells>
  <pageMargins left="0.75" right="0.75" top="1" bottom="1" header="0.5" footer="0.5"/>
  <pageSetup orientation="portrait" r:id="rId1"/>
  <headerFooter alignWithMargins="0">
    <oddFooter>Page &amp;P of &amp;N</oddFoot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M19"/>
  <sheetViews>
    <sheetView workbookViewId="0">
      <selection activeCell="A19" sqref="A19:J19"/>
    </sheetView>
  </sheetViews>
  <sheetFormatPr defaultColWidth="8.6640625" defaultRowHeight="13.2" x14ac:dyDescent="0.25"/>
  <cols>
    <col min="1" max="1" width="34" customWidth="1"/>
    <col min="2" max="8" width="10.33203125" customWidth="1"/>
    <col min="9" max="9" width="11.6640625" customWidth="1"/>
    <col min="10" max="10" width="12.6640625" customWidth="1"/>
    <col min="11" max="11" width="10.44140625" bestFit="1" customWidth="1"/>
    <col min="12" max="14" width="9.33203125" customWidth="1"/>
  </cols>
  <sheetData>
    <row r="1" spans="1:13" ht="21" x14ac:dyDescent="0.4">
      <c r="A1" s="330" t="str">
        <f>Inputs!B1</f>
        <v>Potential To Emit Calculator for Concrete Batch Plants</v>
      </c>
      <c r="B1" s="330"/>
      <c r="C1" s="330"/>
      <c r="D1" s="330"/>
      <c r="E1" s="330"/>
      <c r="F1" s="330"/>
      <c r="G1" s="330"/>
      <c r="H1" s="330"/>
      <c r="I1" s="330"/>
      <c r="J1" s="330"/>
      <c r="K1" s="9"/>
      <c r="L1" s="9"/>
      <c r="M1" s="9"/>
    </row>
    <row r="2" spans="1:13" ht="13.8" thickBot="1" x14ac:dyDescent="0.3">
      <c r="A2" s="331">
        <f>Inputs!B2</f>
        <v>41822</v>
      </c>
      <c r="B2" s="331"/>
      <c r="C2" s="331"/>
      <c r="D2" s="331"/>
      <c r="E2" s="331"/>
      <c r="F2" s="331"/>
      <c r="G2" s="331"/>
      <c r="H2" s="331"/>
      <c r="I2" s="331"/>
      <c r="J2" s="331"/>
      <c r="K2" s="10"/>
      <c r="L2" s="10"/>
      <c r="M2" s="10"/>
    </row>
    <row r="3" spans="1:13" ht="17.25" customHeight="1" thickBot="1" x14ac:dyDescent="0.3">
      <c r="A3" s="352" t="s">
        <v>78</v>
      </c>
      <c r="B3" s="353"/>
      <c r="C3" s="353"/>
      <c r="D3" s="353"/>
      <c r="E3" s="353"/>
      <c r="F3" s="353"/>
      <c r="G3" s="353"/>
      <c r="H3" s="353"/>
      <c r="I3" s="353"/>
      <c r="J3" s="354"/>
      <c r="K3" s="10"/>
      <c r="L3" s="10"/>
      <c r="M3" s="10"/>
    </row>
    <row r="4" spans="1:13" ht="15" customHeight="1" x14ac:dyDescent="0.25">
      <c r="A4" s="352"/>
      <c r="B4" s="353"/>
      <c r="C4" s="353"/>
      <c r="D4" s="353"/>
      <c r="E4" s="353"/>
      <c r="F4" s="353"/>
      <c r="G4" s="353"/>
      <c r="H4" s="353"/>
      <c r="I4" s="353"/>
      <c r="J4" s="354"/>
    </row>
    <row r="5" spans="1:13" x14ac:dyDescent="0.25">
      <c r="A5" s="173"/>
      <c r="B5" s="6"/>
      <c r="C5" s="6"/>
      <c r="D5" s="6"/>
      <c r="E5" s="6"/>
      <c r="F5" s="6"/>
      <c r="G5" s="6"/>
      <c r="H5" s="6"/>
      <c r="I5" s="6"/>
      <c r="J5" s="174"/>
    </row>
    <row r="6" spans="1:13" ht="13.8" thickBot="1" x14ac:dyDescent="0.3">
      <c r="A6" s="266" t="s">
        <v>242</v>
      </c>
      <c r="B6" s="6"/>
      <c r="C6" s="6"/>
      <c r="D6" s="6"/>
      <c r="E6" s="6"/>
      <c r="F6" s="6"/>
      <c r="G6" s="6"/>
      <c r="H6" s="6"/>
      <c r="I6" s="6"/>
      <c r="J6" s="174"/>
    </row>
    <row r="7" spans="1:13" x14ac:dyDescent="0.25">
      <c r="A7" s="165"/>
      <c r="B7" s="349" t="s">
        <v>17</v>
      </c>
      <c r="C7" s="350"/>
      <c r="D7" s="350"/>
      <c r="E7" s="350"/>
      <c r="F7" s="350"/>
      <c r="G7" s="350"/>
      <c r="H7" s="350"/>
      <c r="I7" s="350"/>
      <c r="J7" s="351"/>
    </row>
    <row r="8" spans="1:13" ht="15.6" x14ac:dyDescent="0.25">
      <c r="A8" s="166" t="s">
        <v>43</v>
      </c>
      <c r="B8" s="68" t="s">
        <v>15</v>
      </c>
      <c r="C8" s="68" t="s">
        <v>5</v>
      </c>
      <c r="D8" s="68" t="s">
        <v>4</v>
      </c>
      <c r="E8" s="68" t="s">
        <v>6</v>
      </c>
      <c r="F8" s="68" t="s">
        <v>7</v>
      </c>
      <c r="G8" s="68" t="s">
        <v>16</v>
      </c>
      <c r="H8" s="68" t="s">
        <v>18</v>
      </c>
      <c r="I8" s="126" t="s">
        <v>58</v>
      </c>
      <c r="J8" s="167" t="s">
        <v>59</v>
      </c>
    </row>
    <row r="9" spans="1:13" x14ac:dyDescent="0.25">
      <c r="A9" s="168" t="s">
        <v>183</v>
      </c>
      <c r="B9" s="137">
        <f>'Batch Mix Oper.'!K40</f>
        <v>50.704799999999992</v>
      </c>
      <c r="C9" s="137">
        <f>'Batch Mix Oper.'!L40</f>
        <v>17.627600000000001</v>
      </c>
      <c r="D9" s="137">
        <f>'Batch Mix Oper.'!M40</f>
        <v>2.291588</v>
      </c>
      <c r="E9" s="139" t="s">
        <v>74</v>
      </c>
      <c r="F9" s="139" t="s">
        <v>74</v>
      </c>
      <c r="G9" s="139" t="s">
        <v>74</v>
      </c>
      <c r="H9" s="139" t="s">
        <v>74</v>
      </c>
      <c r="I9" s="139" t="s">
        <v>74</v>
      </c>
      <c r="J9" s="169" t="s">
        <v>74</v>
      </c>
    </row>
    <row r="10" spans="1:13" x14ac:dyDescent="0.25">
      <c r="A10" s="170" t="s">
        <v>240</v>
      </c>
      <c r="B10" s="137">
        <f>'Auxiliary Heater'!E9</f>
        <v>0.62571428571428567</v>
      </c>
      <c r="C10" s="137">
        <f>'Auxiliary Heater'!F9</f>
        <v>1.0324285714285713</v>
      </c>
      <c r="D10" s="137">
        <f>'Auxiliary Heater'!G9</f>
        <v>0.7977857142857141</v>
      </c>
      <c r="E10" s="137">
        <f>'Auxiliary Heater'!H9</f>
        <v>6.6638571428571422E-2</v>
      </c>
      <c r="F10" s="137">
        <f>'Auxiliary Heater'!I9</f>
        <v>6.2571428571428562</v>
      </c>
      <c r="G10" s="137">
        <f>'Auxiliary Heater'!J9</f>
        <v>1.5642857142857141</v>
      </c>
      <c r="H10" s="137">
        <f>'Auxiliary Heater'!K9</f>
        <v>0.10637142857142856</v>
      </c>
      <c r="I10" s="139" t="s">
        <v>74</v>
      </c>
      <c r="J10" s="171">
        <f>'Auxiliary Heater'!L9</f>
        <v>0.17322899999999999</v>
      </c>
    </row>
    <row r="11" spans="1:13" x14ac:dyDescent="0.25">
      <c r="A11" s="170" t="s">
        <v>247</v>
      </c>
      <c r="B11" s="137">
        <f>'Non-Emergency Engine'!E9</f>
        <v>2.2995000000000001</v>
      </c>
      <c r="C11" s="137">
        <f>'Non-Emergency Engine'!F9</f>
        <v>2.2995000000000001</v>
      </c>
      <c r="D11" s="137">
        <f>'Non-Emergency Engine'!G9</f>
        <v>2.2995000000000001</v>
      </c>
      <c r="E11" s="137">
        <f>'Non-Emergency Engine'!H9</f>
        <v>3.9863475000000002E-2</v>
      </c>
      <c r="F11" s="137">
        <f>'Non-Emergency Engine'!I9</f>
        <v>78.84</v>
      </c>
      <c r="G11" s="137">
        <f>'Non-Emergency Engine'!J9</f>
        <v>18.067499999999999</v>
      </c>
      <c r="H11" s="137">
        <f>'Non-Emergency Engine'!K9</f>
        <v>2.315925</v>
      </c>
      <c r="I11" s="139"/>
      <c r="J11" s="171">
        <f>'Non-Emergency Engine'!L9</f>
        <v>9.8464130100000005E-2</v>
      </c>
    </row>
    <row r="12" spans="1:13" x14ac:dyDescent="0.25">
      <c r="A12" s="170" t="s">
        <v>241</v>
      </c>
      <c r="B12" s="137">
        <f>'Emergency Generator'!E9</f>
        <v>0.36512500000000003</v>
      </c>
      <c r="C12" s="137">
        <f>'Emergency Generator'!F9</f>
        <v>0.36512500000000003</v>
      </c>
      <c r="D12" s="137">
        <f>'Emergency Generator'!G9</f>
        <v>0.36512500000000003</v>
      </c>
      <c r="E12" s="137">
        <f>'Emergency Generator'!H9</f>
        <v>0.33012500000000006</v>
      </c>
      <c r="F12" s="137">
        <f>'Emergency Generator'!I9</f>
        <v>5.25</v>
      </c>
      <c r="G12" s="137">
        <f>'Emergency Generator'!J9</f>
        <v>1.7050000000000001</v>
      </c>
      <c r="H12" s="137">
        <f>'Emergency Generator'!K9</f>
        <v>2.8701249999999998</v>
      </c>
      <c r="I12" s="139" t="s">
        <v>74</v>
      </c>
      <c r="J12" s="172">
        <f>'Emergency Generator'!L9</f>
        <v>3.3165999999999998E-3</v>
      </c>
    </row>
    <row r="13" spans="1:13" x14ac:dyDescent="0.25">
      <c r="A13" s="170" t="s">
        <v>148</v>
      </c>
      <c r="B13" s="137">
        <f>'Vehicle Traffic'!J77</f>
        <v>0.43840474519491085</v>
      </c>
      <c r="C13" s="137">
        <f>'Vehicle Traffic'!J78</f>
        <v>0.11910242549640529</v>
      </c>
      <c r="D13" s="137"/>
      <c r="E13" s="137"/>
      <c r="F13" s="137"/>
      <c r="G13" s="137"/>
      <c r="H13" s="137"/>
      <c r="I13" s="139"/>
      <c r="J13" s="172"/>
    </row>
    <row r="14" spans="1:13" x14ac:dyDescent="0.25">
      <c r="A14" s="170" t="s">
        <v>204</v>
      </c>
      <c r="B14" s="274">
        <f>'Storage Piles'!I41</f>
        <v>4.4361269961929378E-4</v>
      </c>
      <c r="C14" s="274">
        <f>'Storage Piles'!I42</f>
        <v>1.5526444486675282E-4</v>
      </c>
      <c r="D14" s="137"/>
      <c r="E14" s="137"/>
      <c r="F14" s="137"/>
      <c r="G14" s="137"/>
      <c r="H14" s="137"/>
      <c r="I14" s="139"/>
      <c r="J14" s="172"/>
    </row>
    <row r="15" spans="1:13" x14ac:dyDescent="0.25">
      <c r="A15" s="170" t="s">
        <v>218</v>
      </c>
      <c r="B15" s="274"/>
      <c r="C15" s="274"/>
      <c r="D15" s="137"/>
      <c r="E15" s="137"/>
      <c r="F15" s="137"/>
      <c r="G15" s="137"/>
      <c r="H15" s="137">
        <f>'Solvent Degreaser'!E20</f>
        <v>0.01</v>
      </c>
      <c r="I15" s="139"/>
      <c r="J15" s="172">
        <f>'Solvent Degreaser'!F20</f>
        <v>6.0000000000000001E-3</v>
      </c>
    </row>
    <row r="16" spans="1:13" ht="13.8" thickBot="1" x14ac:dyDescent="0.3">
      <c r="A16" s="173"/>
      <c r="B16" s="6"/>
      <c r="C16" s="6"/>
      <c r="D16" s="6"/>
      <c r="E16" s="6"/>
      <c r="F16" s="6"/>
      <c r="G16" s="6"/>
      <c r="H16" s="6"/>
      <c r="I16" s="6"/>
      <c r="J16" s="174"/>
    </row>
    <row r="17" spans="1:10" ht="14.4" thickTop="1" thickBot="1" x14ac:dyDescent="0.3">
      <c r="A17" s="175" t="s">
        <v>182</v>
      </c>
      <c r="B17" s="176">
        <f>SUM(B9:B14)</f>
        <v>54.433987643608809</v>
      </c>
      <c r="C17" s="177">
        <f>SUM(C9:C14)</f>
        <v>21.443911261369841</v>
      </c>
      <c r="D17" s="177">
        <f t="shared" ref="D17:J17" si="0">SUM(D9:D12)</f>
        <v>5.7539987142857143</v>
      </c>
      <c r="E17" s="177">
        <f t="shared" si="0"/>
        <v>0.43662704642857147</v>
      </c>
      <c r="F17" s="177">
        <f t="shared" si="0"/>
        <v>90.347142857142856</v>
      </c>
      <c r="G17" s="177">
        <f t="shared" si="0"/>
        <v>21.33678571428571</v>
      </c>
      <c r="H17" s="177">
        <f t="shared" si="0"/>
        <v>5.2924214285714282</v>
      </c>
      <c r="I17" s="177">
        <f t="shared" si="0"/>
        <v>0</v>
      </c>
      <c r="J17" s="178">
        <f t="shared" si="0"/>
        <v>0.27500973010000002</v>
      </c>
    </row>
    <row r="18" spans="1:10" ht="13.8" thickBot="1" x14ac:dyDescent="0.3"/>
    <row r="19" spans="1:10" ht="27.75" customHeight="1" x14ac:dyDescent="0.25">
      <c r="A19" s="347" t="s">
        <v>206</v>
      </c>
      <c r="B19" s="348"/>
      <c r="C19" s="348"/>
      <c r="D19" s="348"/>
      <c r="E19" s="348"/>
      <c r="F19" s="348"/>
      <c r="G19" s="348"/>
      <c r="H19" s="348"/>
      <c r="I19" s="348"/>
      <c r="J19" s="348"/>
    </row>
  </sheetData>
  <mergeCells count="6">
    <mergeCell ref="A19:J19"/>
    <mergeCell ref="B7:J7"/>
    <mergeCell ref="A1:J1"/>
    <mergeCell ref="A2:J2"/>
    <mergeCell ref="A3:J3"/>
    <mergeCell ref="A4:J4"/>
  </mergeCells>
  <phoneticPr fontId="2" type="noConversion"/>
  <pageMargins left="0.75" right="0.75" top="1" bottom="1" header="0.5" footer="0.5"/>
  <pageSetup orientation="portrait" r:id="rId1"/>
  <headerFooter alignWithMargins="0">
    <oddFoote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6640625" defaultRowHeight="13.2" x14ac:dyDescent="0.25"/>
  <sheetData>
    <row r="1" spans="1:256" x14ac:dyDescent="0.25">
      <c r="A1">
        <f>IF(Inputs!1:1,"AAAAAH3zvQA=",0)</f>
        <v>0</v>
      </c>
      <c r="B1" t="e">
        <f>AND(Inputs!B1,"AAAAAH3zvQE=")</f>
        <v>#VALUE!</v>
      </c>
      <c r="C1" t="e">
        <f>AND(Inputs!#REF!,"AAAAAH3zvQI=")</f>
        <v>#REF!</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AND(Inputs!B2,"AAAAAH3zvQ8=")</f>
        <v>#VALUE!</v>
      </c>
      <c r="Q1" t="e">
        <f>AND(Inputs!C2,"AAAAAH3zvRA=")</f>
        <v>#VALUE!</v>
      </c>
      <c r="R1" t="e">
        <f>AND(Inputs!D2,"AAAAAH3zvRE=")</f>
        <v>#VALUE!</v>
      </c>
      <c r="S1" t="e">
        <f>AND(Inputs!E2,"AAAAAH3zvRI=")</f>
        <v>#VALUE!</v>
      </c>
      <c r="T1" t="e">
        <f>AND(Inputs!F2,"AAAAAH3zvRM=")</f>
        <v>#VALUE!</v>
      </c>
      <c r="U1" t="e">
        <f>AND(Inputs!G2,"AAAAAH3zvRQ=")</f>
        <v>#VALUE!</v>
      </c>
      <c r="V1" t="e">
        <f>AND(Inputs!H2,"AAAAAH3zvRU=")</f>
        <v>#VALUE!</v>
      </c>
      <c r="W1" t="e">
        <f>AND(Inputs!I2,"AAAAAH3zvRY=")</f>
        <v>#VALUE!</v>
      </c>
      <c r="X1" t="e">
        <f>AND(Inputs!J2,"AAAAAH3zvRc=")</f>
        <v>#VALUE!</v>
      </c>
      <c r="Y1" t="e">
        <f>AND(Inputs!K2,"AAAAAH3zvRg=")</f>
        <v>#VALUE!</v>
      </c>
      <c r="Z1" t="e">
        <f>AND(Inputs!L2,"AAAAAH3zvRk=")</f>
        <v>#VALUE!</v>
      </c>
      <c r="AA1" t="e">
        <f>AND(Inputs!M2,"AAAAAH3zvRo=")</f>
        <v>#VALUE!</v>
      </c>
      <c r="AB1" t="e">
        <f>AND(Inputs!#REF!,"AAAAAH3zvRs=")</f>
        <v>#REF!</v>
      </c>
      <c r="AC1">
        <f>IF(Inputs!3:3,"AAAAAH3zvRw=",0)</f>
        <v>0</v>
      </c>
      <c r="AD1" t="e">
        <f>AND(Inputs!B3,"AAAAAH3zvR0=")</f>
        <v>#VALUE!</v>
      </c>
      <c r="AE1" t="e">
        <f>AND(Inputs!#REF!,"AAAAAH3zvR4=")</f>
        <v>#REF!</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AND(Inputs!#REF!,"AAAAAH3zvSs=")</f>
        <v>#REF!</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AND(Inputs!#REF!,"AAAAAH3zvTk=")</f>
        <v>#REF!</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AND(Inputs!#REF!,"AAAAAH3zvUc=")</f>
        <v>#REF!</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AND(Inputs!#REF!,"AAAAAH3zvVU=")</f>
        <v>#REF!</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AND(Inputs!#REF!,"AAAAAH3zvWM=")</f>
        <v>#REF!</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AND(Inputs!#REF!,"AAAAAH3zvXE=")</f>
        <v>#REF!</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AND(Inputs!#REF!,"AAAAAH3zvX8=")</f>
        <v>#REF!</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IF(Inputs!12:12,"AAAAAH3zvag=",0)</f>
        <v>0</v>
      </c>
      <c r="FN1" t="e">
        <f>AND(Inputs!#REF!,"AAAAAH3zvak=")</f>
        <v>#REF!</v>
      </c>
      <c r="FO1" t="e">
        <f>AND(Inputs!B12,"AAAAAH3zvao=")</f>
        <v>#VALUE!</v>
      </c>
      <c r="FP1" t="e">
        <f>AND(Inputs!C12,"AAAAAH3zvas=")</f>
        <v>#VALUE!</v>
      </c>
      <c r="FQ1" t="e">
        <f>AND(Inputs!D12,"AAAAAH3zvaw=")</f>
        <v>#VALUE!</v>
      </c>
      <c r="FR1" t="e">
        <f>AND(Inputs!E12,"AAAAAH3zva0=")</f>
        <v>#VALUE!</v>
      </c>
      <c r="FS1" t="e">
        <f>AND(Inputs!F12,"AAAAAH3zva4=")</f>
        <v>#VALUE!</v>
      </c>
      <c r="FT1" t="e">
        <f>AND(Inputs!G12,"AAAAAH3zva8=")</f>
        <v>#VALUE!</v>
      </c>
      <c r="FU1" t="e">
        <f>AND(Inputs!H12,"AAAAAH3zvbA=")</f>
        <v>#VALUE!</v>
      </c>
      <c r="FV1" t="e">
        <f>AND(Inputs!I12,"AAAAAH3zvbE=")</f>
        <v>#VALUE!</v>
      </c>
      <c r="FW1" t="e">
        <f>AND(Inputs!J12,"AAAAAH3zvbI=")</f>
        <v>#VALUE!</v>
      </c>
      <c r="FX1" t="e">
        <f>AND(Inputs!K12,"AAAAAH3zvbM=")</f>
        <v>#VALUE!</v>
      </c>
      <c r="FY1" t="e">
        <f>AND(Inputs!L12,"AAAAAH3zvbQ=")</f>
        <v>#VALUE!</v>
      </c>
      <c r="FZ1" t="e">
        <f>AND(Inputs!M12,"AAAAAH3zvbU=")</f>
        <v>#VALUE!</v>
      </c>
      <c r="GA1">
        <f>IF(Inputs!13:13,"AAAAAH3zvbY=",0)</f>
        <v>0</v>
      </c>
      <c r="GB1" t="e">
        <f>AND(Inputs!#REF!,"AAAAAH3zvbc=")</f>
        <v>#REF!</v>
      </c>
      <c r="GC1" t="e">
        <f>AND(Inputs!B13,"AAAAAH3zvbg=")</f>
        <v>#VALUE!</v>
      </c>
      <c r="GD1" t="e">
        <f>AND(Inputs!C13,"AAAAAH3zvbk=")</f>
        <v>#VALUE!</v>
      </c>
      <c r="GE1" t="e">
        <f>AND(Inputs!D13,"AAAAAH3zvbo=")</f>
        <v>#VALUE!</v>
      </c>
      <c r="GF1" t="e">
        <f>AND(Inputs!E13,"AAAAAH3zvbs=")</f>
        <v>#VALUE!</v>
      </c>
      <c r="GG1" t="e">
        <f>AND(Inputs!F13,"AAAAAH3zvbw=")</f>
        <v>#VALUE!</v>
      </c>
      <c r="GH1" t="e">
        <f>AND(Inputs!G13,"AAAAAH3zvb0=")</f>
        <v>#VALUE!</v>
      </c>
      <c r="GI1" t="e">
        <f>AND(Inputs!H13,"AAAAAH3zvb4=")</f>
        <v>#VALUE!</v>
      </c>
      <c r="GJ1" t="e">
        <f>AND(Inputs!I13,"AAAAAH3zvb8=")</f>
        <v>#VALUE!</v>
      </c>
      <c r="GK1" t="e">
        <f>AND(Inputs!J13,"AAAAAH3zvcA=")</f>
        <v>#VALUE!</v>
      </c>
      <c r="GL1" t="e">
        <f>AND(Inputs!K13,"AAAAAH3zvcE=")</f>
        <v>#VALUE!</v>
      </c>
      <c r="GM1" t="e">
        <f>AND(Inputs!L13,"AAAAAH3zvcI=")</f>
        <v>#VALUE!</v>
      </c>
      <c r="GN1" t="e">
        <f>AND(Inputs!M13,"AAAAAH3zvcM=")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5">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5">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AND(Inputs!C20,"AAAAADZv8zM=")</f>
        <v>#VALUE!</v>
      </c>
      <c r="BA3" t="e">
        <f>AND(Inputs!D20,"AAAAADZv8zQ=")</f>
        <v>#VALUE!</v>
      </c>
      <c r="BB3" t="e">
        <f>AND(Inputs!E20,"AAAAADZv8zU=")</f>
        <v>#VALUE!</v>
      </c>
      <c r="BC3" t="e">
        <f>AND(Inputs!F21,"AAAAADZv8zY=")</f>
        <v>#VALUE!</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f>IF(Inputs!31:31,"AAAAADZv8z4=",0)</f>
        <v>0</v>
      </c>
      <c r="BL3" t="e">
        <f>AND(Inputs!#REF!,"AAAAADZv8z8=")</f>
        <v>#REF!</v>
      </c>
      <c r="BM3" t="e">
        <f>AND(Inputs!B31,"AAAAADZv80A=")</f>
        <v>#VALUE!</v>
      </c>
      <c r="BN3" t="e">
        <f>AND(Inputs!C31,"AAAAADZv80E=")</f>
        <v>#VALUE!</v>
      </c>
      <c r="BO3" t="e">
        <f>AND(Inputs!D31,"AAAAADZv80I=")</f>
        <v>#VALUE!</v>
      </c>
      <c r="BP3" t="e">
        <f>AND(Inputs!E31,"AAAAADZv80M=")</f>
        <v>#VALUE!</v>
      </c>
      <c r="BQ3" t="e">
        <f>AND(Inputs!F31,"AAAAADZv80Q=")</f>
        <v>#VALUE!</v>
      </c>
      <c r="BR3" t="e">
        <f>AND(Inputs!G31,"AAAAADZv80U=")</f>
        <v>#VALUE!</v>
      </c>
      <c r="BS3" t="e">
        <f>AND(Inputs!H31,"AAAAADZv80Y=")</f>
        <v>#VALUE!</v>
      </c>
      <c r="BT3" t="e">
        <f>AND(Inputs!I31,"AAAAADZv80c=")</f>
        <v>#VALUE!</v>
      </c>
      <c r="BU3" t="e">
        <f>AND(Inputs!J31,"AAAAADZv80g=")</f>
        <v>#VALUE!</v>
      </c>
      <c r="BV3" t="e">
        <f>AND(Inputs!K31,"AAAAADZv80k=")</f>
        <v>#VALUE!</v>
      </c>
      <c r="BW3" t="e">
        <f>AND(Inputs!L31,"AAAAADZv80o=")</f>
        <v>#VALUE!</v>
      </c>
      <c r="BX3" t="e">
        <f>AND(Inputs!M31,"AAAAADZv80s=")</f>
        <v>#VALUE!</v>
      </c>
      <c r="BY3">
        <f>IF(Inputs!32:32,"AAAAADZv80w=",0)</f>
        <v>0</v>
      </c>
      <c r="BZ3" t="e">
        <f>AND(Inputs!#REF!,"AAAAADZv800=")</f>
        <v>#REF!</v>
      </c>
      <c r="CA3" t="e">
        <f>AND(Inputs!B32,"AAAAADZv804=")</f>
        <v>#VALUE!</v>
      </c>
      <c r="CB3" t="e">
        <f>AND(Inputs!C32,"AAAAADZv808=")</f>
        <v>#VALUE!</v>
      </c>
      <c r="CC3" t="e">
        <f>AND(Inputs!D32,"AAAAADZv81A=")</f>
        <v>#VALUE!</v>
      </c>
      <c r="CD3" t="e">
        <f>AND(Inputs!E32,"AAAAADZv81E=")</f>
        <v>#VALUE!</v>
      </c>
      <c r="CE3" t="e">
        <f>AND(Inputs!F32,"AAAAADZv81I=")</f>
        <v>#VALUE!</v>
      </c>
      <c r="CF3" t="e">
        <f>AND(Inputs!G32,"AAAAADZv81M=")</f>
        <v>#VALUE!</v>
      </c>
      <c r="CG3" t="e">
        <f>AND(Inputs!H32,"AAAAADZv81Q=")</f>
        <v>#VALUE!</v>
      </c>
      <c r="CH3" t="e">
        <f>AND(Inputs!I32,"AAAAADZv81U=")</f>
        <v>#VALUE!</v>
      </c>
      <c r="CI3" t="e">
        <f>AND(Inputs!J32,"AAAAADZv81Y=")</f>
        <v>#VALUE!</v>
      </c>
      <c r="CJ3" t="e">
        <f>AND(Inputs!K32,"AAAAADZv81c=")</f>
        <v>#VALUE!</v>
      </c>
      <c r="CK3" t="e">
        <f>AND(Inputs!L32,"AAAAADZv81g=")</f>
        <v>#VALUE!</v>
      </c>
      <c r="CL3" t="e">
        <f>AND(Inputs!M32,"AAAAADZv81k=")</f>
        <v>#VALUE!</v>
      </c>
      <c r="CM3">
        <f>IF(Inputs!33:33,"AAAAADZv81o=",0)</f>
        <v>0</v>
      </c>
      <c r="CN3" t="e">
        <f>AND(Inputs!#REF!,"AAAAADZv81s=")</f>
        <v>#REF!</v>
      </c>
      <c r="CO3" t="e">
        <f>AND(Inputs!B33,"AAAAADZv81w=")</f>
        <v>#VALUE!</v>
      </c>
      <c r="CP3" t="e">
        <f>AND(Inputs!C33,"AAAAADZv810=")</f>
        <v>#VALUE!</v>
      </c>
      <c r="CQ3" t="e">
        <f>AND(Inputs!D33,"AAAAADZv814=")</f>
        <v>#VALUE!</v>
      </c>
      <c r="CR3" t="e">
        <f>AND(Inputs!E33,"AAAAADZv818=")</f>
        <v>#VALUE!</v>
      </c>
      <c r="CS3" t="e">
        <f>AND(Inputs!G33,"AAAAADZv82A=")</f>
        <v>#VALUE!</v>
      </c>
      <c r="CT3" t="e">
        <f>AND(Inputs!#REF!,"AAAAADZv82E=")</f>
        <v>#REF!</v>
      </c>
      <c r="CU3" t="e">
        <f>AND(Inputs!#REF!,"AAAAADZv82I=")</f>
        <v>#REF!</v>
      </c>
      <c r="CV3" t="e">
        <f>AND(Inputs!#REF!,"AAAAADZv82M=")</f>
        <v>#REF!</v>
      </c>
      <c r="CW3" t="e">
        <f>AND(Inputs!J33,"AAAAADZv82Q=")</f>
        <v>#VALUE!</v>
      </c>
      <c r="CX3" t="e">
        <f>AND(Inputs!K33,"AAAAADZv82U=")</f>
        <v>#VALUE!</v>
      </c>
      <c r="CY3" t="e">
        <f>AND(Inputs!L33,"AAAAADZv82Y=")</f>
        <v>#VALUE!</v>
      </c>
      <c r="CZ3" t="e">
        <f>AND(Inputs!M33,"AAAAADZv82c=")</f>
        <v>#VALUE!</v>
      </c>
      <c r="DA3">
        <f>IF(Inputs!37:37,"AAAAADZv82g=",0)</f>
        <v>0</v>
      </c>
      <c r="DB3" t="e">
        <f>AND(Inputs!#REF!,"AAAAADZv82k=")</f>
        <v>#REF!</v>
      </c>
      <c r="DC3" t="e">
        <f>AND(Inputs!B37,"AAAAADZv82o=")</f>
        <v>#VALUE!</v>
      </c>
      <c r="DD3" t="e">
        <f>AND(Inputs!C37,"AAAAADZv82s=")</f>
        <v>#VALUE!</v>
      </c>
      <c r="DE3" t="e">
        <f>AND(Inputs!D37,"AAAAADZv82w=")</f>
        <v>#VALUE!</v>
      </c>
      <c r="DF3" t="e">
        <f>AND(Inputs!E37,"AAAAADZv820=")</f>
        <v>#VALUE!</v>
      </c>
      <c r="DG3" t="e">
        <f>AND(Inputs!H33,"AAAAADZv824=")</f>
        <v>#VALUE!</v>
      </c>
      <c r="DH3" t="e">
        <f>AND(Inputs!I33,"AAAAADZv828=")</f>
        <v>#VALUE!</v>
      </c>
      <c r="DI3" t="e">
        <f>AND(Inputs!H37,"AAAAADZv83A=")</f>
        <v>#VALUE!</v>
      </c>
      <c r="DJ3" t="e">
        <f>AND(Inputs!I37,"AAAAADZv83E=")</f>
        <v>#VALUE!</v>
      </c>
      <c r="DK3" t="e">
        <f>AND(Inputs!J37,"AAAAADZv83I=")</f>
        <v>#VALUE!</v>
      </c>
      <c r="DL3" t="e">
        <f>AND(Inputs!K37,"AAAAADZv83M=")</f>
        <v>#VALUE!</v>
      </c>
      <c r="DM3" t="e">
        <f>AND(Inputs!L37,"AAAAADZv83Q=")</f>
        <v>#VALUE!</v>
      </c>
      <c r="DN3" t="e">
        <f>AND(Inputs!M37,"AAAAADZv83U=")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5">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t="e">
        <f>IF(Inputs!#REF!,"AAAAAHZt9sY=",0)</f>
        <v>#REF!</v>
      </c>
      <c r="GR4" t="e">
        <f>AND(Inputs!#REF!,"AAAAAHZt9sc=")</f>
        <v>#REF!</v>
      </c>
      <c r="GS4" t="e">
        <f>AND(Inputs!#REF!,"AAAAAHZt9sg=")</f>
        <v>#REF!</v>
      </c>
      <c r="GT4" t="e">
        <f>AND(Inputs!#REF!,"AAAAAHZt9sk=")</f>
        <v>#REF!</v>
      </c>
      <c r="GU4" t="e">
        <f>AND(Inputs!#REF!,"AAAAAHZt9so=")</f>
        <v>#REF!</v>
      </c>
      <c r="GV4" t="e">
        <f>AND(Inputs!#REF!,"AAAAAHZt9ss=")</f>
        <v>#REF!</v>
      </c>
      <c r="GW4" t="e">
        <f>AND(Inputs!#REF!,"AAAAAHZt9sw=")</f>
        <v>#REF!</v>
      </c>
      <c r="GX4" t="e">
        <f>AND(Inputs!#REF!,"AAAAAHZt9s0=")</f>
        <v>#REF!</v>
      </c>
      <c r="GY4" t="e">
        <f>AND(Inputs!#REF!,"AAAAAHZt9s4=")</f>
        <v>#REF!</v>
      </c>
      <c r="GZ4" t="e">
        <f>AND(Inputs!#REF!,"AAAAAHZt9s8=")</f>
        <v>#REF!</v>
      </c>
      <c r="HA4" t="e">
        <f>AND(Inputs!#REF!,"AAAAAHZt9tA=")</f>
        <v>#REF!</v>
      </c>
      <c r="HB4" t="e">
        <f>AND(Inputs!#REF!,"AAAAAHZt9tE=")</f>
        <v>#REF!</v>
      </c>
      <c r="HC4" t="e">
        <f>AND(Inputs!#REF!,"AAAAAHZt9tI=")</f>
        <v>#REF!</v>
      </c>
      <c r="HD4" t="e">
        <f>AND(Inputs!#REF!,"AAAAAHZt9tM=")</f>
        <v>#REF!</v>
      </c>
      <c r="HE4" t="e">
        <f>IF(Inputs!#REF!,"AAAAAHZt9tQ=",0)</f>
        <v>#REF!</v>
      </c>
      <c r="HF4" t="e">
        <f>AND(Inputs!#REF!,"AAAAAHZt9tU=")</f>
        <v>#REF!</v>
      </c>
      <c r="HG4" t="e">
        <f>AND(Inputs!#REF!,"AAAAAHZt9tY=")</f>
        <v>#REF!</v>
      </c>
      <c r="HH4" t="e">
        <f>AND(Inputs!#REF!,"AAAAAHZt9tc=")</f>
        <v>#REF!</v>
      </c>
      <c r="HI4" t="e">
        <f>AND(Inputs!#REF!,"AAAAAHZt9tg=")</f>
        <v>#REF!</v>
      </c>
      <c r="HJ4" t="e">
        <f>AND(Inputs!#REF!,"AAAAAHZt9tk=")</f>
        <v>#REF!</v>
      </c>
      <c r="HK4" t="e">
        <f>AND(Inputs!#REF!,"AAAAAHZt9to=")</f>
        <v>#REF!</v>
      </c>
      <c r="HL4" t="e">
        <f>AND(Inputs!#REF!,"AAAAAHZt9ts=")</f>
        <v>#REF!</v>
      </c>
      <c r="HM4" t="e">
        <f>AND(Inputs!#REF!,"AAAAAHZt9tw=")</f>
        <v>#REF!</v>
      </c>
      <c r="HN4" t="e">
        <f>AND(Inputs!#REF!,"AAAAAHZt9t0=")</f>
        <v>#REF!</v>
      </c>
      <c r="HO4" t="e">
        <f>AND(Inputs!#REF!,"AAAAAHZt9t4=")</f>
        <v>#REF!</v>
      </c>
      <c r="HP4" t="e">
        <f>AND(Inputs!#REF!,"AAAAAHZt9t8=")</f>
        <v>#REF!</v>
      </c>
      <c r="HQ4" t="e">
        <f>AND(Inputs!#REF!,"AAAAAHZt9uA=")</f>
        <v>#REF!</v>
      </c>
      <c r="HR4" t="e">
        <f>AND(Inputs!#REF!,"AAAAAHZt9uE=")</f>
        <v>#REF!</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x14ac:dyDescent="0.25">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f>IF(Inputs!42:42,"AAAAAH9/rzY=",0)</f>
        <v>0</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AND(Inputs!B42,"AAAAAH9/rz0=")</f>
        <v>#VALUE!</v>
      </c>
      <c r="BK5" t="e">
        <f>AND(Inputs!C42,"AAAAAH9/rz4=")</f>
        <v>#VALUE!</v>
      </c>
      <c r="BL5" t="e">
        <f>AND(Inputs!D42,"AAAAAH9/rz8=")</f>
        <v>#VALUE!</v>
      </c>
      <c r="BM5" t="e">
        <f>AND(Inputs!E42,"AAAAAH9/r0A=")</f>
        <v>#VALUE!</v>
      </c>
      <c r="BN5" t="e">
        <f>AND(Inputs!F42,"AAAAAH9/r0E=")</f>
        <v>#VALUE!</v>
      </c>
      <c r="BO5" t="e">
        <f>AND(Inputs!G42,"AAAAAH9/r0I=")</f>
        <v>#VALUE!</v>
      </c>
      <c r="BP5" t="e">
        <f>AND(Inputs!H42,"AAAAAH9/r0M=")</f>
        <v>#VALUE!</v>
      </c>
      <c r="BQ5">
        <f>IF(Inputs!44:44,"AAAAAH9/r0Q=",0)</f>
        <v>0</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AND(Inputs!B44,"AAAAAH9/r0s=")</f>
        <v>#VALUE!</v>
      </c>
      <c r="BY5" t="e">
        <f>AND(Inputs!C44,"AAAAAH9/r0w=")</f>
        <v>#VALUE!</v>
      </c>
      <c r="BZ5" t="e">
        <f>AND(Inputs!D44,"AAAAAH9/r00=")</f>
        <v>#VALUE!</v>
      </c>
      <c r="CA5" t="e">
        <f>AND(Inputs!E44,"AAAAAH9/r04=")</f>
        <v>#VALUE!</v>
      </c>
      <c r="CB5" t="e">
        <f>AND(Inputs!F44,"AAAAAH9/r08=")</f>
        <v>#VALUE!</v>
      </c>
      <c r="CC5" t="e">
        <f>AND(Inputs!G44,"AAAAAH9/r1A=")</f>
        <v>#VALUE!</v>
      </c>
      <c r="CD5" t="e">
        <f>AND(Inputs!H44,"AAAAAH9/r1E=")</f>
        <v>#VALUE!</v>
      </c>
      <c r="CE5">
        <f>IF(Inputs!45:45,"AAAAAH9/r1I=",0)</f>
        <v>0</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AND(Inputs!B45,"AAAAAH9/r1k=")</f>
        <v>#VALUE!</v>
      </c>
      <c r="CM5" t="e">
        <f>AND(Inputs!C45,"AAAAAH9/r1o=")</f>
        <v>#VALUE!</v>
      </c>
      <c r="CN5" t="e">
        <f>AND(Inputs!D45,"AAAAAH9/r1s=")</f>
        <v>#VALUE!</v>
      </c>
      <c r="CO5" t="e">
        <f>AND(Inputs!E45,"AAAAAH9/r1w=")</f>
        <v>#VALUE!</v>
      </c>
      <c r="CP5" t="e">
        <f>AND(Inputs!F45,"AAAAAH9/r10=")</f>
        <v>#VALUE!</v>
      </c>
      <c r="CQ5" t="e">
        <f>AND(Inputs!G45,"AAAAAH9/r14=")</f>
        <v>#VALUE!</v>
      </c>
      <c r="CR5" t="e">
        <f>AND(Inputs!H45,"AAAAAH9/r18=")</f>
        <v>#VALUE!</v>
      </c>
      <c r="CS5">
        <f>IF(Inputs!46:46,"AAAAAH9/r2A=",0)</f>
        <v>0</v>
      </c>
      <c r="CT5" t="e">
        <f>IF(Inputs!#REF!,"AAAAAH9/r2E=",0)</f>
        <v>#REF!</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AND(Output!J1,"AAAAAH9/r3c=")</f>
        <v>#VALUE!</v>
      </c>
      <c r="DQ5" t="e">
        <f>AND(Output!K1,"AAAAAH9/r3g=")</f>
        <v>#VALUE!</v>
      </c>
      <c r="DR5" t="e">
        <f>AND(Output!L1,"AAAAAH9/r3k=")</f>
        <v>#VALUE!</v>
      </c>
      <c r="DS5" t="e">
        <f>AND(Output!M1,"AAAAAH9/r3o=")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AND(Output!J2,"AAAAAH9/r4Q=")</f>
        <v>#VALUE!</v>
      </c>
      <c r="ED5" t="e">
        <f>AND(Output!K2,"AAAAAH9/r4U=")</f>
        <v>#VALUE!</v>
      </c>
      <c r="EE5" t="e">
        <f>AND(Output!L2,"AAAAAH9/r4Y=")</f>
        <v>#VALUE!</v>
      </c>
      <c r="EF5" t="e">
        <f>AND(Output!M2,"AAAAAH9/r4c=")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t="e">
        <f>IF(Output!#REF!,"AAAAAH9/r5U=",0)</f>
        <v>#REF!</v>
      </c>
      <c r="EU5" t="e">
        <f>AND(Output!#REF!,"AAAAAH9/r5Y=")</f>
        <v>#REF!</v>
      </c>
      <c r="EV5" t="e">
        <f>AND(Output!#REF!,"AAAAAH9/r5c=")</f>
        <v>#REF!</v>
      </c>
      <c r="EW5" t="e">
        <f>AND(Output!#REF!,"AAAAAH9/r5g=")</f>
        <v>#REF!</v>
      </c>
      <c r="EX5" t="e">
        <f>AND(Output!#REF!,"AAAAAH9/r5k=")</f>
        <v>#REF!</v>
      </c>
      <c r="EY5" t="e">
        <f>AND(Output!#REF!,"AAAAAH9/r5o=")</f>
        <v>#REF!</v>
      </c>
      <c r="EZ5" t="e">
        <f>AND(Output!#REF!,"AAAAAH9/r5s=")</f>
        <v>#REF!</v>
      </c>
      <c r="FA5" t="e">
        <f>AND(Output!#REF!,"AAAAAH9/r5w=")</f>
        <v>#REF!</v>
      </c>
      <c r="FB5" t="e">
        <f>AND(Output!#REF!,"AAAAAH9/r50=")</f>
        <v>#REF!</v>
      </c>
      <c r="FC5" t="e">
        <f>AND(Output!#REF!,"AAAAAH9/r54=")</f>
        <v>#REF!</v>
      </c>
      <c r="FD5" t="e">
        <f>AND(Output!#REF!,"AAAAAH9/r58=")</f>
        <v>#REF!</v>
      </c>
      <c r="FE5" t="e">
        <f>AND(Output!#REF!,"AAAAAH9/r6A=")</f>
        <v>#REF!</v>
      </c>
      <c r="FF5" t="e">
        <f>AND(Output!#REF!,"AAAAAH9/r6E=")</f>
        <v>#REF!</v>
      </c>
      <c r="FG5" t="e">
        <f>IF(Output!#REF!,"AAAAAH9/r6I=",0)</f>
        <v>#REF!</v>
      </c>
      <c r="FH5" t="e">
        <f>AND(Output!#REF!,"AAAAAH9/r6M=")</f>
        <v>#REF!</v>
      </c>
      <c r="FI5" t="e">
        <f>AND(Output!#REF!,"AAAAAH9/r6Q=")</f>
        <v>#REF!</v>
      </c>
      <c r="FJ5" t="e">
        <f>AND(Output!#REF!,"AAAAAH9/r6U=")</f>
        <v>#REF!</v>
      </c>
      <c r="FK5" t="e">
        <f>AND(Output!#REF!,"AAAAAH9/r6Y=")</f>
        <v>#REF!</v>
      </c>
      <c r="FL5" t="e">
        <f>AND(Output!#REF!,"AAAAAH9/r6c=")</f>
        <v>#REF!</v>
      </c>
      <c r="FM5" t="e">
        <f>AND(Output!#REF!,"AAAAAH9/r6g=")</f>
        <v>#REF!</v>
      </c>
      <c r="FN5" t="e">
        <f>AND(Output!#REF!,"AAAAAH9/r6k=")</f>
        <v>#REF!</v>
      </c>
      <c r="FO5" t="e">
        <f>AND(Output!#REF!,"AAAAAH9/r6o=")</f>
        <v>#REF!</v>
      </c>
      <c r="FP5" t="e">
        <f>AND(Output!#REF!,"AAAAAH9/r6s=")</f>
        <v>#REF!</v>
      </c>
      <c r="FQ5" t="e">
        <f>AND(Output!#REF!,"AAAAAH9/r6w=")</f>
        <v>#REF!</v>
      </c>
      <c r="FR5" t="e">
        <f>AND(Output!#REF!,"AAAAAH9/r60=")</f>
        <v>#REF!</v>
      </c>
      <c r="FS5" t="e">
        <f>AND(Output!#REF!,"AAAAAH9/r64=")</f>
        <v>#REF!</v>
      </c>
      <c r="FT5" t="e">
        <f>IF(Output!#REF!,"AAAAAH9/r68=",0)</f>
        <v>#REF!</v>
      </c>
      <c r="FU5" t="e">
        <f>AND(Output!#REF!,"AAAAAH9/r7A=")</f>
        <v>#REF!</v>
      </c>
      <c r="FV5" t="e">
        <f>AND(Output!#REF!,"AAAAAH9/r7E=")</f>
        <v>#REF!</v>
      </c>
      <c r="FW5" t="e">
        <f>AND(Output!#REF!,"AAAAAH9/r7I=")</f>
        <v>#REF!</v>
      </c>
      <c r="FX5" t="e">
        <f>AND(Output!#REF!,"AAAAAH9/r7M=")</f>
        <v>#REF!</v>
      </c>
      <c r="FY5" t="e">
        <f>AND(Output!#REF!,"AAAAAH9/r7Q=")</f>
        <v>#REF!</v>
      </c>
      <c r="FZ5" t="e">
        <f>AND(Output!#REF!,"AAAAAH9/r7U=")</f>
        <v>#REF!</v>
      </c>
      <c r="GA5" t="e">
        <f>AND(Output!#REF!,"AAAAAH9/r7Y=")</f>
        <v>#REF!</v>
      </c>
      <c r="GB5" t="e">
        <f>AND(Output!#REF!,"AAAAAH9/r7c=")</f>
        <v>#REF!</v>
      </c>
      <c r="GC5" t="e">
        <f>AND(Output!#REF!,"AAAAAH9/r7g=")</f>
        <v>#REF!</v>
      </c>
      <c r="GD5" t="e">
        <f>AND(Output!#REF!,"AAAAAH9/r7k=")</f>
        <v>#REF!</v>
      </c>
      <c r="GE5" t="e">
        <f>AND(Output!#REF!,"AAAAAH9/r7o=")</f>
        <v>#REF!</v>
      </c>
      <c r="GF5" t="e">
        <f>AND(Output!#REF!,"AAAAAH9/r7s=")</f>
        <v>#REF!</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5">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5">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5">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5">
      <c r="A9" t="str">
        <f>IF(Output!D:D,"AAAAAH3//wA=",0)</f>
        <v>AAAAAH3//wA=</v>
      </c>
      <c r="B9" t="e">
        <f>IF(Output!E:E,"AAAAAH3//wE=",0)</f>
        <v>#VALUE!</v>
      </c>
      <c r="C9" t="e">
        <f>IF(Output!F:F,"AAAAAH3//wI=",0)</f>
        <v>#VALUE!</v>
      </c>
      <c r="D9" t="e">
        <f>IF(Output!G:G,"AAAAAH3//wM=",0)</f>
        <v>#VALUE!</v>
      </c>
      <c r="E9" t="e">
        <f>IF(Output!H:H,"AAAAAH3//wQ=",0)</f>
        <v>#VALUE!</v>
      </c>
      <c r="F9" t="e">
        <f>IF(Output!J:J,"AAAAAH3//wU=",0)</f>
        <v>#VALUE!</v>
      </c>
      <c r="G9">
        <f>IF(Output!K:K,"AAAAAH3//wY=",0)</f>
        <v>0</v>
      </c>
      <c r="H9">
        <f>IF(Output!L:L,"AAAAAH3//wc=",0)</f>
        <v>0</v>
      </c>
      <c r="I9">
        <f>IF(Output!M:M,"AAAAAH3//wg=",0)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5">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5">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5">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5">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5">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5">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5">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5">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5">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5">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5">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5">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5">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5">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5">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5">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Heater'!#REF!,"AAAAAGvv7mw=")</f>
        <v>#REF!</v>
      </c>
      <c r="DF25" t="e">
        <f>AND('Auxiliary Heater'!A3,"AAAAAGvv7m0=")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Heater'!4:4,"AAAAAGvv7ns=",0)</f>
        <v>0</v>
      </c>
      <c r="DU25" t="e">
        <f>AND('Auxiliary Heater'!A4,"AAAAAGvv7nw=")</f>
        <v>#VALUE!</v>
      </c>
      <c r="DV25" t="e">
        <f>AND('Auxiliary Heater'!B4,"AAAAAGvv7n0=")</f>
        <v>#VALUE!</v>
      </c>
      <c r="DW25" t="e">
        <f>AND('Auxiliary Heater'!C4,"AAAAAGvv7n4=")</f>
        <v>#VALUE!</v>
      </c>
      <c r="DX25" t="e">
        <f>AND('Auxiliary Heater'!D4,"AAAAAGvv7n8=")</f>
        <v>#VALUE!</v>
      </c>
      <c r="DY25" t="e">
        <f>AND('Auxiliary Heater'!E4,"AAAAAGvv7oA=")</f>
        <v>#VALUE!</v>
      </c>
      <c r="DZ25" t="e">
        <f>AND('Auxiliary Heater'!F4,"AAAAAGvv7oE=")</f>
        <v>#VALUE!</v>
      </c>
      <c r="EA25" t="e">
        <f>AND('Auxiliary Heater'!G4,"AAAAAGvv7oI=")</f>
        <v>#VALUE!</v>
      </c>
      <c r="EB25" t="e">
        <f>AND('Auxiliary Heater'!H4,"AAAAAGvv7oM=")</f>
        <v>#VALUE!</v>
      </c>
      <c r="EC25" t="e">
        <f>AND('Auxiliary Heater'!I5,"AAAAAGvv7oQ=")</f>
        <v>#VALUE!</v>
      </c>
      <c r="ED25" t="e">
        <f>AND('Auxiliary Heater'!J4,"AAAAAGvv7oU=")</f>
        <v>#VALUE!</v>
      </c>
      <c r="EE25" t="e">
        <f>AND('Auxiliary Heater'!K4,"AAAAAGvv7oY=")</f>
        <v>#VALUE!</v>
      </c>
      <c r="EF25" t="e">
        <f>AND('Auxiliary Heater'!L4,"AAAAAGvv7oc=")</f>
        <v>#VALUE!</v>
      </c>
      <c r="EG25" t="e">
        <f>AND('Auxiliary Heater'!M4,"AAAAAGvv7og=")</f>
        <v>#VALUE!</v>
      </c>
      <c r="EH25" t="e">
        <f>AND('Auxiliary Heater'!N4,"AAAAAGvv7ok=")</f>
        <v>#VALUE!</v>
      </c>
      <c r="EI25" t="e">
        <f>AND('Auxiliary Heater'!O4,"AAAAAGvv7oo=")</f>
        <v>#VALUE!</v>
      </c>
      <c r="EJ25">
        <f>IF('Auxiliary Heater'!5:5,"AAAAAGvv7os=",0)</f>
        <v>0</v>
      </c>
      <c r="EK25" t="e">
        <f>AND('Auxiliary Heater'!A5,"AAAAAGvv7ow=")</f>
        <v>#VALUE!</v>
      </c>
      <c r="EL25" t="e">
        <f>AND('Auxiliary Heater'!B5,"AAAAAGvv7o0=")</f>
        <v>#VALUE!</v>
      </c>
      <c r="EM25" t="e">
        <f>AND('Auxiliary Heater'!C5,"AAAAAGvv7o4=")</f>
        <v>#VALUE!</v>
      </c>
      <c r="EN25" t="e">
        <f>AND('Auxiliary Heater'!D5,"AAAAAGvv7o8=")</f>
        <v>#VALUE!</v>
      </c>
      <c r="EO25" t="e">
        <f>AND('Auxiliary Heater'!E5,"AAAAAGvv7pA=")</f>
        <v>#VALUE!</v>
      </c>
      <c r="EP25" t="e">
        <f>AND('Auxiliary Heater'!F5,"AAAAAGvv7pE=")</f>
        <v>#VALUE!</v>
      </c>
      <c r="EQ25" t="e">
        <f>AND('Auxiliary Heater'!G5,"AAAAAGvv7pI=")</f>
        <v>#VALUE!</v>
      </c>
      <c r="ER25" t="e">
        <f>AND('Auxiliary Heater'!H5,"AAAAAGvv7pM=")</f>
        <v>#VALUE!</v>
      </c>
      <c r="ES25" t="e">
        <f>AND('Auxiliary Heater'!I6,"AAAAAGvv7pQ=")</f>
        <v>#VALUE!</v>
      </c>
      <c r="ET25" t="e">
        <f>AND('Auxiliary Heater'!J5,"AAAAAGvv7pU=")</f>
        <v>#VALUE!</v>
      </c>
      <c r="EU25" t="e">
        <f>AND('Auxiliary Heater'!K5,"AAAAAGvv7pY=")</f>
        <v>#VALUE!</v>
      </c>
      <c r="EV25" t="e">
        <f>AND('Auxiliary Heater'!L5,"AAAAAGvv7pc=")</f>
        <v>#VALUE!</v>
      </c>
      <c r="EW25" t="e">
        <f>AND('Auxiliary Heater'!M5,"AAAAAGvv7pg=")</f>
        <v>#VALUE!</v>
      </c>
      <c r="EX25" t="e">
        <f>AND('Auxiliary Heater'!N5,"AAAAAGvv7pk=")</f>
        <v>#VALUE!</v>
      </c>
      <c r="EY25" t="e">
        <f>AND('Auxiliary Heater'!O5,"AAAAAGvv7po=")</f>
        <v>#VALUE!</v>
      </c>
      <c r="EZ25">
        <f>IF('Auxiliary Heater'!6:6,"AAAAAGvv7ps=",0)</f>
        <v>0</v>
      </c>
      <c r="FA25" t="e">
        <f>AND('Auxiliary Heater'!A6,"AAAAAGvv7pw=")</f>
        <v>#VALUE!</v>
      </c>
      <c r="FB25" t="e">
        <f>AND('Auxiliary Heater'!B6,"AAAAAGvv7p0=")</f>
        <v>#VALUE!</v>
      </c>
      <c r="FC25" t="e">
        <f>AND('Auxiliary Heater'!C6,"AAAAAGvv7p4=")</f>
        <v>#VALUE!</v>
      </c>
      <c r="FD25" t="e">
        <f>AND('Auxiliary Heater'!D6,"AAAAAGvv7p8=")</f>
        <v>#VALUE!</v>
      </c>
      <c r="FE25" t="e">
        <f>AND('Auxiliary Heater'!E6,"AAAAAGvv7qA=")</f>
        <v>#VALUE!</v>
      </c>
      <c r="FF25" t="e">
        <f>AND('Auxiliary Heater'!F6,"AAAAAGvv7qE=")</f>
        <v>#VALUE!</v>
      </c>
      <c r="FG25" t="e">
        <f>AND('Auxiliary Heater'!G6,"AAAAAGvv7qI=")</f>
        <v>#VALUE!</v>
      </c>
      <c r="FH25" t="e">
        <f>AND('Auxiliary Heater'!H6,"AAAAAGvv7qM=")</f>
        <v>#VALUE!</v>
      </c>
      <c r="FI25" t="e">
        <f>AND('Auxiliary Heater'!#REF!,"AAAAAGvv7qQ=")</f>
        <v>#REF!</v>
      </c>
      <c r="FJ25" t="e">
        <f>AND('Auxiliary Heater'!J6,"AAAAAGvv7qU=")</f>
        <v>#VALUE!</v>
      </c>
      <c r="FK25" t="e">
        <f>AND('Auxiliary Heater'!K6,"AAAAAGvv7qY=")</f>
        <v>#VALUE!</v>
      </c>
      <c r="FL25" t="e">
        <f>AND('Auxiliary Heater'!L6,"AAAAAGvv7qc=")</f>
        <v>#VALUE!</v>
      </c>
      <c r="FM25" t="e">
        <f>AND('Auxiliary Heater'!M6,"AAAAAGvv7qg=")</f>
        <v>#VALUE!</v>
      </c>
      <c r="FN25" t="e">
        <f>AND('Auxiliary Heater'!N6,"AAAAAGvv7qk=")</f>
        <v>#VALUE!</v>
      </c>
      <c r="FO25" t="e">
        <f>AND('Auxiliary Heater'!O6,"AAAAAGvv7qo=")</f>
        <v>#VALUE!</v>
      </c>
      <c r="FP25">
        <f>IF('Auxiliary Heater'!10:10,"AAAAAGvv7qs=",0)</f>
        <v>0</v>
      </c>
      <c r="FQ25" t="e">
        <f>AND('Auxiliary Heater'!A10,"AAAAAGvv7qw=")</f>
        <v>#VALUE!</v>
      </c>
      <c r="FR25" t="e">
        <f>AND('Auxiliary Heater'!B10,"AAAAAGvv7q0=")</f>
        <v>#VALUE!</v>
      </c>
      <c r="FS25" t="e">
        <f>AND('Auxiliary Heater'!C10,"AAAAAGvv7q4=")</f>
        <v>#VALUE!</v>
      </c>
      <c r="FT25" t="e">
        <f>AND('Auxiliary Heater'!D10,"AAAAAGvv7q8=")</f>
        <v>#VALUE!</v>
      </c>
      <c r="FU25" t="e">
        <f>AND('Auxiliary Heater'!E10,"AAAAAGvv7rA=")</f>
        <v>#VALUE!</v>
      </c>
      <c r="FV25" t="e">
        <f>AND('Auxiliary Heater'!F10,"AAAAAGvv7rE=")</f>
        <v>#VALUE!</v>
      </c>
      <c r="FW25" t="e">
        <f>AND('Auxiliary Heater'!G10,"AAAAAGvv7rI=")</f>
        <v>#VALUE!</v>
      </c>
      <c r="FX25" t="e">
        <f>AND('Auxiliary Heater'!H10,"AAAAAGvv7rM=")</f>
        <v>#VALUE!</v>
      </c>
      <c r="FY25" t="e">
        <f>AND('Auxiliary Heater'!I10,"AAAAAGvv7rQ=")</f>
        <v>#VALUE!</v>
      </c>
      <c r="FZ25" t="e">
        <f>AND('Auxiliary Heater'!J10,"AAAAAGvv7rU=")</f>
        <v>#VALUE!</v>
      </c>
      <c r="GA25" t="e">
        <f>AND('Auxiliary Heater'!K10,"AAAAAGvv7rY=")</f>
        <v>#VALUE!</v>
      </c>
      <c r="GB25" t="e">
        <f>AND('Auxiliary Heater'!L10,"AAAAAGvv7rc=")</f>
        <v>#VALUE!</v>
      </c>
      <c r="GC25" t="e">
        <f>AND('Auxiliary Heater'!M10,"AAAAAGvv7rg=")</f>
        <v>#VALUE!</v>
      </c>
      <c r="GD25" t="e">
        <f>AND('Auxiliary Heater'!N10,"AAAAAGvv7rk=")</f>
        <v>#VALUE!</v>
      </c>
      <c r="GE25" t="e">
        <f>AND('Auxiliary Heater'!O10,"AAAAAGvv7ro=")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x14ac:dyDescent="0.25">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Heater'!11:11,"AAAAAA9y+0s=",0)</f>
        <v>0</v>
      </c>
      <c r="BY26" t="e">
        <f>AND('Auxiliary Heater'!A11,"AAAAAA9y+0w=")</f>
        <v>#VALUE!</v>
      </c>
      <c r="BZ26" t="e">
        <f>AND('Auxiliary Heater'!B11,"AAAAAA9y+00=")</f>
        <v>#VALUE!</v>
      </c>
      <c r="CA26" t="e">
        <f>AND('Auxiliary Heater'!C11,"AAAAAA9y+04=")</f>
        <v>#VALUE!</v>
      </c>
      <c r="CB26" t="e">
        <f>AND('Auxiliary Heater'!D11,"AAAAAA9y+08=")</f>
        <v>#VALUE!</v>
      </c>
      <c r="CC26" t="e">
        <f>AND('Auxiliary Heater'!E11,"AAAAAA9y+1A=")</f>
        <v>#VALUE!</v>
      </c>
      <c r="CD26" t="e">
        <f>AND('Auxiliary Heater'!F11,"AAAAAA9y+1E=")</f>
        <v>#VALUE!</v>
      </c>
      <c r="CE26" t="e">
        <f>AND('Auxiliary Heater'!G11,"AAAAAA9y+1I=")</f>
        <v>#VALUE!</v>
      </c>
      <c r="CF26" t="e">
        <f>AND('Auxiliary Heater'!H11,"AAAAAA9y+1M=")</f>
        <v>#VALUE!</v>
      </c>
      <c r="CG26" t="e">
        <f>AND('Auxiliary Heater'!I11,"AAAAAA9y+1Q=")</f>
        <v>#VALUE!</v>
      </c>
      <c r="CH26" t="e">
        <f>AND('Auxiliary Heater'!J11,"AAAAAA9y+1U=")</f>
        <v>#VALUE!</v>
      </c>
      <c r="CI26" t="e">
        <f>AND('Auxiliary Heater'!K11,"AAAAAA9y+1Y=")</f>
        <v>#VALUE!</v>
      </c>
      <c r="CJ26" t="e">
        <f>AND('Auxiliary Heater'!L11,"AAAAAA9y+1c=")</f>
        <v>#VALUE!</v>
      </c>
      <c r="CK26" t="e">
        <f>AND('Auxiliary Heater'!M11,"AAAAAA9y+1g=")</f>
        <v>#VALUE!</v>
      </c>
      <c r="CL26" t="e">
        <f>AND('Auxiliary Heater'!N11,"AAAAAA9y+1k=")</f>
        <v>#VALUE!</v>
      </c>
      <c r="CM26" t="e">
        <f>AND('Auxiliary Heater'!O11,"AAAAAA9y+1o=")</f>
        <v>#VALUE!</v>
      </c>
      <c r="CN26">
        <f>IF('Auxiliary Heater'!26:26,"AAAAAA9y+1s=",0)</f>
        <v>0</v>
      </c>
      <c r="CO26" t="e">
        <f>AND('Auxiliary Heater'!A26,"AAAAAA9y+1w=")</f>
        <v>#VALUE!</v>
      </c>
      <c r="CP26" t="e">
        <f>AND('Auxiliary Heater'!B26,"AAAAAA9y+10=")</f>
        <v>#VALUE!</v>
      </c>
      <c r="CQ26" t="e">
        <f>AND('Auxiliary Heater'!C26,"AAAAAA9y+14=")</f>
        <v>#VALUE!</v>
      </c>
      <c r="CR26" t="e">
        <f>AND('Auxiliary Heater'!D26,"AAAAAA9y+18=")</f>
        <v>#VALUE!</v>
      </c>
      <c r="CS26" t="e">
        <f>AND('Auxiliary Heater'!E26,"AAAAAA9y+2A=")</f>
        <v>#VALUE!</v>
      </c>
      <c r="CT26" t="e">
        <f>AND('Auxiliary Heater'!F26,"AAAAAA9y+2E=")</f>
        <v>#VALUE!</v>
      </c>
      <c r="CU26" t="e">
        <f>AND('Auxiliary Heater'!G26,"AAAAAA9y+2I=")</f>
        <v>#VALUE!</v>
      </c>
      <c r="CV26" t="e">
        <f>AND('Auxiliary Heater'!H26,"AAAAAA9y+2M=")</f>
        <v>#VALUE!</v>
      </c>
      <c r="CW26" t="e">
        <f>AND('Auxiliary Heater'!I26,"AAAAAA9y+2Q=")</f>
        <v>#VALUE!</v>
      </c>
      <c r="CX26" t="e">
        <f>AND('Auxiliary Heater'!J26,"AAAAAA9y+2U=")</f>
        <v>#VALUE!</v>
      </c>
      <c r="CY26" t="e">
        <f>AND('Auxiliary Heater'!K26,"AAAAAA9y+2Y=")</f>
        <v>#VALUE!</v>
      </c>
      <c r="CZ26" t="e">
        <f>AND('Auxiliary Heater'!L26,"AAAAAA9y+2c=")</f>
        <v>#VALUE!</v>
      </c>
      <c r="DA26" t="e">
        <f>AND('Auxiliary Heater'!M26,"AAAAAA9y+2g=")</f>
        <v>#VALUE!</v>
      </c>
      <c r="DB26" t="e">
        <f>AND('Auxiliary Heater'!N26,"AAAAAA9y+2k=")</f>
        <v>#VALUE!</v>
      </c>
      <c r="DC26" t="e">
        <f>AND('Auxiliary Heater'!O26,"AAAAAA9y+2o=")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x14ac:dyDescent="0.25">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x14ac:dyDescent="0.25">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x14ac:dyDescent="0.25">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Heater'!40:40,"AAAAAHuTb1s=",0)</f>
        <v>0</v>
      </c>
      <c r="CO29" t="e">
        <f>AND('Auxiliary Heater'!A40,"AAAAAHuTb1w=")</f>
        <v>#VALUE!</v>
      </c>
      <c r="CP29" t="e">
        <f>AND('Auxiliary Heater'!B40,"AAAAAHuTb10=")</f>
        <v>#VALUE!</v>
      </c>
      <c r="CQ29" t="e">
        <f>AND('Auxiliary Heater'!C40,"AAAAAHuTb14=")</f>
        <v>#VALUE!</v>
      </c>
      <c r="CR29" t="e">
        <f>AND('Auxiliary Heater'!D40,"AAAAAHuTb18=")</f>
        <v>#VALUE!</v>
      </c>
      <c r="CS29" t="e">
        <f>AND('Auxiliary Heater'!E40,"AAAAAHuTb2A=")</f>
        <v>#VALUE!</v>
      </c>
      <c r="CT29" t="e">
        <f>AND('Auxiliary Heater'!F40,"AAAAAHuTb2E=")</f>
        <v>#VALUE!</v>
      </c>
      <c r="CU29" t="e">
        <f>AND('Auxiliary Heater'!G40,"AAAAAHuTb2I=")</f>
        <v>#VALUE!</v>
      </c>
      <c r="CV29" t="e">
        <f>AND('Auxiliary Heater'!H40,"AAAAAHuTb2M=")</f>
        <v>#VALUE!</v>
      </c>
      <c r="CW29" t="e">
        <f>AND('Auxiliary Heater'!I40,"AAAAAHuTb2Q=")</f>
        <v>#VALUE!</v>
      </c>
      <c r="CX29" t="e">
        <f>AND('Auxiliary Heater'!J40,"AAAAAHuTb2U=")</f>
        <v>#VALUE!</v>
      </c>
      <c r="CY29" t="e">
        <f>AND('Auxiliary Heater'!K40,"AAAAAHuTb2Y=")</f>
        <v>#VALUE!</v>
      </c>
      <c r="CZ29" t="e">
        <f>AND('Auxiliary Heater'!L40,"AAAAAHuTb2c=")</f>
        <v>#VALUE!</v>
      </c>
      <c r="DA29" t="e">
        <f>AND('Auxiliary Heater'!M40,"AAAAAHuTb2g=")</f>
        <v>#VALUE!</v>
      </c>
      <c r="DB29" t="e">
        <f>AND('Auxiliary Heater'!N40,"AAAAAHuTb2k=")</f>
        <v>#VALUE!</v>
      </c>
      <c r="DC29" t="e">
        <f>AND('Auxiliary Heater'!O40,"AAAAAHuTb2o=")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x14ac:dyDescent="0.25">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Heater'!41:41,"AAAAAFLo7ws=",0)</f>
        <v>0</v>
      </c>
      <c r="M30" t="e">
        <f>AND('Auxiliary Heater'!A41,"AAAAAFLo7ww=")</f>
        <v>#VALUE!</v>
      </c>
      <c r="N30" t="e">
        <f>AND('Auxiliary Heater'!B41,"AAAAAFLo7w0=")</f>
        <v>#VALUE!</v>
      </c>
      <c r="O30" t="e">
        <f>AND('Auxiliary Heater'!C41,"AAAAAFLo7w4=")</f>
        <v>#VALUE!</v>
      </c>
      <c r="P30" t="e">
        <f>AND('Auxiliary Heater'!D41,"AAAAAFLo7w8=")</f>
        <v>#VALUE!</v>
      </c>
      <c r="Q30" t="e">
        <f>AND('Auxiliary Heater'!E41,"AAAAAFLo7xA=")</f>
        <v>#VALUE!</v>
      </c>
      <c r="R30" t="e">
        <f>AND('Auxiliary Heater'!F41,"AAAAAFLo7xE=")</f>
        <v>#VALUE!</v>
      </c>
      <c r="S30" t="e">
        <f>AND('Auxiliary Heater'!G41,"AAAAAFLo7xI=")</f>
        <v>#VALUE!</v>
      </c>
      <c r="T30" t="e">
        <f>AND('Auxiliary Heater'!H41,"AAAAAFLo7xM=")</f>
        <v>#VALUE!</v>
      </c>
      <c r="U30" t="e">
        <f>AND('Auxiliary Heater'!I41,"AAAAAFLo7xQ=")</f>
        <v>#VALUE!</v>
      </c>
      <c r="V30" t="e">
        <f>AND('Auxiliary Heater'!J41,"AAAAAFLo7xU=")</f>
        <v>#VALUE!</v>
      </c>
      <c r="W30" t="e">
        <f>AND('Auxiliary Heater'!K41,"AAAAAFLo7xY=")</f>
        <v>#VALUE!</v>
      </c>
      <c r="X30" t="e">
        <f>AND('Auxiliary Heater'!L41,"AAAAAFLo7xc=")</f>
        <v>#VALUE!</v>
      </c>
      <c r="Y30" t="e">
        <f>AND('Auxiliary Heater'!M41,"AAAAAFLo7xg=")</f>
        <v>#VALUE!</v>
      </c>
      <c r="Z30" t="e">
        <f>AND('Auxiliary Heater'!N41,"AAAAAFLo7xk=")</f>
        <v>#VALUE!</v>
      </c>
      <c r="AA30" t="e">
        <f>AND('Auxiliary Heater'!O41,"AAAAAFLo7xo=")</f>
        <v>#VALUE!</v>
      </c>
      <c r="AB30">
        <f>IF('Auxiliary Heater'!42:42,"AAAAAFLo7xs=",0)</f>
        <v>0</v>
      </c>
      <c r="AC30" t="e">
        <f>AND('Auxiliary Heater'!A42,"AAAAAFLo7xw=")</f>
        <v>#VALUE!</v>
      </c>
      <c r="AD30" t="e">
        <f>AND('Auxiliary Heater'!B42,"AAAAAFLo7x0=")</f>
        <v>#VALUE!</v>
      </c>
      <c r="AE30" t="e">
        <f>AND('Auxiliary Heater'!C42,"AAAAAFLo7x4=")</f>
        <v>#VALUE!</v>
      </c>
      <c r="AF30" t="e">
        <f>AND('Auxiliary Heater'!D42,"AAAAAFLo7x8=")</f>
        <v>#VALUE!</v>
      </c>
      <c r="AG30" t="e">
        <f>AND('Auxiliary Heater'!E42,"AAAAAFLo7yA=")</f>
        <v>#VALUE!</v>
      </c>
      <c r="AH30" t="e">
        <f>AND('Auxiliary Heater'!F42,"AAAAAFLo7yE=")</f>
        <v>#VALUE!</v>
      </c>
      <c r="AI30" t="e">
        <f>AND('Auxiliary Heater'!G42,"AAAAAFLo7yI=")</f>
        <v>#VALUE!</v>
      </c>
      <c r="AJ30" t="e">
        <f>AND('Auxiliary Heater'!H42,"AAAAAFLo7yM=")</f>
        <v>#VALUE!</v>
      </c>
      <c r="AK30" t="e">
        <f>AND('Auxiliary Heater'!I42,"AAAAAFLo7yQ=")</f>
        <v>#VALUE!</v>
      </c>
      <c r="AL30" t="e">
        <f>AND('Auxiliary Heater'!J42,"AAAAAFLo7yU=")</f>
        <v>#VALUE!</v>
      </c>
      <c r="AM30" t="e">
        <f>AND('Auxiliary Heater'!K42,"AAAAAFLo7yY=")</f>
        <v>#VALUE!</v>
      </c>
      <c r="AN30" t="e">
        <f>AND('Auxiliary Heater'!L42,"AAAAAFLo7yc=")</f>
        <v>#VALUE!</v>
      </c>
      <c r="AO30" t="e">
        <f>AND('Auxiliary Heater'!M42,"AAAAAFLo7yg=")</f>
        <v>#VALUE!</v>
      </c>
      <c r="AP30" t="e">
        <f>AND('Auxiliary Heater'!N42,"AAAAAFLo7yk=")</f>
        <v>#VALUE!</v>
      </c>
      <c r="AQ30" t="e">
        <f>AND('Auxiliary Heater'!O42,"AAAAAFLo7yo=")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x14ac:dyDescent="0.25">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x14ac:dyDescent="0.25">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t="e">
        <f>IF('Auxiliary Heater'!B:B,"AAAAAHdcng8=",0)</f>
        <v>#VALUE!</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5">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5">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5">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5">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5">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5">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5">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5">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5">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5">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5">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5">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5">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5">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5">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5">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5">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5">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5">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5">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5">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5">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5">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5">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5">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5">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5">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5">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5">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5">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5">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5">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5">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5">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5">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5">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5">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5">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5">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5">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5">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5">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5">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5">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5">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5">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5">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5">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5">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5">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5">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5">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5">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5">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5">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5">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5">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5">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5">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5">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5">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5">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3</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R50"/>
  <sheetViews>
    <sheetView workbookViewId="0">
      <selection activeCell="H32" sqref="H32"/>
    </sheetView>
  </sheetViews>
  <sheetFormatPr defaultColWidth="8.6640625" defaultRowHeight="13.2" x14ac:dyDescent="0.25"/>
  <cols>
    <col min="1" max="1" width="5.109375" customWidth="1"/>
    <col min="2" max="2" width="16" customWidth="1"/>
    <col min="3" max="3" width="17.33203125" customWidth="1"/>
    <col min="4" max="4" width="13.44140625" customWidth="1"/>
    <col min="5" max="6" width="11.88671875" customWidth="1"/>
    <col min="9" max="9" width="8.88671875" bestFit="1" customWidth="1"/>
    <col min="10" max="10" width="4.109375" customWidth="1"/>
    <col min="11" max="12" width="8.88671875" bestFit="1" customWidth="1"/>
    <col min="13" max="13" width="12.44140625" customWidth="1"/>
  </cols>
  <sheetData>
    <row r="1" spans="1:18" s="58" customFormat="1" ht="21" x14ac:dyDescent="0.4">
      <c r="A1" s="330" t="str">
        <f>Inputs!B1</f>
        <v>Potential To Emit Calculator for Concrete Batch Plants</v>
      </c>
      <c r="B1" s="330"/>
      <c r="C1" s="330"/>
      <c r="D1" s="330"/>
      <c r="E1" s="330"/>
      <c r="F1" s="330"/>
      <c r="G1" s="330"/>
      <c r="H1" s="330"/>
      <c r="I1" s="330"/>
      <c r="J1" s="330"/>
      <c r="K1" s="330"/>
      <c r="L1" s="330"/>
      <c r="M1" s="330"/>
      <c r="N1" s="238"/>
      <c r="O1" s="9"/>
      <c r="P1" s="9"/>
    </row>
    <row r="2" spans="1:18" s="58" customFormat="1" x14ac:dyDescent="0.25">
      <c r="A2" s="331">
        <f>Inputs!B2</f>
        <v>41822</v>
      </c>
      <c r="B2" s="331"/>
      <c r="C2" s="331"/>
      <c r="D2" s="331"/>
      <c r="E2" s="331"/>
      <c r="F2" s="331"/>
      <c r="G2" s="331"/>
      <c r="H2" s="331"/>
      <c r="I2" s="331"/>
      <c r="J2" s="331"/>
      <c r="K2" s="331"/>
      <c r="L2" s="331"/>
      <c r="M2" s="331"/>
      <c r="N2" s="10"/>
      <c r="O2" s="10"/>
      <c r="P2" s="10"/>
      <c r="Q2" s="10"/>
      <c r="R2" s="10"/>
    </row>
    <row r="3" spans="1:18" ht="15.6" x14ac:dyDescent="0.3">
      <c r="A3" s="355" t="s">
        <v>193</v>
      </c>
      <c r="B3" s="355"/>
      <c r="C3" s="355"/>
      <c r="D3" s="355"/>
      <c r="E3" s="355"/>
      <c r="F3" s="355"/>
      <c r="G3" s="355"/>
      <c r="H3" s="355"/>
      <c r="I3" s="355"/>
      <c r="J3" s="355"/>
      <c r="K3" s="355"/>
      <c r="L3" s="355"/>
      <c r="M3" s="355"/>
    </row>
    <row r="4" spans="1:18" ht="15.6" x14ac:dyDescent="0.3">
      <c r="A4" s="63"/>
      <c r="B4" s="13"/>
    </row>
    <row r="5" spans="1:18" x14ac:dyDescent="0.25">
      <c r="A5" s="59"/>
      <c r="B5" s="123"/>
      <c r="C5" s="180"/>
      <c r="D5" s="97"/>
      <c r="I5" s="5" t="s">
        <v>1</v>
      </c>
      <c r="J5" s="5"/>
    </row>
    <row r="6" spans="1:18" x14ac:dyDescent="0.25">
      <c r="A6" s="59"/>
      <c r="B6" s="123"/>
      <c r="C6" s="180"/>
      <c r="D6" s="97"/>
      <c r="I6" s="2" t="s">
        <v>20</v>
      </c>
      <c r="J6" s="2"/>
    </row>
    <row r="7" spans="1:18" ht="13.8" thickBot="1" x14ac:dyDescent="0.3">
      <c r="A7" s="3"/>
      <c r="B7" s="11"/>
      <c r="C7" s="11"/>
      <c r="D7" s="3"/>
      <c r="J7" s="5"/>
    </row>
    <row r="8" spans="1:18" ht="12" customHeight="1" thickTop="1" x14ac:dyDescent="0.25">
      <c r="A8" s="4"/>
      <c r="B8" s="4"/>
      <c r="C8" s="4"/>
      <c r="D8" s="4"/>
      <c r="E8" s="4"/>
      <c r="F8" s="4"/>
      <c r="G8" s="4"/>
      <c r="H8" s="4"/>
      <c r="I8" s="4"/>
      <c r="J8" s="4"/>
      <c r="K8" s="4"/>
      <c r="L8" s="4"/>
      <c r="M8" s="4"/>
    </row>
    <row r="9" spans="1:18" x14ac:dyDescent="0.25">
      <c r="A9" s="1" t="s">
        <v>187</v>
      </c>
      <c r="B9" s="1"/>
      <c r="D9" s="51"/>
      <c r="E9" s="11"/>
      <c r="F9" s="11"/>
      <c r="G9" s="11"/>
      <c r="H9" s="3" t="s">
        <v>8</v>
      </c>
      <c r="I9" s="3" t="s">
        <v>8</v>
      </c>
      <c r="J9" s="49"/>
      <c r="K9" s="50" t="s">
        <v>8</v>
      </c>
    </row>
    <row r="10" spans="1:18" ht="13.8" thickBot="1" x14ac:dyDescent="0.3">
      <c r="A10" s="1"/>
      <c r="B10" s="1"/>
      <c r="D10" s="51"/>
      <c r="E10" s="11"/>
      <c r="F10" s="11"/>
      <c r="G10" s="11"/>
      <c r="H10" s="3"/>
      <c r="I10" s="3"/>
      <c r="J10" s="49"/>
      <c r="K10" s="50"/>
    </row>
    <row r="11" spans="1:18" s="15" customFormat="1" ht="12.75" customHeight="1" x14ac:dyDescent="0.25">
      <c r="B11" s="356" t="s">
        <v>138</v>
      </c>
      <c r="C11" s="357"/>
      <c r="D11" s="357"/>
      <c r="E11" s="254" t="s">
        <v>179</v>
      </c>
      <c r="F11" s="254"/>
      <c r="G11" s="358" t="s">
        <v>185</v>
      </c>
      <c r="H11" s="358"/>
      <c r="I11" s="358"/>
      <c r="J11" s="74"/>
      <c r="K11" s="358" t="s">
        <v>172</v>
      </c>
      <c r="L11" s="358"/>
      <c r="M11" s="359"/>
      <c r="N11" s="19"/>
      <c r="O11" s="19"/>
    </row>
    <row r="12" spans="1:18" s="15" customFormat="1" ht="15.6" x14ac:dyDescent="0.35">
      <c r="A12" s="19"/>
      <c r="B12" s="361" t="s">
        <v>180</v>
      </c>
      <c r="C12" s="362"/>
      <c r="D12" s="362"/>
      <c r="E12" s="249" t="s">
        <v>143</v>
      </c>
      <c r="F12" s="125" t="s">
        <v>188</v>
      </c>
      <c r="G12" s="248" t="s">
        <v>15</v>
      </c>
      <c r="H12" s="27" t="s">
        <v>5</v>
      </c>
      <c r="I12" s="66" t="s">
        <v>4</v>
      </c>
      <c r="J12" s="245"/>
      <c r="K12" s="66" t="s">
        <v>15</v>
      </c>
      <c r="L12" s="27" t="s">
        <v>5</v>
      </c>
      <c r="M12" s="255" t="s">
        <v>4</v>
      </c>
      <c r="N12" s="19"/>
      <c r="O12" s="19"/>
      <c r="P12" s="19"/>
    </row>
    <row r="13" spans="1:18" s="15" customFormat="1" x14ac:dyDescent="0.25">
      <c r="A13" s="19"/>
      <c r="B13" s="363" t="s">
        <v>210</v>
      </c>
      <c r="C13" s="364"/>
      <c r="D13" s="364"/>
      <c r="E13" s="240">
        <f>Inputs!D14</f>
        <v>0</v>
      </c>
      <c r="F13" s="240" t="s">
        <v>238</v>
      </c>
      <c r="G13" s="253">
        <f>IF($F13="N",#REF!,0.0021)</f>
        <v>2.0999999999999999E-3</v>
      </c>
      <c r="H13" s="253">
        <f>IF($F13="N",#REF!,0.00099)</f>
        <v>9.8999999999999999E-4</v>
      </c>
      <c r="I13" s="253">
        <f>H13*0.0013/0.01</f>
        <v>1.2869999999999998E-4</v>
      </c>
      <c r="J13" s="19"/>
      <c r="K13" s="141">
        <f t="shared" ref="K13:K23" si="0">E13*G13*8760/2000</f>
        <v>0</v>
      </c>
      <c r="L13" s="141">
        <f>E13*H13*8760/2000</f>
        <v>0</v>
      </c>
      <c r="M13" s="147">
        <f>E13*I13*8760/2000</f>
        <v>0</v>
      </c>
      <c r="N13" s="19"/>
      <c r="O13" s="19"/>
      <c r="P13" s="19"/>
    </row>
    <row r="14" spans="1:18" s="15" customFormat="1" x14ac:dyDescent="0.25">
      <c r="A14" s="19"/>
      <c r="B14" s="363" t="s">
        <v>211</v>
      </c>
      <c r="C14" s="364"/>
      <c r="D14" s="364"/>
      <c r="E14" s="240">
        <f>Inputs!D15</f>
        <v>0</v>
      </c>
      <c r="F14" s="240" t="s">
        <v>238</v>
      </c>
      <c r="G14" s="253">
        <f>IF($F14="N",#REF!,0.0069)</f>
        <v>6.8999999999999999E-3</v>
      </c>
      <c r="H14" s="253">
        <f>IF($F14="N",#REF!,0.0033)</f>
        <v>3.3E-3</v>
      </c>
      <c r="I14" s="253">
        <f>H14*0.0013/0.01</f>
        <v>4.2899999999999997E-4</v>
      </c>
      <c r="J14" s="19"/>
      <c r="K14" s="141">
        <f t="shared" si="0"/>
        <v>0</v>
      </c>
      <c r="L14" s="141">
        <f t="shared" ref="L14:L23" si="1">E14*H14*8760/2000</f>
        <v>0</v>
      </c>
      <c r="M14" s="147">
        <f>E14*I14*8760/2000</f>
        <v>0</v>
      </c>
      <c r="N14" s="19"/>
      <c r="O14" s="19"/>
      <c r="P14" s="19"/>
    </row>
    <row r="15" spans="1:18" s="15" customFormat="1" x14ac:dyDescent="0.25">
      <c r="A15" s="19"/>
      <c r="B15" s="363" t="s">
        <v>83</v>
      </c>
      <c r="C15" s="364"/>
      <c r="D15" s="364"/>
      <c r="E15" s="240">
        <f>Inputs!D16</f>
        <v>0</v>
      </c>
      <c r="F15" s="240" t="s">
        <v>238</v>
      </c>
      <c r="G15" s="253">
        <f>IF($F15="N",#REF!,0.00099)</f>
        <v>9.8999999999999999E-4</v>
      </c>
      <c r="H15" s="253">
        <f>IF($F15="N",#REF!,0.00034)</f>
        <v>3.4000000000000002E-4</v>
      </c>
      <c r="I15" s="253">
        <f t="shared" ref="I15:I21" si="2">H15*0.0013/0.01</f>
        <v>4.4200000000000004E-5</v>
      </c>
      <c r="J15" s="234"/>
      <c r="K15" s="141">
        <f t="shared" si="0"/>
        <v>0</v>
      </c>
      <c r="L15" s="141">
        <f t="shared" si="1"/>
        <v>0</v>
      </c>
      <c r="M15" s="147">
        <f t="shared" ref="M15:M21" si="3">E15*I15*8760/2000</f>
        <v>0</v>
      </c>
      <c r="N15" s="19"/>
      <c r="O15" s="19"/>
      <c r="P15" s="19"/>
    </row>
    <row r="16" spans="1:18" s="15" customFormat="1" x14ac:dyDescent="0.25">
      <c r="A16" s="19"/>
      <c r="B16" s="363" t="s">
        <v>137</v>
      </c>
      <c r="C16" s="364"/>
      <c r="D16" s="364"/>
      <c r="E16" s="240">
        <f>Inputs!D17</f>
        <v>0</v>
      </c>
      <c r="F16" s="240" t="s">
        <v>238</v>
      </c>
      <c r="G16" s="253">
        <f>IF($F16="N",#REF!,0.0089)</f>
        <v>8.8999999999999999E-3</v>
      </c>
      <c r="H16" s="253">
        <f>IF($F16="N",#REF!,0.0049)</f>
        <v>4.8999999999999998E-3</v>
      </c>
      <c r="I16" s="253">
        <f t="shared" si="2"/>
        <v>6.3699999999999987E-4</v>
      </c>
      <c r="J16" s="234"/>
      <c r="K16" s="141">
        <f t="shared" si="0"/>
        <v>0</v>
      </c>
      <c r="L16" s="141">
        <f t="shared" si="1"/>
        <v>0</v>
      </c>
      <c r="M16" s="147">
        <f t="shared" si="3"/>
        <v>0</v>
      </c>
      <c r="N16" s="19"/>
      <c r="O16" s="19"/>
      <c r="P16" s="19"/>
    </row>
    <row r="17" spans="1:16" s="15" customFormat="1" x14ac:dyDescent="0.25">
      <c r="A17" s="19"/>
      <c r="B17" s="363" t="s">
        <v>81</v>
      </c>
      <c r="C17" s="364"/>
      <c r="D17" s="364"/>
      <c r="E17" s="240">
        <f>Inputs!D18</f>
        <v>0</v>
      </c>
      <c r="F17" s="240" t="s">
        <v>238</v>
      </c>
      <c r="G17" s="253">
        <f>IF($F17="N",#REF!,0.0021)</f>
        <v>2.0999999999999999E-3</v>
      </c>
      <c r="H17" s="253">
        <f>IF($F17="N",#REF!,0.00099)</f>
        <v>9.8999999999999999E-4</v>
      </c>
      <c r="I17" s="253">
        <f t="shared" si="2"/>
        <v>1.2869999999999998E-4</v>
      </c>
      <c r="J17" s="234"/>
      <c r="K17" s="141">
        <f t="shared" si="0"/>
        <v>0</v>
      </c>
      <c r="L17" s="141">
        <f t="shared" si="1"/>
        <v>0</v>
      </c>
      <c r="M17" s="147">
        <f t="shared" si="3"/>
        <v>0</v>
      </c>
      <c r="N17" s="19"/>
      <c r="O17" s="19"/>
      <c r="P17" s="19"/>
    </row>
    <row r="18" spans="1:16" s="15" customFormat="1" x14ac:dyDescent="0.25">
      <c r="A18" s="19"/>
      <c r="B18" s="363" t="s">
        <v>82</v>
      </c>
      <c r="C18" s="364"/>
      <c r="D18" s="364"/>
      <c r="E18" s="240">
        <f>Inputs!D19</f>
        <v>0</v>
      </c>
      <c r="F18" s="240">
        <f>Inputs!G19</f>
        <v>0</v>
      </c>
      <c r="G18" s="253">
        <f>IF($F18="N",#REF!,0.0069)</f>
        <v>6.8999999999999999E-3</v>
      </c>
      <c r="H18" s="253">
        <f>IF($F18="N",#REF!,0.0033)</f>
        <v>3.3E-3</v>
      </c>
      <c r="I18" s="253">
        <f t="shared" si="2"/>
        <v>4.2899999999999997E-4</v>
      </c>
      <c r="J18" s="234"/>
      <c r="K18" s="141">
        <f t="shared" si="0"/>
        <v>0</v>
      </c>
      <c r="L18" s="141">
        <f t="shared" si="1"/>
        <v>0</v>
      </c>
      <c r="M18" s="147">
        <f t="shared" si="3"/>
        <v>0</v>
      </c>
      <c r="N18" s="19"/>
      <c r="O18" s="19"/>
      <c r="P18" s="19"/>
    </row>
    <row r="19" spans="1:16" s="15" customFormat="1" x14ac:dyDescent="0.25">
      <c r="A19" s="19"/>
      <c r="B19" s="363" t="s">
        <v>84</v>
      </c>
      <c r="C19" s="364"/>
      <c r="D19" s="364"/>
      <c r="E19" s="240">
        <f>Inputs!D20</f>
        <v>0</v>
      </c>
      <c r="F19" s="240" t="s">
        <v>238</v>
      </c>
      <c r="G19" s="253">
        <f>IF($F19="N",#REF!,0.0021)</f>
        <v>2.0999999999999999E-3</v>
      </c>
      <c r="H19" s="253">
        <f>IF($F19="N",#REF!,0.00099)</f>
        <v>9.8999999999999999E-4</v>
      </c>
      <c r="I19" s="253">
        <f t="shared" si="2"/>
        <v>1.2869999999999998E-4</v>
      </c>
      <c r="J19" s="234"/>
      <c r="K19" s="141">
        <f t="shared" si="0"/>
        <v>0</v>
      </c>
      <c r="L19" s="141">
        <f t="shared" si="1"/>
        <v>0</v>
      </c>
      <c r="M19" s="147">
        <f t="shared" si="3"/>
        <v>0</v>
      </c>
      <c r="N19" s="19"/>
      <c r="O19" s="19"/>
      <c r="P19" s="19"/>
    </row>
    <row r="20" spans="1:16" s="15" customFormat="1" x14ac:dyDescent="0.25">
      <c r="A20" s="19"/>
      <c r="B20" s="363" t="s">
        <v>85</v>
      </c>
      <c r="C20" s="364"/>
      <c r="D20" s="364"/>
      <c r="E20" s="240">
        <f>Inputs!D21</f>
        <v>0</v>
      </c>
      <c r="F20" s="240" t="s">
        <v>238</v>
      </c>
      <c r="G20" s="253">
        <f>IF($F20="N",#REF!,0.0069)</f>
        <v>6.8999999999999999E-3</v>
      </c>
      <c r="H20" s="253">
        <f>IF($F20="N",#REF!,0.0033)</f>
        <v>3.3E-3</v>
      </c>
      <c r="I20" s="253">
        <f t="shared" si="2"/>
        <v>4.2899999999999997E-4</v>
      </c>
      <c r="J20" s="234"/>
      <c r="K20" s="141">
        <f t="shared" si="0"/>
        <v>0</v>
      </c>
      <c r="L20" s="141">
        <f t="shared" si="1"/>
        <v>0</v>
      </c>
      <c r="M20" s="147">
        <f t="shared" si="3"/>
        <v>0</v>
      </c>
      <c r="N20" s="19"/>
      <c r="O20" s="19"/>
      <c r="P20" s="19"/>
    </row>
    <row r="21" spans="1:16" s="15" customFormat="1" x14ac:dyDescent="0.25">
      <c r="A21" s="19"/>
      <c r="B21" s="363" t="s">
        <v>86</v>
      </c>
      <c r="C21" s="364"/>
      <c r="D21" s="364"/>
      <c r="E21" s="240">
        <f>Inputs!D22</f>
        <v>0</v>
      </c>
      <c r="F21" s="240" t="s">
        <v>238</v>
      </c>
      <c r="G21" s="253">
        <f>IF($F21="N",#REF!,0.0048)</f>
        <v>4.7999999999999996E-3</v>
      </c>
      <c r="H21" s="253">
        <f>IF($F21="N",#REF!,0.0028)</f>
        <v>2.8E-3</v>
      </c>
      <c r="I21" s="253">
        <f t="shared" si="2"/>
        <v>3.6399999999999996E-4</v>
      </c>
      <c r="J21" s="234"/>
      <c r="K21" s="141">
        <f t="shared" si="0"/>
        <v>0</v>
      </c>
      <c r="L21" s="141">
        <f t="shared" si="1"/>
        <v>0</v>
      </c>
      <c r="M21" s="147">
        <f t="shared" si="3"/>
        <v>0</v>
      </c>
      <c r="N21" s="19"/>
      <c r="O21" s="19"/>
      <c r="P21" s="19"/>
    </row>
    <row r="22" spans="1:16" s="15" customFormat="1" x14ac:dyDescent="0.25">
      <c r="A22" s="19"/>
      <c r="B22" s="363" t="s">
        <v>87</v>
      </c>
      <c r="C22" s="364"/>
      <c r="D22" s="364"/>
      <c r="E22" s="240">
        <f>Inputs!D23</f>
        <v>0</v>
      </c>
      <c r="F22" s="240" t="s">
        <v>238</v>
      </c>
      <c r="G22" s="253">
        <f>IF($F22="N",#REF!,0.0184)</f>
        <v>1.84E-2</v>
      </c>
      <c r="H22" s="253">
        <f>IF($F22="N",#REF!,0.0055)</f>
        <v>5.4999999999999997E-3</v>
      </c>
      <c r="I22" s="253">
        <f>H22*0.0013/0.01</f>
        <v>7.1499999999999992E-4</v>
      </c>
      <c r="J22" s="234"/>
      <c r="K22" s="141">
        <f t="shared" si="0"/>
        <v>0</v>
      </c>
      <c r="L22" s="141">
        <f t="shared" si="1"/>
        <v>0</v>
      </c>
      <c r="M22" s="147">
        <f>E22*I22*8760/2000</f>
        <v>0</v>
      </c>
      <c r="N22" s="19"/>
      <c r="O22" s="19"/>
      <c r="P22" s="19"/>
    </row>
    <row r="23" spans="1:16" s="15" customFormat="1" x14ac:dyDescent="0.25">
      <c r="A23" s="19"/>
      <c r="B23" s="363" t="s">
        <v>192</v>
      </c>
      <c r="C23" s="364"/>
      <c r="D23" s="364"/>
      <c r="E23" s="240">
        <f>Inputs!D24</f>
        <v>0</v>
      </c>
      <c r="F23" s="240" t="s">
        <v>238</v>
      </c>
      <c r="G23" s="253">
        <f>IF($F23="N",#REF!,0.098)</f>
        <v>9.8000000000000004E-2</v>
      </c>
      <c r="H23" s="253">
        <f>IF($F23="N",#REF!,0.0263)</f>
        <v>2.63E-2</v>
      </c>
      <c r="I23" s="253">
        <f>H23*0.0013/0.01</f>
        <v>3.4189999999999997E-3</v>
      </c>
      <c r="J23" s="234"/>
      <c r="K23" s="141">
        <f t="shared" si="0"/>
        <v>0</v>
      </c>
      <c r="L23" s="141">
        <f t="shared" si="1"/>
        <v>0</v>
      </c>
      <c r="M23" s="147">
        <f>E23*I23*8760/2000</f>
        <v>0</v>
      </c>
      <c r="N23" s="19"/>
      <c r="O23" s="19"/>
      <c r="P23" s="19"/>
    </row>
    <row r="24" spans="1:16" s="15" customFormat="1" x14ac:dyDescent="0.25">
      <c r="A24" s="19"/>
      <c r="B24" s="256"/>
      <c r="C24" s="365" t="s">
        <v>184</v>
      </c>
      <c r="D24" s="241"/>
      <c r="E24" s="246"/>
      <c r="F24" s="246"/>
      <c r="G24" s="247"/>
      <c r="H24" s="247"/>
      <c r="I24" s="247"/>
      <c r="J24" s="234"/>
      <c r="K24" s="234"/>
      <c r="L24" s="234"/>
      <c r="M24" s="257"/>
      <c r="N24" s="19"/>
      <c r="O24" s="19"/>
      <c r="P24" s="19"/>
    </row>
    <row r="25" spans="1:16" s="15" customFormat="1" x14ac:dyDescent="0.25">
      <c r="A25" s="19"/>
      <c r="B25" s="258"/>
      <c r="C25" s="365"/>
      <c r="D25" s="209"/>
      <c r="E25" s="251" t="s">
        <v>135</v>
      </c>
      <c r="F25" s="267"/>
      <c r="G25" s="360" t="s">
        <v>186</v>
      </c>
      <c r="H25" s="360"/>
      <c r="I25" s="360"/>
      <c r="J25" s="234"/>
      <c r="K25" s="360" t="s">
        <v>239</v>
      </c>
      <c r="L25" s="360"/>
      <c r="M25" s="368"/>
      <c r="N25" s="19"/>
      <c r="O25" s="19"/>
      <c r="P25" s="19"/>
    </row>
    <row r="26" spans="1:16" s="15" customFormat="1" ht="15.6" x14ac:dyDescent="0.35">
      <c r="A26" s="19"/>
      <c r="B26" s="369" t="s">
        <v>136</v>
      </c>
      <c r="C26" s="370"/>
      <c r="D26" s="370"/>
      <c r="E26" s="240">
        <f>Inputs!D26</f>
        <v>2000000</v>
      </c>
      <c r="F26" s="267" t="s">
        <v>194</v>
      </c>
      <c r="G26" s="248" t="s">
        <v>15</v>
      </c>
      <c r="H26" s="27" t="s">
        <v>5</v>
      </c>
      <c r="I26" s="66" t="s">
        <v>4</v>
      </c>
      <c r="J26" s="234"/>
      <c r="K26" s="66" t="s">
        <v>15</v>
      </c>
      <c r="L26" s="27" t="s">
        <v>5</v>
      </c>
      <c r="M26" s="255" t="s">
        <v>4</v>
      </c>
      <c r="N26" s="19"/>
      <c r="O26" s="19"/>
      <c r="P26" s="19"/>
    </row>
    <row r="27" spans="1:16" s="15" customFormat="1" x14ac:dyDescent="0.25">
      <c r="A27" s="19"/>
      <c r="B27" s="363" t="s">
        <v>210</v>
      </c>
      <c r="C27" s="364"/>
      <c r="D27" s="364"/>
      <c r="E27" s="240">
        <f>E26</f>
        <v>2000000</v>
      </c>
      <c r="F27" s="240" t="s">
        <v>238</v>
      </c>
      <c r="G27" s="253">
        <f>IF($F27="N",#REF!,0.0015)</f>
        <v>1.5E-3</v>
      </c>
      <c r="H27" s="253">
        <f>IF($F27="N",#REF!,0.0007)</f>
        <v>6.9999999999999999E-4</v>
      </c>
      <c r="I27" s="253">
        <f>H27*0.0013/0.01</f>
        <v>9.0999999999999989E-5</v>
      </c>
      <c r="J27" s="234"/>
      <c r="K27" s="141">
        <f>$E27*G27/2000</f>
        <v>1.5</v>
      </c>
      <c r="L27" s="141">
        <f>$E27*H27/2000</f>
        <v>0.7</v>
      </c>
      <c r="M27" s="147">
        <f>E27*I27/2000</f>
        <v>9.0999999999999984E-2</v>
      </c>
      <c r="N27" s="19"/>
      <c r="O27" s="19"/>
      <c r="P27" s="19"/>
    </row>
    <row r="28" spans="1:16" s="15" customFormat="1" x14ac:dyDescent="0.25">
      <c r="A28" s="19"/>
      <c r="B28" s="363" t="s">
        <v>211</v>
      </c>
      <c r="C28" s="364"/>
      <c r="D28" s="364"/>
      <c r="E28" s="240">
        <f>E27</f>
        <v>2000000</v>
      </c>
      <c r="F28" s="240" t="s">
        <v>238</v>
      </c>
      <c r="G28" s="310">
        <f>IF($F28="N",#REF!,0.0064)</f>
        <v>6.4000000000000003E-3</v>
      </c>
      <c r="H28" s="310">
        <f>IF($F28="N",#REF!,0.0031)</f>
        <v>3.0999999999999999E-3</v>
      </c>
      <c r="I28" s="253">
        <f>H28*0.0013/0.01</f>
        <v>4.0299999999999993E-4</v>
      </c>
      <c r="J28" s="234"/>
      <c r="K28" s="141">
        <f>$E28*G28/2000</f>
        <v>6.4</v>
      </c>
      <c r="L28" s="141">
        <f>$E28*H28/2000</f>
        <v>3.1</v>
      </c>
      <c r="M28" s="147">
        <f>E28*I28/2000</f>
        <v>0.40299999999999997</v>
      </c>
      <c r="N28" s="19"/>
      <c r="O28" s="19"/>
      <c r="P28" s="19"/>
    </row>
    <row r="29" spans="1:16" s="15" customFormat="1" x14ac:dyDescent="0.25">
      <c r="A29" s="19"/>
      <c r="B29" s="363" t="s">
        <v>83</v>
      </c>
      <c r="C29" s="364"/>
      <c r="D29" s="364"/>
      <c r="E29" s="240">
        <f t="shared" ref="E29:E37" si="4">E28</f>
        <v>2000000</v>
      </c>
      <c r="F29" s="240" t="s">
        <v>238</v>
      </c>
      <c r="G29" s="253">
        <f>IF($F29="N",#REF!,0.0002)</f>
        <v>2.0000000000000001E-4</v>
      </c>
      <c r="H29" s="253">
        <f>IF($F29="N",#REF!,0.0001)</f>
        <v>1E-4</v>
      </c>
      <c r="I29" s="253">
        <f t="shared" ref="I29:I35" si="5">H29*0.0013/0.01</f>
        <v>1.2999999999999999E-5</v>
      </c>
      <c r="J29" s="234"/>
      <c r="K29" s="141">
        <f t="shared" ref="K29:L35" si="6">$E29*G29/2000</f>
        <v>0.2</v>
      </c>
      <c r="L29" s="141">
        <f t="shared" si="6"/>
        <v>0.1</v>
      </c>
      <c r="M29" s="147">
        <f t="shared" ref="M29:M36" si="7">E29*I29/2000</f>
        <v>1.2999999999999999E-2</v>
      </c>
      <c r="N29" s="19"/>
      <c r="O29" s="19"/>
      <c r="P29" s="19"/>
    </row>
    <row r="30" spans="1:16" s="15" customFormat="1" x14ac:dyDescent="0.25">
      <c r="A30" s="19"/>
      <c r="B30" s="363" t="s">
        <v>137</v>
      </c>
      <c r="C30" s="364"/>
      <c r="D30" s="364"/>
      <c r="E30" s="240">
        <f t="shared" si="4"/>
        <v>2000000</v>
      </c>
      <c r="F30" s="240" t="s">
        <v>238</v>
      </c>
      <c r="G30" s="253">
        <f>IF($F30="N",#REF!,0.0003)</f>
        <v>2.9999999999999997E-4</v>
      </c>
      <c r="H30" s="253">
        <f>IF($F30="N",#REF!,0.0002)</f>
        <v>2.0000000000000001E-4</v>
      </c>
      <c r="I30" s="253">
        <f t="shared" si="5"/>
        <v>2.5999999999999998E-5</v>
      </c>
      <c r="J30" s="234"/>
      <c r="K30" s="141">
        <f t="shared" si="6"/>
        <v>0.3</v>
      </c>
      <c r="L30" s="141">
        <f>$E30*H30/2000</f>
        <v>0.2</v>
      </c>
      <c r="M30" s="147">
        <f>E30*I30/2000</f>
        <v>2.5999999999999999E-2</v>
      </c>
      <c r="N30" s="19"/>
      <c r="O30" s="19"/>
      <c r="P30" s="19"/>
    </row>
    <row r="31" spans="1:16" s="15" customFormat="1" x14ac:dyDescent="0.25">
      <c r="A31" s="19"/>
      <c r="B31" s="363" t="s">
        <v>81</v>
      </c>
      <c r="C31" s="364"/>
      <c r="D31" s="364"/>
      <c r="E31" s="240">
        <f t="shared" si="4"/>
        <v>2000000</v>
      </c>
      <c r="F31" s="240" t="s">
        <v>238</v>
      </c>
      <c r="G31" s="253">
        <f>IF($F31="N",#REF!,0.0015)</f>
        <v>1.5E-3</v>
      </c>
      <c r="H31" s="253">
        <f>IF($F31="N",#REF!,0.0007)</f>
        <v>6.9999999999999999E-4</v>
      </c>
      <c r="I31" s="253">
        <f t="shared" si="5"/>
        <v>9.0999999999999989E-5</v>
      </c>
      <c r="J31" s="234"/>
      <c r="K31" s="141">
        <f t="shared" si="6"/>
        <v>1.5</v>
      </c>
      <c r="L31" s="141">
        <f t="shared" si="6"/>
        <v>0.7</v>
      </c>
      <c r="M31" s="147">
        <f t="shared" si="7"/>
        <v>9.0999999999999984E-2</v>
      </c>
      <c r="N31" s="19"/>
      <c r="O31" s="19"/>
      <c r="P31" s="19"/>
    </row>
    <row r="32" spans="1:16" s="15" customFormat="1" x14ac:dyDescent="0.25">
      <c r="A32" s="19"/>
      <c r="B32" s="363" t="s">
        <v>82</v>
      </c>
      <c r="C32" s="364"/>
      <c r="D32" s="364"/>
      <c r="E32" s="240">
        <f t="shared" si="4"/>
        <v>2000000</v>
      </c>
      <c r="F32" s="240">
        <f t="shared" ref="F32:F37" si="8">F18</f>
        <v>0</v>
      </c>
      <c r="G32" s="253">
        <f>IF($F32="N",#REF!,0.0064)</f>
        <v>6.4000000000000003E-3</v>
      </c>
      <c r="H32" s="253">
        <f>IF($F32="N",#REF!,0.0031)</f>
        <v>3.0999999999999999E-3</v>
      </c>
      <c r="I32" s="253">
        <f t="shared" si="5"/>
        <v>4.0299999999999993E-4</v>
      </c>
      <c r="J32" s="234"/>
      <c r="K32" s="141">
        <f t="shared" si="6"/>
        <v>6.4</v>
      </c>
      <c r="L32" s="141">
        <f t="shared" si="6"/>
        <v>3.1</v>
      </c>
      <c r="M32" s="147">
        <f t="shared" si="7"/>
        <v>0.40299999999999997</v>
      </c>
      <c r="N32" s="19"/>
      <c r="O32" s="19"/>
      <c r="P32" s="19"/>
    </row>
    <row r="33" spans="1:16" s="15" customFormat="1" x14ac:dyDescent="0.25">
      <c r="A33" s="19"/>
      <c r="B33" s="363" t="s">
        <v>84</v>
      </c>
      <c r="C33" s="364"/>
      <c r="D33" s="364"/>
      <c r="E33" s="240">
        <f t="shared" si="4"/>
        <v>2000000</v>
      </c>
      <c r="F33" s="240" t="s">
        <v>238</v>
      </c>
      <c r="G33" s="253">
        <f>IF($F33="N",#REF!,0.0015*0.1)</f>
        <v>1.5000000000000001E-4</v>
      </c>
      <c r="H33" s="253">
        <f>IF($F33="N",#REF!,0.0007*0.1)</f>
        <v>7.0000000000000007E-5</v>
      </c>
      <c r="I33" s="253">
        <f t="shared" si="5"/>
        <v>9.100000000000001E-6</v>
      </c>
      <c r="J33" s="234"/>
      <c r="K33" s="141">
        <f t="shared" si="6"/>
        <v>0.15</v>
      </c>
      <c r="L33" s="141">
        <f t="shared" si="6"/>
        <v>7.0000000000000021E-2</v>
      </c>
      <c r="M33" s="147">
        <f t="shared" si="7"/>
        <v>9.1000000000000022E-3</v>
      </c>
      <c r="N33" s="19"/>
      <c r="O33" s="19"/>
      <c r="P33" s="19"/>
    </row>
    <row r="34" spans="1:16" s="15" customFormat="1" x14ac:dyDescent="0.25">
      <c r="A34" s="19"/>
      <c r="B34" s="363" t="s">
        <v>85</v>
      </c>
      <c r="C34" s="364"/>
      <c r="D34" s="364"/>
      <c r="E34" s="240">
        <f t="shared" si="4"/>
        <v>2000000</v>
      </c>
      <c r="F34" s="240" t="s">
        <v>238</v>
      </c>
      <c r="G34" s="253">
        <f>IF($F34="N",#REF!,0.0064*0.1)</f>
        <v>6.4000000000000005E-4</v>
      </c>
      <c r="H34" s="253">
        <f>IF($F34="N",#REF!,0.0031*0.1)</f>
        <v>3.1E-4</v>
      </c>
      <c r="I34" s="253">
        <f t="shared" si="5"/>
        <v>4.0299999999999997E-5</v>
      </c>
      <c r="J34" s="234"/>
      <c r="K34" s="141">
        <f t="shared" si="6"/>
        <v>0.64</v>
      </c>
      <c r="L34" s="141">
        <f t="shared" si="6"/>
        <v>0.31</v>
      </c>
      <c r="M34" s="147">
        <f t="shared" si="7"/>
        <v>4.0299999999999996E-2</v>
      </c>
      <c r="N34" s="19"/>
      <c r="O34" s="19"/>
      <c r="P34" s="19"/>
    </row>
    <row r="35" spans="1:16" s="15" customFormat="1" x14ac:dyDescent="0.25">
      <c r="A35" s="19"/>
      <c r="B35" s="363" t="s">
        <v>86</v>
      </c>
      <c r="C35" s="364"/>
      <c r="D35" s="364"/>
      <c r="E35" s="240">
        <f t="shared" si="4"/>
        <v>2000000</v>
      </c>
      <c r="F35" s="240" t="s">
        <v>238</v>
      </c>
      <c r="G35" s="253">
        <f>IF($F35="N",#REF!,0.0079*0.1)</f>
        <v>7.9000000000000012E-4</v>
      </c>
      <c r="H35" s="253">
        <f>IF($F35="N",#REF!,0.0038*0.1)</f>
        <v>3.8000000000000002E-4</v>
      </c>
      <c r="I35" s="253">
        <f t="shared" si="5"/>
        <v>4.9400000000000001E-5</v>
      </c>
      <c r="J35" s="234"/>
      <c r="K35" s="141">
        <f t="shared" si="6"/>
        <v>0.79000000000000015</v>
      </c>
      <c r="L35" s="141">
        <f t="shared" si="6"/>
        <v>0.38</v>
      </c>
      <c r="M35" s="147">
        <f t="shared" si="7"/>
        <v>4.9399999999999999E-2</v>
      </c>
      <c r="N35" s="19"/>
      <c r="O35" s="19"/>
      <c r="P35" s="19"/>
    </row>
    <row r="36" spans="1:16" s="15" customFormat="1" x14ac:dyDescent="0.25">
      <c r="A36" s="19"/>
      <c r="B36" s="363" t="s">
        <v>87</v>
      </c>
      <c r="C36" s="364"/>
      <c r="D36" s="364"/>
      <c r="E36" s="240">
        <f t="shared" si="4"/>
        <v>2000000</v>
      </c>
      <c r="F36" s="240" t="s">
        <v>238</v>
      </c>
      <c r="G36" s="253">
        <f>G22*0.282</f>
        <v>5.1887999999999995E-3</v>
      </c>
      <c r="H36" s="253">
        <f>H22*0.282</f>
        <v>1.5509999999999999E-3</v>
      </c>
      <c r="I36" s="253">
        <f>H36*0.0013/0.01</f>
        <v>2.0162999999999995E-4</v>
      </c>
      <c r="J36" s="140"/>
      <c r="K36" s="141">
        <f>$E36*G36/2000</f>
        <v>5.1887999999999996</v>
      </c>
      <c r="L36" s="141">
        <f>$E36*H36/2000</f>
        <v>1.5509999999999997</v>
      </c>
      <c r="M36" s="147">
        <f t="shared" si="7"/>
        <v>0.20162999999999995</v>
      </c>
      <c r="N36" s="19"/>
      <c r="O36" s="19"/>
      <c r="P36" s="19"/>
    </row>
    <row r="37" spans="1:16" s="15" customFormat="1" x14ac:dyDescent="0.25">
      <c r="A37" s="19"/>
      <c r="B37" s="363" t="s">
        <v>192</v>
      </c>
      <c r="C37" s="364"/>
      <c r="D37" s="364"/>
      <c r="E37" s="240">
        <f t="shared" si="4"/>
        <v>2000000</v>
      </c>
      <c r="F37" s="240" t="str">
        <f t="shared" si="8"/>
        <v>y</v>
      </c>
      <c r="G37" s="253">
        <f>G23*0.282</f>
        <v>2.7635999999999997E-2</v>
      </c>
      <c r="H37" s="253">
        <f>H23*0.282</f>
        <v>7.4165999999999998E-3</v>
      </c>
      <c r="I37" s="253">
        <f>H37*0.0013/0.01</f>
        <v>9.641579999999999E-4</v>
      </c>
      <c r="J37" s="140"/>
      <c r="K37" s="192">
        <f>$E37*G37/2000</f>
        <v>27.635999999999996</v>
      </c>
      <c r="L37" s="192">
        <f>$E37*H37/2000</f>
        <v>7.4165999999999999</v>
      </c>
      <c r="M37" s="263">
        <f t="shared" ref="M37" si="9">E37*I37/2000</f>
        <v>0.96415799999999985</v>
      </c>
      <c r="N37" s="19"/>
      <c r="O37" s="19"/>
      <c r="P37" s="19"/>
    </row>
    <row r="38" spans="1:16" s="15" customFormat="1" ht="13.8" thickBot="1" x14ac:dyDescent="0.3">
      <c r="A38" s="19"/>
      <c r="B38" s="259"/>
      <c r="C38" s="243"/>
      <c r="D38" s="243"/>
      <c r="E38" s="243"/>
      <c r="F38" s="243"/>
      <c r="G38" s="243"/>
      <c r="H38" s="243"/>
      <c r="I38" s="243"/>
      <c r="J38" s="243"/>
      <c r="K38" s="243"/>
      <c r="L38" s="243"/>
      <c r="M38" s="244"/>
      <c r="N38" s="19"/>
      <c r="O38" s="19"/>
      <c r="P38" s="19"/>
    </row>
    <row r="39" spans="1:16" s="15" customFormat="1" ht="13.8" thickTop="1" x14ac:dyDescent="0.25">
      <c r="A39" s="19"/>
      <c r="B39" s="260"/>
      <c r="C39" s="140"/>
      <c r="D39" s="140"/>
      <c r="E39" s="140"/>
      <c r="F39" s="140"/>
      <c r="G39" s="140"/>
      <c r="H39" s="140"/>
      <c r="I39" s="140"/>
      <c r="J39" s="140"/>
      <c r="K39" s="140"/>
      <c r="L39" s="140"/>
      <c r="M39" s="164"/>
      <c r="N39" s="19"/>
      <c r="O39" s="19"/>
      <c r="P39" s="19"/>
    </row>
    <row r="40" spans="1:16" s="14" customFormat="1" x14ac:dyDescent="0.25">
      <c r="A40" s="20"/>
      <c r="B40" s="261"/>
      <c r="C40" s="8" t="s">
        <v>24</v>
      </c>
      <c r="D40" s="26"/>
      <c r="E40" s="26"/>
      <c r="F40" s="26"/>
      <c r="G40" s="107"/>
      <c r="H40" s="107"/>
      <c r="I40" s="107"/>
      <c r="J40" s="107"/>
      <c r="K40" s="107">
        <f>MAX(SUM(K13:K23),SUM(K27:K37))</f>
        <v>50.704799999999992</v>
      </c>
      <c r="L40" s="107">
        <f>MAX(SUM(L13:L23),SUM(L27:L37))</f>
        <v>17.627600000000001</v>
      </c>
      <c r="M40" s="150">
        <f>MAX(SUM(M13:M23),SUM(M27:M37))</f>
        <v>2.291588</v>
      </c>
      <c r="N40" s="20"/>
      <c r="O40" s="20"/>
      <c r="P40" s="20"/>
    </row>
    <row r="41" spans="1:16" s="15" customFormat="1" ht="13.8" thickBot="1" x14ac:dyDescent="0.3">
      <c r="A41" s="19"/>
      <c r="B41" s="262"/>
      <c r="C41" s="41"/>
      <c r="D41" s="41"/>
      <c r="E41" s="41"/>
      <c r="F41" s="41"/>
      <c r="G41" s="151"/>
      <c r="H41" s="16"/>
      <c r="I41" s="16"/>
      <c r="J41" s="16" t="s">
        <v>8</v>
      </c>
      <c r="K41" s="16"/>
      <c r="L41" s="16"/>
      <c r="M41" s="152"/>
      <c r="N41" s="19"/>
      <c r="O41" s="19"/>
      <c r="P41" s="19"/>
    </row>
    <row r="42" spans="1:16" s="15" customFormat="1" ht="12" x14ac:dyDescent="0.25">
      <c r="B42" s="20" t="s">
        <v>10</v>
      </c>
      <c r="C42" s="19"/>
      <c r="D42" s="19"/>
      <c r="E42" s="22"/>
      <c r="F42" s="22"/>
      <c r="G42" s="23"/>
      <c r="H42" s="23"/>
      <c r="I42" s="23"/>
      <c r="J42" s="23"/>
      <c r="K42" s="23"/>
      <c r="L42" s="23"/>
      <c r="M42" s="19"/>
      <c r="N42" s="19"/>
      <c r="O42" s="19"/>
      <c r="P42" s="19"/>
    </row>
    <row r="43" spans="1:16" s="15" customFormat="1" ht="11.4" x14ac:dyDescent="0.2">
      <c r="B43" s="19" t="s">
        <v>212</v>
      </c>
      <c r="C43" s="19"/>
      <c r="D43" s="19"/>
      <c r="E43" s="22"/>
      <c r="F43" s="22"/>
      <c r="G43" s="23"/>
      <c r="H43" s="23"/>
      <c r="I43" s="23"/>
      <c r="J43" s="23"/>
      <c r="K43" s="23"/>
      <c r="L43" s="23"/>
      <c r="M43" s="19"/>
      <c r="N43" s="19"/>
      <c r="O43" s="19"/>
      <c r="P43" s="19"/>
    </row>
    <row r="44" spans="1:16" s="15" customFormat="1" ht="15" customHeight="1" x14ac:dyDescent="0.2">
      <c r="B44" s="367" t="s">
        <v>134</v>
      </c>
      <c r="C44" s="367"/>
      <c r="D44" s="367"/>
      <c r="E44" s="367"/>
      <c r="F44" s="367"/>
      <c r="G44" s="367"/>
      <c r="H44" s="367"/>
      <c r="I44" s="367"/>
      <c r="J44" s="367"/>
      <c r="K44" s="367"/>
      <c r="L44" s="367"/>
      <c r="M44" s="367"/>
      <c r="N44" s="19"/>
      <c r="O44" s="19"/>
      <c r="P44" s="19"/>
    </row>
    <row r="45" spans="1:16" s="15" customFormat="1" ht="15" customHeight="1" x14ac:dyDescent="0.25">
      <c r="B45" s="366" t="s">
        <v>195</v>
      </c>
      <c r="C45" s="366"/>
      <c r="D45" s="366"/>
      <c r="E45" s="366"/>
      <c r="F45" s="366"/>
      <c r="G45" s="366"/>
      <c r="H45" s="366"/>
      <c r="I45" s="366"/>
      <c r="J45" s="366"/>
      <c r="K45" s="366"/>
      <c r="L45" s="366"/>
      <c r="M45" s="239"/>
      <c r="N45" s="19"/>
      <c r="O45" s="19"/>
      <c r="P45" s="19"/>
    </row>
    <row r="46" spans="1:16" s="15" customFormat="1" ht="11.4" x14ac:dyDescent="0.2">
      <c r="B46" s="15" t="s">
        <v>243</v>
      </c>
    </row>
    <row r="47" spans="1:16" s="15" customFormat="1" ht="11.4" x14ac:dyDescent="0.2"/>
    <row r="48" spans="1:16" x14ac:dyDescent="0.25">
      <c r="B48" s="14" t="s">
        <v>9</v>
      </c>
    </row>
    <row r="49" spans="2:2" x14ac:dyDescent="0.25">
      <c r="B49" s="15" t="s">
        <v>181</v>
      </c>
    </row>
    <row r="50" spans="2:2" x14ac:dyDescent="0.25">
      <c r="B50" s="15" t="s">
        <v>213</v>
      </c>
    </row>
  </sheetData>
  <mergeCells count="35">
    <mergeCell ref="B45:L45"/>
    <mergeCell ref="B23:D23"/>
    <mergeCell ref="B37:D37"/>
    <mergeCell ref="B14:D14"/>
    <mergeCell ref="B28:D28"/>
    <mergeCell ref="B32:D32"/>
    <mergeCell ref="B33:D33"/>
    <mergeCell ref="B34:D34"/>
    <mergeCell ref="B35:D35"/>
    <mergeCell ref="B36:D36"/>
    <mergeCell ref="B44:M44"/>
    <mergeCell ref="K25:M25"/>
    <mergeCell ref="B26:D26"/>
    <mergeCell ref="B27:D27"/>
    <mergeCell ref="B29:D29"/>
    <mergeCell ref="B30:D30"/>
    <mergeCell ref="B31:D31"/>
    <mergeCell ref="B19:D19"/>
    <mergeCell ref="B20:D20"/>
    <mergeCell ref="B21:D21"/>
    <mergeCell ref="B22:D22"/>
    <mergeCell ref="C24:C25"/>
    <mergeCell ref="G25:I25"/>
    <mergeCell ref="B12:D12"/>
    <mergeCell ref="B13:D13"/>
    <mergeCell ref="B15:D15"/>
    <mergeCell ref="B16:D16"/>
    <mergeCell ref="B17:D17"/>
    <mergeCell ref="B18:D18"/>
    <mergeCell ref="A1:M1"/>
    <mergeCell ref="A2:M2"/>
    <mergeCell ref="A3:M3"/>
    <mergeCell ref="B11:D11"/>
    <mergeCell ref="G11:I11"/>
    <mergeCell ref="K11:M11"/>
  </mergeCells>
  <pageMargins left="0.75" right="0.75" top="1" bottom="1" header="0.5" footer="0.5"/>
  <pageSetup orientation="portrait" r:id="rId1"/>
  <headerFooter alignWithMargins="0">
    <oddFooter>Page &amp;P of &amp;N</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6"/>
  <sheetViews>
    <sheetView workbookViewId="0">
      <selection activeCell="E9" sqref="E9"/>
    </sheetView>
  </sheetViews>
  <sheetFormatPr defaultColWidth="8.6640625" defaultRowHeight="13.2" x14ac:dyDescent="0.25"/>
  <cols>
    <col min="1" max="1" width="11.44140625" customWidth="1"/>
    <col min="2" max="2" width="22.33203125" customWidth="1"/>
    <col min="4" max="4" width="7" customWidth="1"/>
  </cols>
  <sheetData>
    <row r="1" spans="1:15" ht="21" x14ac:dyDescent="0.4">
      <c r="A1" s="330" t="str">
        <f>Inputs!B1</f>
        <v>Potential To Emit Calculator for Concrete Batch Plants</v>
      </c>
      <c r="B1" s="330"/>
      <c r="C1" s="330"/>
      <c r="D1" s="330"/>
      <c r="E1" s="330"/>
      <c r="F1" s="330"/>
      <c r="G1" s="330"/>
      <c r="H1" s="330"/>
      <c r="I1" s="330"/>
      <c r="J1" s="330"/>
      <c r="K1" s="330"/>
      <c r="L1" s="330"/>
      <c r="M1" s="330"/>
      <c r="N1" s="9"/>
      <c r="O1" s="9"/>
    </row>
    <row r="2" spans="1:15" x14ac:dyDescent="0.25">
      <c r="A2" s="331">
        <f>Inputs!B2</f>
        <v>41822</v>
      </c>
      <c r="B2" s="331"/>
      <c r="C2" s="331"/>
      <c r="D2" s="331"/>
      <c r="E2" s="331"/>
      <c r="F2" s="331"/>
      <c r="G2" s="331"/>
      <c r="H2" s="331"/>
      <c r="I2" s="331"/>
      <c r="J2" s="331"/>
      <c r="K2" s="331"/>
      <c r="L2" s="331"/>
      <c r="M2" s="331"/>
      <c r="N2" s="10"/>
      <c r="O2" s="10"/>
    </row>
    <row r="3" spans="1:15" ht="13.2" customHeight="1" x14ac:dyDescent="0.3">
      <c r="A3" s="355" t="s">
        <v>77</v>
      </c>
      <c r="B3" s="355"/>
      <c r="C3" s="355"/>
      <c r="D3" s="355"/>
      <c r="E3" s="355"/>
      <c r="F3" s="355"/>
      <c r="G3" s="355"/>
      <c r="H3" s="355"/>
      <c r="I3" s="355"/>
      <c r="J3" s="355"/>
      <c r="K3" s="355"/>
      <c r="L3" s="355"/>
      <c r="M3" s="355"/>
    </row>
    <row r="4" spans="1:15" x14ac:dyDescent="0.25">
      <c r="A4" s="60"/>
      <c r="B4" s="123"/>
      <c r="C4" s="123" t="s">
        <v>49</v>
      </c>
      <c r="D4" s="124">
        <f>Inputs!D31</f>
        <v>0</v>
      </c>
      <c r="E4" s="97" t="s">
        <v>31</v>
      </c>
      <c r="F4" s="60"/>
      <c r="G4" s="60"/>
      <c r="H4" s="60"/>
      <c r="I4" s="60"/>
      <c r="J4" s="60"/>
      <c r="K4" s="60"/>
      <c r="L4" s="60"/>
      <c r="M4" s="60"/>
    </row>
    <row r="5" spans="1:15" x14ac:dyDescent="0.25">
      <c r="A5" s="60"/>
      <c r="B5" s="123"/>
      <c r="C5" s="123" t="s">
        <v>50</v>
      </c>
      <c r="D5" s="124">
        <f>Inputs!D32</f>
        <v>0</v>
      </c>
      <c r="E5" s="97" t="s">
        <v>31</v>
      </c>
      <c r="F5" s="60"/>
      <c r="G5" s="60"/>
      <c r="H5" s="60"/>
      <c r="I5" s="5" t="s">
        <v>1</v>
      </c>
      <c r="J5" s="60"/>
      <c r="K5" s="60"/>
      <c r="L5" s="60"/>
      <c r="M5" s="60"/>
    </row>
    <row r="6" spans="1:15" x14ac:dyDescent="0.25">
      <c r="A6" s="60"/>
      <c r="B6" s="123"/>
      <c r="C6" s="123" t="s">
        <v>51</v>
      </c>
      <c r="D6" s="124">
        <f>Inputs!D33</f>
        <v>10</v>
      </c>
      <c r="E6" s="97" t="s">
        <v>31</v>
      </c>
      <c r="F6" s="60"/>
      <c r="G6" s="60"/>
      <c r="H6" s="60"/>
      <c r="I6" s="2" t="s">
        <v>20</v>
      </c>
      <c r="J6" s="60"/>
      <c r="K6" s="60"/>
      <c r="L6" s="60"/>
      <c r="M6" s="60"/>
    </row>
    <row r="7" spans="1:15" s="15" customFormat="1" ht="12.75" customHeight="1" thickBot="1" x14ac:dyDescent="0.3">
      <c r="A7" s="60"/>
      <c r="B7" s="122"/>
      <c r="C7" s="122"/>
      <c r="D7" s="122"/>
      <c r="E7" s="122"/>
      <c r="F7" s="122"/>
      <c r="G7" s="122"/>
      <c r="H7" s="122" t="s">
        <v>8</v>
      </c>
      <c r="I7" s="122"/>
      <c r="J7" s="122"/>
      <c r="K7" s="59"/>
      <c r="L7" s="59"/>
      <c r="M7" s="59"/>
      <c r="N7" s="19"/>
    </row>
    <row r="8" spans="1:15" s="15" customFormat="1" ht="15.6" x14ac:dyDescent="0.35">
      <c r="A8" s="59"/>
      <c r="B8" s="26" t="s">
        <v>30</v>
      </c>
      <c r="C8" s="26"/>
      <c r="D8" s="59"/>
      <c r="E8" s="127" t="s">
        <v>15</v>
      </c>
      <c r="F8" s="128" t="s">
        <v>5</v>
      </c>
      <c r="G8" s="128" t="s">
        <v>4</v>
      </c>
      <c r="H8" s="128" t="s">
        <v>6</v>
      </c>
      <c r="I8" s="128" t="s">
        <v>7</v>
      </c>
      <c r="J8" s="128" t="s">
        <v>16</v>
      </c>
      <c r="K8" s="128" t="s">
        <v>18</v>
      </c>
      <c r="L8" s="129" t="s">
        <v>65</v>
      </c>
      <c r="M8" s="59"/>
      <c r="N8" s="19"/>
      <c r="O8" s="19"/>
    </row>
    <row r="9" spans="1:15" s="15" customFormat="1" ht="15" customHeight="1" thickBot="1" x14ac:dyDescent="0.3">
      <c r="A9" s="59"/>
      <c r="B9" s="59" t="s">
        <v>8</v>
      </c>
      <c r="C9" s="59"/>
      <c r="D9" s="59"/>
      <c r="E9" s="84">
        <f>SUM(E17,E32,E47)</f>
        <v>0.62571428571428567</v>
      </c>
      <c r="F9" s="85">
        <f t="shared" ref="F9:K9" si="0">SUM(F17,F32,F47)</f>
        <v>1.0324285714285713</v>
      </c>
      <c r="G9" s="85">
        <f t="shared" si="0"/>
        <v>0.7977857142857141</v>
      </c>
      <c r="H9" s="85">
        <f t="shared" si="0"/>
        <v>6.6638571428571422E-2</v>
      </c>
      <c r="I9" s="85">
        <f t="shared" si="0"/>
        <v>6.2571428571428562</v>
      </c>
      <c r="J9" s="85">
        <f t="shared" si="0"/>
        <v>1.5642857142857141</v>
      </c>
      <c r="K9" s="85">
        <f t="shared" si="0"/>
        <v>0.10637142857142856</v>
      </c>
      <c r="L9" s="130">
        <f>SUM(L17,L32,L47)</f>
        <v>0.17322899999999999</v>
      </c>
      <c r="M9" s="59"/>
      <c r="N9" s="19"/>
      <c r="O9" s="19"/>
    </row>
    <row r="10" spans="1:15" ht="13.8" thickBot="1" x14ac:dyDescent="0.3">
      <c r="A10" s="60"/>
      <c r="B10" s="60"/>
      <c r="C10" s="60"/>
      <c r="D10" s="60"/>
      <c r="E10" s="60"/>
      <c r="F10" s="60"/>
      <c r="G10" s="60"/>
      <c r="H10" s="60"/>
      <c r="I10" s="60"/>
      <c r="J10" s="60"/>
      <c r="K10" s="60"/>
      <c r="L10" s="60"/>
      <c r="M10" s="60"/>
    </row>
    <row r="11" spans="1:15" ht="13.8" thickTop="1" x14ac:dyDescent="0.25">
      <c r="A11" s="112"/>
      <c r="B11" s="112"/>
      <c r="C11" s="112"/>
      <c r="D11" s="112"/>
      <c r="E11" s="112"/>
      <c r="F11" s="112"/>
      <c r="G11" s="112"/>
      <c r="H11" s="112"/>
      <c r="I11" s="112"/>
      <c r="J11" s="112"/>
      <c r="K11" s="112"/>
      <c r="L11" s="112"/>
      <c r="M11" s="60"/>
    </row>
    <row r="12" spans="1:15" ht="13.8" thickBot="1" x14ac:dyDescent="0.3">
      <c r="A12" s="1" t="s">
        <v>22</v>
      </c>
      <c r="B12" s="1" t="s">
        <v>19</v>
      </c>
      <c r="C12" s="60"/>
      <c r="D12" s="113" t="s">
        <v>73</v>
      </c>
      <c r="E12" s="64" t="str">
        <f>IF(D4&gt;0,"Y","")</f>
        <v/>
      </c>
      <c r="F12" s="60"/>
      <c r="G12" s="60"/>
      <c r="H12" s="60"/>
      <c r="I12" s="60"/>
      <c r="J12" s="60"/>
      <c r="K12" s="60"/>
      <c r="L12" s="60"/>
      <c r="M12" s="60"/>
    </row>
    <row r="13" spans="1:15" s="15" customFormat="1" ht="12.75" customHeight="1" x14ac:dyDescent="0.25">
      <c r="A13" s="60"/>
      <c r="B13" s="119"/>
      <c r="C13" s="111"/>
      <c r="D13" s="111"/>
      <c r="E13" s="111"/>
      <c r="F13" s="111"/>
      <c r="G13" s="111"/>
      <c r="H13" s="111" t="s">
        <v>17</v>
      </c>
      <c r="I13" s="111"/>
      <c r="J13" s="111"/>
      <c r="K13" s="133"/>
      <c r="L13" s="134"/>
      <c r="M13" s="59"/>
      <c r="N13" s="19"/>
    </row>
    <row r="14" spans="1:15" s="15" customFormat="1" ht="16.8" x14ac:dyDescent="0.35">
      <c r="A14" s="59"/>
      <c r="B14" s="109"/>
      <c r="C14" s="59"/>
      <c r="D14" s="59"/>
      <c r="E14" s="66" t="s">
        <v>15</v>
      </c>
      <c r="F14" s="66" t="s">
        <v>12</v>
      </c>
      <c r="G14" s="66" t="s">
        <v>4</v>
      </c>
      <c r="H14" s="66" t="s">
        <v>6</v>
      </c>
      <c r="I14" s="66" t="s">
        <v>7</v>
      </c>
      <c r="J14" s="66" t="s">
        <v>16</v>
      </c>
      <c r="K14" s="66" t="s">
        <v>18</v>
      </c>
      <c r="L14" s="136" t="s">
        <v>65</v>
      </c>
      <c r="M14" s="59"/>
      <c r="N14" s="19"/>
      <c r="O14" s="19"/>
    </row>
    <row r="15" spans="1:15" s="15" customFormat="1" ht="15" customHeight="1" thickBot="1" x14ac:dyDescent="0.3">
      <c r="A15" s="59"/>
      <c r="B15" s="114" t="s">
        <v>69</v>
      </c>
      <c r="C15" s="115"/>
      <c r="D15" s="155"/>
      <c r="E15" s="156">
        <v>7.6</v>
      </c>
      <c r="F15" s="156">
        <v>7.6</v>
      </c>
      <c r="G15" s="156">
        <v>7.6</v>
      </c>
      <c r="H15" s="156">
        <v>0.6</v>
      </c>
      <c r="I15" s="156">
        <v>100</v>
      </c>
      <c r="J15" s="156">
        <v>84</v>
      </c>
      <c r="K15" s="157">
        <v>5.5</v>
      </c>
      <c r="L15" s="158">
        <v>1.8869</v>
      </c>
      <c r="M15" s="59"/>
      <c r="N15" s="19"/>
      <c r="O15" s="19"/>
    </row>
    <row r="16" spans="1:15" s="15" customFormat="1" ht="13.8" thickTop="1" x14ac:dyDescent="0.25">
      <c r="A16" s="59"/>
      <c r="B16" s="109"/>
      <c r="C16" s="59"/>
      <c r="D16" s="59"/>
      <c r="E16" s="132"/>
      <c r="F16" s="132"/>
      <c r="G16" s="132"/>
      <c r="H16" s="132"/>
      <c r="I16" s="132"/>
      <c r="J16" s="132"/>
      <c r="K16" s="132"/>
      <c r="L16" s="154"/>
      <c r="M16" s="59"/>
      <c r="N16" s="19"/>
      <c r="O16" s="19"/>
    </row>
    <row r="17" spans="1:15" s="14" customFormat="1" x14ac:dyDescent="0.25">
      <c r="A17" s="26"/>
      <c r="B17" s="109" t="s">
        <v>24</v>
      </c>
      <c r="C17" s="26"/>
      <c r="D17" s="26"/>
      <c r="E17" s="70">
        <f>IF($E$12="Y",$D$4/1020*E15*8760/2000,0)</f>
        <v>0</v>
      </c>
      <c r="F17" s="70">
        <f t="shared" ref="F17:L17" si="1">IF($E$12="Y",$D$4/1020*F15*8760/2000,0)</f>
        <v>0</v>
      </c>
      <c r="G17" s="70">
        <f t="shared" si="1"/>
        <v>0</v>
      </c>
      <c r="H17" s="70">
        <f t="shared" si="1"/>
        <v>0</v>
      </c>
      <c r="I17" s="70">
        <f t="shared" si="1"/>
        <v>0</v>
      </c>
      <c r="J17" s="70">
        <f t="shared" si="1"/>
        <v>0</v>
      </c>
      <c r="K17" s="70">
        <f t="shared" si="1"/>
        <v>0</v>
      </c>
      <c r="L17" s="110">
        <f t="shared" si="1"/>
        <v>0</v>
      </c>
      <c r="M17" s="26"/>
      <c r="N17" s="20"/>
      <c r="O17" s="20"/>
    </row>
    <row r="18" spans="1:15" s="15" customFormat="1" ht="13.8" thickBot="1" x14ac:dyDescent="0.3">
      <c r="A18" s="59"/>
      <c r="B18" s="116"/>
      <c r="C18" s="117"/>
      <c r="D18" s="117"/>
      <c r="E18" s="135"/>
      <c r="F18" s="118"/>
      <c r="G18" s="118"/>
      <c r="H18" s="118" t="s">
        <v>8</v>
      </c>
      <c r="I18" s="118"/>
      <c r="J18" s="118"/>
      <c r="K18" s="118"/>
      <c r="L18" s="120"/>
      <c r="M18" s="59"/>
      <c r="N18" s="19"/>
      <c r="O18" s="19"/>
    </row>
    <row r="19" spans="1:15" s="15" customFormat="1" x14ac:dyDescent="0.25">
      <c r="A19" s="60"/>
      <c r="B19" s="26" t="s">
        <v>10</v>
      </c>
      <c r="C19" s="59"/>
      <c r="D19" s="59"/>
      <c r="E19" s="121"/>
      <c r="F19" s="122"/>
      <c r="G19" s="122"/>
      <c r="H19" s="122"/>
      <c r="I19" s="122"/>
      <c r="J19" s="122"/>
      <c r="K19" s="122"/>
      <c r="L19" s="59"/>
      <c r="M19" s="59"/>
      <c r="N19" s="19"/>
      <c r="O19" s="19"/>
    </row>
    <row r="20" spans="1:15" s="15" customFormat="1" x14ac:dyDescent="0.25">
      <c r="A20" s="60"/>
      <c r="B20" s="59" t="s">
        <v>76</v>
      </c>
      <c r="C20" s="59"/>
      <c r="D20" s="59"/>
      <c r="E20" s="121"/>
      <c r="F20" s="122"/>
      <c r="G20" s="122"/>
      <c r="H20" s="122"/>
      <c r="I20" s="122"/>
      <c r="J20" s="122"/>
      <c r="K20" s="122"/>
      <c r="L20" s="59"/>
      <c r="M20" s="59"/>
      <c r="N20" s="19"/>
      <c r="O20" s="19"/>
    </row>
    <row r="21" spans="1:15" s="15" customFormat="1" ht="15.6" x14ac:dyDescent="0.35">
      <c r="A21" s="60"/>
      <c r="B21" s="60" t="s">
        <v>72</v>
      </c>
      <c r="C21" s="60"/>
      <c r="D21" s="60"/>
      <c r="E21" s="60"/>
      <c r="F21" s="60"/>
      <c r="G21" s="60"/>
      <c r="H21" s="60"/>
      <c r="I21" s="60"/>
      <c r="J21" s="60"/>
      <c r="K21" s="60"/>
      <c r="L21" s="60"/>
      <c r="M21" s="60"/>
    </row>
    <row r="22" spans="1:15" s="15" customFormat="1" x14ac:dyDescent="0.25">
      <c r="A22" s="60"/>
      <c r="B22" s="60"/>
      <c r="C22" s="60"/>
      <c r="D22" s="60"/>
      <c r="E22" s="60"/>
      <c r="F22" s="60"/>
      <c r="G22" s="60"/>
      <c r="H22" s="60"/>
      <c r="I22" s="60"/>
      <c r="J22" s="60"/>
      <c r="K22" s="60"/>
      <c r="L22" s="60"/>
      <c r="M22" s="60"/>
    </row>
    <row r="23" spans="1:15" s="15" customFormat="1" x14ac:dyDescent="0.25">
      <c r="A23" s="60"/>
      <c r="B23" s="1" t="s">
        <v>9</v>
      </c>
      <c r="C23" s="60"/>
      <c r="D23" s="60"/>
      <c r="E23" s="60"/>
      <c r="F23" s="60"/>
      <c r="G23" s="60"/>
      <c r="H23" s="60"/>
      <c r="I23" s="60"/>
      <c r="J23" s="60"/>
      <c r="K23" s="60"/>
      <c r="L23" s="60"/>
      <c r="M23" s="60"/>
    </row>
    <row r="24" spans="1:15" s="15" customFormat="1" x14ac:dyDescent="0.25">
      <c r="A24" s="60"/>
      <c r="B24" s="60" t="s">
        <v>25</v>
      </c>
      <c r="C24" s="60"/>
      <c r="D24" s="60"/>
      <c r="E24" s="60"/>
      <c r="F24" s="60"/>
      <c r="G24" s="60"/>
      <c r="H24" s="60"/>
      <c r="I24" s="60"/>
      <c r="J24" s="60"/>
      <c r="K24" s="60"/>
      <c r="L24" s="60"/>
      <c r="M24" s="60"/>
    </row>
    <row r="25" spans="1:15" s="15" customFormat="1" x14ac:dyDescent="0.25">
      <c r="A25" s="60"/>
      <c r="B25" s="60"/>
      <c r="C25" s="60"/>
      <c r="D25" s="60"/>
      <c r="E25" s="60"/>
      <c r="F25" s="60"/>
      <c r="G25" s="60"/>
      <c r="H25" s="60"/>
      <c r="I25" s="60"/>
      <c r="J25" s="60"/>
      <c r="K25" s="60"/>
      <c r="L25" s="60"/>
      <c r="M25" s="60"/>
    </row>
    <row r="26" spans="1:15" x14ac:dyDescent="0.25">
      <c r="A26" s="60"/>
      <c r="B26" s="60"/>
      <c r="C26" s="60"/>
      <c r="D26" s="60"/>
      <c r="E26" s="60"/>
      <c r="F26" s="60"/>
      <c r="G26" s="60"/>
      <c r="H26" s="60"/>
      <c r="I26" s="60"/>
      <c r="J26" s="60"/>
      <c r="K26" s="60"/>
      <c r="L26" s="60"/>
      <c r="M26" s="60"/>
    </row>
    <row r="27" spans="1:15" ht="13.8" thickBot="1" x14ac:dyDescent="0.3">
      <c r="A27" s="1" t="s">
        <v>22</v>
      </c>
      <c r="B27" s="1" t="s">
        <v>26</v>
      </c>
      <c r="C27" s="60"/>
      <c r="D27" s="113" t="s">
        <v>73</v>
      </c>
      <c r="E27" s="64" t="str">
        <f>IF(D5&gt;0,"Y","")</f>
        <v/>
      </c>
      <c r="F27" s="60"/>
      <c r="G27" s="60" t="s">
        <v>27</v>
      </c>
      <c r="H27" s="60"/>
      <c r="I27" s="138">
        <f>Inputs!H32</f>
        <v>1.5E-3</v>
      </c>
      <c r="J27" s="60" t="s">
        <v>0</v>
      </c>
      <c r="K27" s="60"/>
      <c r="L27" s="60"/>
      <c r="M27" s="60"/>
    </row>
    <row r="28" spans="1:15" s="15" customFormat="1" ht="12.75" customHeight="1" x14ac:dyDescent="0.25">
      <c r="A28" s="60"/>
      <c r="B28" s="119"/>
      <c r="C28" s="111"/>
      <c r="D28" s="111"/>
      <c r="E28" s="111"/>
      <c r="F28" s="111"/>
      <c r="G28" s="111"/>
      <c r="H28" s="111" t="s">
        <v>17</v>
      </c>
      <c r="I28" s="111"/>
      <c r="J28" s="111"/>
      <c r="K28" s="133"/>
      <c r="L28" s="134"/>
      <c r="M28" s="59"/>
      <c r="N28" s="19"/>
    </row>
    <row r="29" spans="1:15" s="15" customFormat="1" ht="16.8" x14ac:dyDescent="0.35">
      <c r="A29" s="59"/>
      <c r="B29" s="109"/>
      <c r="C29" s="59"/>
      <c r="D29" s="59"/>
      <c r="E29" s="66" t="s">
        <v>15</v>
      </c>
      <c r="F29" s="66" t="s">
        <v>12</v>
      </c>
      <c r="G29" s="66" t="s">
        <v>4</v>
      </c>
      <c r="H29" s="66" t="s">
        <v>6</v>
      </c>
      <c r="I29" s="66" t="s">
        <v>7</v>
      </c>
      <c r="J29" s="66" t="s">
        <v>16</v>
      </c>
      <c r="K29" s="66" t="s">
        <v>18</v>
      </c>
      <c r="L29" s="136" t="s">
        <v>65</v>
      </c>
      <c r="M29" s="59"/>
      <c r="N29" s="19"/>
      <c r="O29" s="19"/>
    </row>
    <row r="30" spans="1:15" s="15" customFormat="1" ht="15" customHeight="1" thickBot="1" x14ac:dyDescent="0.3">
      <c r="A30" s="59"/>
      <c r="B30" s="114" t="s">
        <v>70</v>
      </c>
      <c r="C30" s="115"/>
      <c r="D30" s="155"/>
      <c r="E30" s="156">
        <v>0.7</v>
      </c>
      <c r="F30" s="156">
        <v>0.7</v>
      </c>
      <c r="G30" s="156">
        <v>0.7</v>
      </c>
      <c r="H30" s="156">
        <f>0.1*I27</f>
        <v>1.5000000000000001E-4</v>
      </c>
      <c r="I30" s="156">
        <v>13</v>
      </c>
      <c r="J30" s="156">
        <v>7.5</v>
      </c>
      <c r="K30" s="157">
        <v>1</v>
      </c>
      <c r="L30" s="159"/>
      <c r="M30" s="59"/>
      <c r="N30" s="19"/>
      <c r="O30" s="19"/>
    </row>
    <row r="31" spans="1:15" s="15" customFormat="1" ht="13.8" thickTop="1" x14ac:dyDescent="0.25">
      <c r="A31" s="59"/>
      <c r="B31" s="109"/>
      <c r="C31" s="59"/>
      <c r="D31" s="59"/>
      <c r="E31" s="132"/>
      <c r="F31" s="132"/>
      <c r="G31" s="132"/>
      <c r="H31" s="132"/>
      <c r="I31" s="132"/>
      <c r="J31" s="132"/>
      <c r="K31" s="132"/>
      <c r="L31" s="154"/>
      <c r="M31" s="59"/>
      <c r="N31" s="19"/>
      <c r="O31" s="19"/>
    </row>
    <row r="32" spans="1:15" s="14" customFormat="1" x14ac:dyDescent="0.25">
      <c r="A32" s="26"/>
      <c r="B32" s="109" t="s">
        <v>24</v>
      </c>
      <c r="C32" s="26"/>
      <c r="D32" s="26"/>
      <c r="E32" s="70">
        <f>IF($E$27="Y",$D$5/91.5*E30*8760/2000,0)</f>
        <v>0</v>
      </c>
      <c r="F32" s="70">
        <f t="shared" ref="F32:L32" si="2">IF($E$27="Y",$D$5/91.5*F30*8760/2000,0)</f>
        <v>0</v>
      </c>
      <c r="G32" s="70">
        <f t="shared" si="2"/>
        <v>0</v>
      </c>
      <c r="H32" s="70">
        <f t="shared" si="2"/>
        <v>0</v>
      </c>
      <c r="I32" s="70">
        <f t="shared" si="2"/>
        <v>0</v>
      </c>
      <c r="J32" s="70">
        <f t="shared" si="2"/>
        <v>0</v>
      </c>
      <c r="K32" s="70">
        <f t="shared" si="2"/>
        <v>0</v>
      </c>
      <c r="L32" s="110">
        <f t="shared" si="2"/>
        <v>0</v>
      </c>
      <c r="M32" s="26"/>
      <c r="N32" s="20"/>
      <c r="O32" s="20"/>
    </row>
    <row r="33" spans="1:15" s="15" customFormat="1" ht="13.8" thickBot="1" x14ac:dyDescent="0.3">
      <c r="A33" s="59"/>
      <c r="B33" s="116"/>
      <c r="C33" s="117"/>
      <c r="D33" s="117"/>
      <c r="E33" s="135"/>
      <c r="F33" s="118"/>
      <c r="G33" s="118"/>
      <c r="H33" s="118" t="s">
        <v>8</v>
      </c>
      <c r="I33" s="118"/>
      <c r="J33" s="118"/>
      <c r="K33" s="118"/>
      <c r="L33" s="120"/>
      <c r="M33" s="59"/>
      <c r="N33" s="19"/>
      <c r="O33" s="19"/>
    </row>
    <row r="34" spans="1:15" s="15" customFormat="1" x14ac:dyDescent="0.25">
      <c r="A34" s="60"/>
      <c r="B34" s="26" t="s">
        <v>10</v>
      </c>
      <c r="C34" s="59"/>
      <c r="D34" s="59"/>
      <c r="E34" s="121"/>
      <c r="F34" s="122"/>
      <c r="G34" s="122"/>
      <c r="H34" s="122"/>
      <c r="I34" s="122"/>
      <c r="J34" s="122"/>
      <c r="K34" s="122"/>
      <c r="L34" s="59"/>
      <c r="M34" s="59"/>
      <c r="N34" s="19"/>
      <c r="O34" s="19"/>
    </row>
    <row r="35" spans="1:15" s="15" customFormat="1" x14ac:dyDescent="0.25">
      <c r="A35" s="60"/>
      <c r="B35" s="59" t="s">
        <v>32</v>
      </c>
      <c r="C35" s="59"/>
      <c r="D35" s="59"/>
      <c r="E35" s="121"/>
      <c r="F35" s="122"/>
      <c r="G35" s="122"/>
      <c r="H35" s="122"/>
      <c r="I35" s="122"/>
      <c r="J35" s="122"/>
      <c r="K35" s="122"/>
      <c r="L35" s="59"/>
      <c r="M35" s="59"/>
      <c r="N35" s="19"/>
      <c r="O35" s="19"/>
    </row>
    <row r="36" spans="1:15" s="15" customFormat="1" ht="15.6" x14ac:dyDescent="0.35">
      <c r="A36" s="60"/>
      <c r="B36" s="60" t="s">
        <v>72</v>
      </c>
      <c r="C36" s="60"/>
      <c r="D36" s="60"/>
      <c r="E36" s="60"/>
      <c r="F36" s="60"/>
      <c r="G36" s="60"/>
      <c r="H36" s="60"/>
      <c r="I36" s="60"/>
      <c r="J36" s="60"/>
      <c r="K36" s="60"/>
      <c r="L36" s="60"/>
      <c r="M36" s="60"/>
    </row>
    <row r="37" spans="1:15" s="15" customFormat="1" x14ac:dyDescent="0.25">
      <c r="A37" s="60"/>
      <c r="B37" s="60"/>
      <c r="C37" s="60"/>
      <c r="D37" s="60"/>
      <c r="E37" s="60"/>
      <c r="F37" s="60"/>
      <c r="G37" s="60"/>
      <c r="H37" s="60"/>
      <c r="I37" s="60"/>
      <c r="J37" s="60"/>
      <c r="K37" s="60"/>
      <c r="L37" s="60"/>
      <c r="M37" s="60"/>
    </row>
    <row r="38" spans="1:15" s="15" customFormat="1" x14ac:dyDescent="0.25">
      <c r="A38" s="60"/>
      <c r="B38" s="1" t="s">
        <v>9</v>
      </c>
      <c r="C38" s="60"/>
      <c r="D38" s="60"/>
      <c r="E38" s="60"/>
      <c r="F38" s="60"/>
      <c r="G38" s="60"/>
      <c r="H38" s="60"/>
      <c r="I38" s="60"/>
      <c r="J38" s="60"/>
      <c r="K38" s="60"/>
      <c r="L38" s="60"/>
      <c r="M38" s="60"/>
    </row>
    <row r="39" spans="1:15" s="15" customFormat="1" x14ac:dyDescent="0.25">
      <c r="A39" s="60"/>
      <c r="B39" s="60" t="s">
        <v>28</v>
      </c>
      <c r="C39" s="60"/>
      <c r="D39" s="60"/>
      <c r="E39" s="60"/>
      <c r="F39" s="60"/>
      <c r="G39" s="60"/>
      <c r="H39" s="60"/>
      <c r="I39" s="60"/>
      <c r="J39" s="60"/>
      <c r="K39" s="60"/>
      <c r="L39" s="60"/>
      <c r="M39" s="60"/>
    </row>
    <row r="40" spans="1:15" x14ac:dyDescent="0.25">
      <c r="A40" s="60"/>
      <c r="B40" s="60"/>
      <c r="C40" s="60"/>
      <c r="D40" s="60"/>
      <c r="E40" s="60"/>
      <c r="F40" s="60"/>
      <c r="G40" s="60"/>
      <c r="H40" s="60"/>
      <c r="I40" s="60"/>
      <c r="J40" s="60"/>
      <c r="K40" s="60"/>
      <c r="L40" s="60"/>
      <c r="M40" s="60"/>
    </row>
    <row r="41" spans="1:15" x14ac:dyDescent="0.25">
      <c r="A41" s="60"/>
      <c r="B41" s="60"/>
      <c r="C41" s="60"/>
      <c r="D41" s="60"/>
      <c r="E41" s="60"/>
      <c r="F41" s="60"/>
      <c r="G41" s="60"/>
      <c r="H41" s="60"/>
      <c r="I41" s="60"/>
      <c r="J41" s="60"/>
      <c r="K41" s="60"/>
      <c r="L41" s="60"/>
      <c r="M41" s="60"/>
    </row>
    <row r="42" spans="1:15" ht="13.8" thickBot="1" x14ac:dyDescent="0.3">
      <c r="A42" s="1" t="s">
        <v>22</v>
      </c>
      <c r="B42" s="1" t="s">
        <v>68</v>
      </c>
      <c r="C42" s="60"/>
      <c r="D42" s="113" t="s">
        <v>73</v>
      </c>
      <c r="E42" s="64" t="str">
        <f>IF(D6&gt;0,"Y","")</f>
        <v>Y</v>
      </c>
      <c r="F42" s="60"/>
      <c r="G42" s="60" t="s">
        <v>27</v>
      </c>
      <c r="H42" s="60"/>
      <c r="I42" s="138">
        <f>Inputs!H33</f>
        <v>1.5E-3</v>
      </c>
      <c r="J42" s="60" t="s">
        <v>0</v>
      </c>
      <c r="K42" s="60"/>
      <c r="L42" s="60"/>
      <c r="M42" s="60"/>
    </row>
    <row r="43" spans="1:15" s="15" customFormat="1" ht="12.75" customHeight="1" x14ac:dyDescent="0.25">
      <c r="A43" s="60"/>
      <c r="B43" s="119"/>
      <c r="C43" s="111"/>
      <c r="D43" s="111"/>
      <c r="E43" s="111"/>
      <c r="F43" s="111"/>
      <c r="G43" s="111"/>
      <c r="H43" s="111" t="s">
        <v>17</v>
      </c>
      <c r="I43" s="111"/>
      <c r="J43" s="111"/>
      <c r="K43" s="133"/>
      <c r="L43" s="134"/>
      <c r="M43" s="59"/>
      <c r="N43" s="19"/>
    </row>
    <row r="44" spans="1:15" s="15" customFormat="1" ht="15.6" x14ac:dyDescent="0.25">
      <c r="A44" s="59"/>
      <c r="B44" s="109"/>
      <c r="C44" s="59"/>
      <c r="D44" s="59"/>
      <c r="E44" s="126" t="s">
        <v>36</v>
      </c>
      <c r="F44" s="126" t="s">
        <v>5</v>
      </c>
      <c r="G44" s="126" t="s">
        <v>4</v>
      </c>
      <c r="H44" s="126" t="s">
        <v>6</v>
      </c>
      <c r="I44" s="126" t="s">
        <v>7</v>
      </c>
      <c r="J44" s="126" t="s">
        <v>16</v>
      </c>
      <c r="K44" s="126" t="s">
        <v>18</v>
      </c>
      <c r="L44" s="87" t="s">
        <v>65</v>
      </c>
      <c r="M44" s="59"/>
      <c r="N44" s="19"/>
      <c r="O44" s="19"/>
    </row>
    <row r="45" spans="1:15" s="15" customFormat="1" ht="15" customHeight="1" thickBot="1" x14ac:dyDescent="0.3">
      <c r="A45" s="59"/>
      <c r="B45" s="114" t="s">
        <v>71</v>
      </c>
      <c r="C45" s="115"/>
      <c r="D45" s="115"/>
      <c r="E45" s="160">
        <v>2</v>
      </c>
      <c r="F45" s="161">
        <v>3.3</v>
      </c>
      <c r="G45" s="161">
        <v>2.5499999999999998</v>
      </c>
      <c r="H45" s="161">
        <f>142*I42</f>
        <v>0.21299999999999999</v>
      </c>
      <c r="I45" s="161">
        <v>20</v>
      </c>
      <c r="J45" s="160">
        <v>5</v>
      </c>
      <c r="K45" s="162">
        <v>0.34</v>
      </c>
      <c r="L45" s="163">
        <v>0.55369999999999997</v>
      </c>
      <c r="M45" s="59"/>
      <c r="N45" s="19"/>
      <c r="O45" s="19"/>
    </row>
    <row r="46" spans="1:15" s="15" customFormat="1" ht="13.8" thickTop="1" x14ac:dyDescent="0.25">
      <c r="A46" s="59"/>
      <c r="B46" s="109"/>
      <c r="C46" s="59"/>
      <c r="D46" s="59"/>
      <c r="E46" s="132"/>
      <c r="F46" s="132"/>
      <c r="G46" s="132"/>
      <c r="H46" s="132"/>
      <c r="I46" s="132"/>
      <c r="J46" s="132"/>
      <c r="K46" s="132"/>
      <c r="L46" s="154"/>
      <c r="M46" s="59"/>
      <c r="N46" s="19"/>
      <c r="O46" s="19"/>
    </row>
    <row r="47" spans="1:15" s="14" customFormat="1" x14ac:dyDescent="0.25">
      <c r="A47" s="26"/>
      <c r="B47" s="109" t="s">
        <v>24</v>
      </c>
      <c r="C47" s="26"/>
      <c r="D47" s="26"/>
      <c r="E47" s="70">
        <f>IF($E$42="Y",$D$6/140*E45*8760/2000,0)</f>
        <v>0.62571428571428567</v>
      </c>
      <c r="F47" s="70">
        <f t="shared" ref="F47:L47" si="3">IF($E$42="Y",$D$6/140*F45*8760/2000,0)</f>
        <v>1.0324285714285713</v>
      </c>
      <c r="G47" s="70">
        <f t="shared" si="3"/>
        <v>0.7977857142857141</v>
      </c>
      <c r="H47" s="70">
        <f t="shared" si="3"/>
        <v>6.6638571428571422E-2</v>
      </c>
      <c r="I47" s="70">
        <f t="shared" si="3"/>
        <v>6.2571428571428562</v>
      </c>
      <c r="J47" s="70">
        <f t="shared" si="3"/>
        <v>1.5642857142857141</v>
      </c>
      <c r="K47" s="70">
        <f t="shared" si="3"/>
        <v>0.10637142857142856</v>
      </c>
      <c r="L47" s="110">
        <f t="shared" si="3"/>
        <v>0.17322899999999999</v>
      </c>
      <c r="M47" s="26"/>
      <c r="N47" s="20"/>
      <c r="O47" s="20"/>
    </row>
    <row r="48" spans="1:15" s="15" customFormat="1" ht="13.8" thickBot="1" x14ac:dyDescent="0.3">
      <c r="A48" s="59"/>
      <c r="B48" s="116"/>
      <c r="C48" s="117"/>
      <c r="D48" s="117"/>
      <c r="E48" s="135"/>
      <c r="F48" s="118"/>
      <c r="G48" s="118"/>
      <c r="H48" s="118" t="s">
        <v>8</v>
      </c>
      <c r="I48" s="118"/>
      <c r="J48" s="118"/>
      <c r="K48" s="118"/>
      <c r="L48" s="120"/>
      <c r="M48" s="59"/>
      <c r="N48" s="19"/>
      <c r="O48" s="19"/>
    </row>
    <row r="49" spans="1:15" s="15" customFormat="1" x14ac:dyDescent="0.25">
      <c r="A49" s="60"/>
      <c r="B49" s="26" t="s">
        <v>10</v>
      </c>
      <c r="C49" s="59"/>
      <c r="D49" s="59"/>
      <c r="E49" s="121"/>
      <c r="F49" s="122"/>
      <c r="G49" s="122"/>
      <c r="H49" s="122"/>
      <c r="I49" s="122"/>
      <c r="J49" s="122"/>
      <c r="K49" s="122"/>
      <c r="L49" s="59"/>
      <c r="M49" s="59"/>
      <c r="N49" s="19"/>
      <c r="O49" s="19"/>
    </row>
    <row r="50" spans="1:15" s="15" customFormat="1" x14ac:dyDescent="0.25">
      <c r="A50" s="60"/>
      <c r="B50" s="59" t="s">
        <v>75</v>
      </c>
      <c r="C50" s="59"/>
      <c r="D50" s="59"/>
      <c r="E50" s="121"/>
      <c r="F50" s="122"/>
      <c r="G50" s="122"/>
      <c r="H50" s="122"/>
      <c r="I50" s="122"/>
      <c r="J50" s="122"/>
      <c r="K50" s="122"/>
      <c r="L50" s="59"/>
      <c r="M50" s="59"/>
      <c r="N50" s="19"/>
      <c r="O50" s="19"/>
    </row>
    <row r="51" spans="1:15" s="15" customFormat="1" x14ac:dyDescent="0.25">
      <c r="A51" s="60"/>
      <c r="B51" s="60" t="s">
        <v>44</v>
      </c>
      <c r="C51" s="60"/>
      <c r="D51" s="60"/>
      <c r="E51" s="60"/>
      <c r="F51" s="60"/>
      <c r="G51" s="60"/>
      <c r="H51" s="60"/>
      <c r="I51" s="60"/>
      <c r="J51" s="60"/>
      <c r="K51" s="59"/>
      <c r="L51" s="59"/>
      <c r="M51" s="59"/>
      <c r="N51" s="19"/>
    </row>
    <row r="52" spans="1:15" s="15" customFormat="1" x14ac:dyDescent="0.25">
      <c r="A52" s="60"/>
      <c r="B52" s="60"/>
      <c r="C52" s="60"/>
      <c r="D52" s="60"/>
      <c r="E52" s="60"/>
      <c r="F52" s="60"/>
      <c r="G52" s="60"/>
      <c r="H52" s="60"/>
      <c r="I52" s="60"/>
      <c r="J52" s="60"/>
      <c r="K52" s="60"/>
      <c r="L52" s="60"/>
      <c r="M52" s="60"/>
    </row>
    <row r="53" spans="1:15" s="15" customFormat="1" x14ac:dyDescent="0.25">
      <c r="A53" s="60"/>
      <c r="B53" s="1" t="s">
        <v>9</v>
      </c>
      <c r="C53" s="60"/>
      <c r="D53" s="60"/>
      <c r="E53" s="60"/>
      <c r="F53" s="60"/>
      <c r="G53" s="60"/>
      <c r="H53" s="60"/>
      <c r="I53" s="60"/>
      <c r="J53" s="60"/>
      <c r="K53" s="60"/>
      <c r="L53" s="60"/>
      <c r="M53" s="60"/>
    </row>
    <row r="54" spans="1:15" s="15" customFormat="1" x14ac:dyDescent="0.25">
      <c r="A54" s="60"/>
      <c r="B54" s="60" t="s">
        <v>29</v>
      </c>
      <c r="C54" s="60"/>
      <c r="D54" s="60"/>
      <c r="E54" s="60"/>
      <c r="F54" s="60"/>
      <c r="G54" s="60"/>
      <c r="H54" s="60"/>
      <c r="I54" s="60"/>
      <c r="J54" s="60"/>
      <c r="K54" s="60"/>
      <c r="L54" s="60"/>
      <c r="M54" s="60"/>
    </row>
    <row r="55" spans="1:15" x14ac:dyDescent="0.25">
      <c r="A55" s="60"/>
      <c r="B55" s="60"/>
      <c r="C55" s="60"/>
      <c r="D55" s="60"/>
      <c r="E55" s="60"/>
      <c r="F55" s="60"/>
      <c r="G55" s="60"/>
      <c r="H55" s="60"/>
      <c r="I55" s="60"/>
      <c r="J55" s="60"/>
      <c r="K55" s="60"/>
      <c r="L55" s="60"/>
      <c r="M55" s="60"/>
    </row>
    <row r="56" spans="1:15" x14ac:dyDescent="0.25">
      <c r="A56" s="60"/>
      <c r="B56" s="60"/>
      <c r="C56" s="60"/>
      <c r="D56" s="60"/>
      <c r="E56" s="60"/>
      <c r="F56" s="60"/>
      <c r="G56" s="60"/>
      <c r="H56" s="60"/>
      <c r="I56" s="60"/>
      <c r="J56" s="60"/>
      <c r="K56" s="60"/>
      <c r="L56" s="60"/>
      <c r="M56" s="60"/>
    </row>
  </sheetData>
  <mergeCells count="3">
    <mergeCell ref="A1:M1"/>
    <mergeCell ref="A2:M2"/>
    <mergeCell ref="A3:M3"/>
  </mergeCells>
  <phoneticPr fontId="2"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9"/>
  <sheetViews>
    <sheetView workbookViewId="0">
      <selection activeCell="L42" sqref="L42"/>
    </sheetView>
  </sheetViews>
  <sheetFormatPr defaultColWidth="8.6640625" defaultRowHeight="13.2" x14ac:dyDescent="0.25"/>
  <cols>
    <col min="1" max="1" width="18.88671875" customWidth="1"/>
    <col min="2" max="2" width="14.33203125" customWidth="1"/>
    <col min="3" max="3" width="10.33203125" customWidth="1"/>
    <col min="5" max="5" width="10.33203125" customWidth="1"/>
    <col min="12" max="12" width="12.44140625" customWidth="1"/>
  </cols>
  <sheetData>
    <row r="1" spans="1:17" s="58" customFormat="1" ht="21" x14ac:dyDescent="0.4">
      <c r="A1" s="330" t="str">
        <f>Inputs!B1</f>
        <v>Potential To Emit Calculator for Concrete Batch Plants</v>
      </c>
      <c r="B1" s="330"/>
      <c r="C1" s="330"/>
      <c r="D1" s="330"/>
      <c r="E1" s="330"/>
      <c r="F1" s="330"/>
      <c r="G1" s="330"/>
      <c r="H1" s="330"/>
      <c r="I1" s="330"/>
      <c r="J1" s="330"/>
      <c r="K1" s="330"/>
      <c r="L1" s="330"/>
      <c r="M1" s="311"/>
      <c r="N1" s="9"/>
      <c r="O1" s="9"/>
    </row>
    <row r="2" spans="1:17" s="58" customFormat="1" x14ac:dyDescent="0.25">
      <c r="A2" s="331">
        <f>Inputs!B2</f>
        <v>41822</v>
      </c>
      <c r="B2" s="331"/>
      <c r="C2" s="331"/>
      <c r="D2" s="331"/>
      <c r="E2" s="331"/>
      <c r="F2" s="331"/>
      <c r="G2" s="331"/>
      <c r="H2" s="331"/>
      <c r="I2" s="331"/>
      <c r="J2" s="331"/>
      <c r="K2" s="331"/>
      <c r="L2" s="331"/>
      <c r="M2" s="10"/>
      <c r="N2" s="10"/>
      <c r="O2" s="10"/>
      <c r="P2" s="10"/>
      <c r="Q2" s="10"/>
    </row>
    <row r="3" spans="1:17" ht="13.2" customHeight="1" x14ac:dyDescent="0.3">
      <c r="A3" s="355" t="s">
        <v>66</v>
      </c>
      <c r="B3" s="355"/>
      <c r="C3" s="355"/>
      <c r="D3" s="355"/>
      <c r="E3" s="355"/>
      <c r="F3" s="355"/>
      <c r="G3" s="355"/>
      <c r="H3" s="355"/>
      <c r="I3" s="355"/>
      <c r="J3" s="355"/>
      <c r="K3" s="355"/>
      <c r="L3" s="355"/>
    </row>
    <row r="4" spans="1:17" ht="15.6" x14ac:dyDescent="0.3">
      <c r="B4" s="13"/>
    </row>
    <row r="5" spans="1:17" x14ac:dyDescent="0.25">
      <c r="A5" s="371" t="s">
        <v>54</v>
      </c>
      <c r="B5" s="371"/>
      <c r="C5" s="371"/>
      <c r="D5" s="64">
        <f>Inputs!D34</f>
        <v>750</v>
      </c>
      <c r="E5" s="3" t="s">
        <v>35</v>
      </c>
      <c r="I5" s="5" t="s">
        <v>1</v>
      </c>
    </row>
    <row r="6" spans="1:17" x14ac:dyDescent="0.25">
      <c r="A6" s="371"/>
      <c r="B6" s="371"/>
      <c r="C6" s="371"/>
      <c r="D6" s="64"/>
      <c r="E6" s="3"/>
      <c r="I6" s="2" t="s">
        <v>20</v>
      </c>
    </row>
    <row r="7" spans="1:17" ht="13.8" thickBot="1" x14ac:dyDescent="0.3">
      <c r="A7" s="3"/>
      <c r="C7" s="11"/>
      <c r="D7" s="3"/>
      <c r="I7" s="5"/>
    </row>
    <row r="8" spans="1:17" s="15" customFormat="1" ht="15.6" x14ac:dyDescent="0.25">
      <c r="A8" s="19"/>
      <c r="B8" s="26" t="s">
        <v>30</v>
      </c>
      <c r="C8" s="26"/>
      <c r="D8" s="8"/>
      <c r="E8" s="82" t="s">
        <v>15</v>
      </c>
      <c r="F8" s="83" t="s">
        <v>5</v>
      </c>
      <c r="G8" s="83" t="s">
        <v>4</v>
      </c>
      <c r="H8" s="83" t="s">
        <v>6</v>
      </c>
      <c r="I8" s="83" t="s">
        <v>7</v>
      </c>
      <c r="J8" s="83" t="s">
        <v>16</v>
      </c>
      <c r="K8" s="83" t="s">
        <v>18</v>
      </c>
      <c r="L8" s="89" t="s">
        <v>65</v>
      </c>
      <c r="M8" s="19"/>
      <c r="N8" s="19"/>
      <c r="O8" s="19"/>
    </row>
    <row r="9" spans="1:17" s="15" customFormat="1" ht="15" customHeight="1" thickBot="1" x14ac:dyDescent="0.3">
      <c r="A9" s="19"/>
      <c r="B9" s="8" t="s">
        <v>8</v>
      </c>
      <c r="C9" s="8"/>
      <c r="D9" s="8"/>
      <c r="E9" s="84">
        <f>MAX(E17,E33)+E49</f>
        <v>2.2995000000000001</v>
      </c>
      <c r="F9" s="85">
        <f t="shared" ref="F9:K9" si="0">MAX(F17,F33)+F49</f>
        <v>2.2995000000000001</v>
      </c>
      <c r="G9" s="85">
        <f t="shared" si="0"/>
        <v>2.2995000000000001</v>
      </c>
      <c r="H9" s="85">
        <f t="shared" si="0"/>
        <v>3.9863475000000002E-2</v>
      </c>
      <c r="I9" s="85">
        <f t="shared" si="0"/>
        <v>78.84</v>
      </c>
      <c r="J9" s="85">
        <f t="shared" si="0"/>
        <v>18.067499999999999</v>
      </c>
      <c r="K9" s="85">
        <f t="shared" si="0"/>
        <v>2.315925</v>
      </c>
      <c r="L9" s="86">
        <f>MAX(L17,L33)</f>
        <v>9.8464130100000005E-2</v>
      </c>
      <c r="M9" s="19"/>
      <c r="N9" s="19"/>
      <c r="O9" s="19"/>
    </row>
    <row r="10" spans="1:17" ht="13.8" thickBot="1" x14ac:dyDescent="0.3"/>
    <row r="11" spans="1:17" ht="12" customHeight="1" thickTop="1" x14ac:dyDescent="0.25">
      <c r="A11" s="4"/>
      <c r="B11" s="4"/>
      <c r="C11" s="4"/>
      <c r="D11" s="4"/>
      <c r="E11" s="4"/>
      <c r="F11" s="4"/>
      <c r="G11" s="4"/>
      <c r="H11" s="4"/>
      <c r="I11" s="4"/>
      <c r="J11" s="4"/>
      <c r="K11" s="4"/>
      <c r="L11" s="4"/>
    </row>
    <row r="12" spans="1:17" ht="13.8" thickBot="1" x14ac:dyDescent="0.3">
      <c r="A12" s="1" t="s">
        <v>39</v>
      </c>
      <c r="B12" s="1" t="s">
        <v>40</v>
      </c>
      <c r="D12" s="51" t="s">
        <v>23</v>
      </c>
      <c r="E12" s="11" t="str">
        <f>IF(D5&gt;600,"No","Yes")</f>
        <v>No</v>
      </c>
      <c r="F12" s="11"/>
      <c r="G12" s="3" t="s">
        <v>8</v>
      </c>
      <c r="H12" s="3" t="s">
        <v>8</v>
      </c>
      <c r="I12" s="49"/>
      <c r="J12" s="50" t="s">
        <v>8</v>
      </c>
    </row>
    <row r="13" spans="1:17" s="15" customFormat="1" ht="12.75" customHeight="1" x14ac:dyDescent="0.2">
      <c r="B13" s="73"/>
      <c r="C13" s="74"/>
      <c r="D13" s="74"/>
      <c r="E13" s="73"/>
      <c r="F13" s="74"/>
      <c r="G13" s="74"/>
      <c r="H13" s="74" t="s">
        <v>17</v>
      </c>
      <c r="I13" s="74"/>
      <c r="J13" s="74"/>
      <c r="K13" s="75"/>
      <c r="L13" s="76"/>
      <c r="M13" s="19"/>
      <c r="N13" s="19"/>
    </row>
    <row r="14" spans="1:17" s="15" customFormat="1" ht="15.6" x14ac:dyDescent="0.25">
      <c r="A14" s="19"/>
      <c r="B14" s="77"/>
      <c r="C14" s="8"/>
      <c r="D14" s="8"/>
      <c r="E14" s="67" t="s">
        <v>36</v>
      </c>
      <c r="F14" s="68" t="s">
        <v>5</v>
      </c>
      <c r="G14" s="68" t="s">
        <v>13</v>
      </c>
      <c r="H14" s="68" t="s">
        <v>6</v>
      </c>
      <c r="I14" s="68" t="s">
        <v>7</v>
      </c>
      <c r="J14" s="68" t="s">
        <v>16</v>
      </c>
      <c r="K14" s="68" t="s">
        <v>11</v>
      </c>
      <c r="L14" s="87" t="s">
        <v>65</v>
      </c>
      <c r="M14" s="19"/>
      <c r="N14" s="19"/>
      <c r="O14" s="19"/>
    </row>
    <row r="15" spans="1:17" s="15" customFormat="1" ht="15" customHeight="1" thickBot="1" x14ac:dyDescent="0.3">
      <c r="A15" s="19"/>
      <c r="B15" s="78" t="s">
        <v>41</v>
      </c>
      <c r="C15" s="41"/>
      <c r="D15" s="41"/>
      <c r="E15" s="53">
        <v>2.2000000000000001E-3</v>
      </c>
      <c r="F15" s="54">
        <v>2.2000000000000001E-3</v>
      </c>
      <c r="G15" s="54">
        <v>2.2000000000000001E-3</v>
      </c>
      <c r="H15" s="52">
        <v>2.0500000000000002E-3</v>
      </c>
      <c r="I15" s="55">
        <v>3.1E-2</v>
      </c>
      <c r="J15" s="52">
        <v>6.6800000000000002E-3</v>
      </c>
      <c r="K15" s="71">
        <v>2.47E-3</v>
      </c>
      <c r="L15" s="88">
        <f>(0.000933+0.000409+0.000285+0.0000391+0.00118+0.000767+0.0000925+0.0000848)*7000/1000000</f>
        <v>2.6532799999999998E-5</v>
      </c>
      <c r="M15" s="19"/>
      <c r="N15" s="19"/>
      <c r="O15" s="19"/>
    </row>
    <row r="16" spans="1:17" s="15" customFormat="1" x14ac:dyDescent="0.25">
      <c r="A16" s="19"/>
      <c r="B16" s="77"/>
      <c r="C16" s="8"/>
      <c r="D16" s="8"/>
      <c r="E16" s="35"/>
      <c r="F16" s="25"/>
      <c r="G16" s="25"/>
      <c r="H16" s="24"/>
      <c r="I16" s="24"/>
      <c r="J16" s="24"/>
      <c r="K16" s="72"/>
      <c r="L16" s="79"/>
      <c r="M16" s="19"/>
      <c r="N16" s="19"/>
      <c r="O16" s="19"/>
    </row>
    <row r="17" spans="1:15" s="14" customFormat="1" x14ac:dyDescent="0.25">
      <c r="A17" s="20"/>
      <c r="B17" s="77" t="s">
        <v>24</v>
      </c>
      <c r="C17" s="26"/>
      <c r="D17" s="26"/>
      <c r="E17" s="46">
        <f t="shared" ref="E17:L17" si="1">IF($E$12="Yes",$D$5*E15*8760/2000,0)</f>
        <v>0</v>
      </c>
      <c r="F17" s="47">
        <f t="shared" si="1"/>
        <v>0</v>
      </c>
      <c r="G17" s="47">
        <f t="shared" si="1"/>
        <v>0</v>
      </c>
      <c r="H17" s="47">
        <f t="shared" si="1"/>
        <v>0</v>
      </c>
      <c r="I17" s="47">
        <f t="shared" si="1"/>
        <v>0</v>
      </c>
      <c r="J17" s="47">
        <f t="shared" si="1"/>
        <v>0</v>
      </c>
      <c r="K17" s="70">
        <f t="shared" si="1"/>
        <v>0</v>
      </c>
      <c r="L17" s="80">
        <f t="shared" si="1"/>
        <v>0</v>
      </c>
      <c r="M17" s="20"/>
      <c r="N17" s="20"/>
      <c r="O17" s="20"/>
    </row>
    <row r="18" spans="1:15" s="15" customFormat="1" ht="13.8" thickBot="1" x14ac:dyDescent="0.3">
      <c r="A18" s="19"/>
      <c r="B18" s="78"/>
      <c r="C18" s="41"/>
      <c r="D18" s="41"/>
      <c r="E18" s="45"/>
      <c r="F18" s="43"/>
      <c r="G18" s="43"/>
      <c r="H18" s="44" t="s">
        <v>8</v>
      </c>
      <c r="I18" s="44"/>
      <c r="J18" s="44"/>
      <c r="K18" s="44"/>
      <c r="L18" s="81"/>
      <c r="M18" s="19"/>
      <c r="N18" s="19"/>
      <c r="O18" s="19"/>
    </row>
    <row r="19" spans="1:15" s="15" customFormat="1" ht="12" x14ac:dyDescent="0.25">
      <c r="B19" s="20" t="s">
        <v>10</v>
      </c>
      <c r="C19" s="19"/>
      <c r="D19" s="19"/>
      <c r="E19" s="22"/>
      <c r="F19" s="23"/>
      <c r="G19" s="23"/>
      <c r="H19" s="23"/>
      <c r="I19" s="23"/>
      <c r="J19" s="23"/>
      <c r="K19" s="23"/>
      <c r="L19" s="19"/>
      <c r="M19" s="19"/>
      <c r="N19" s="19"/>
      <c r="O19" s="19"/>
    </row>
    <row r="20" spans="1:15" s="15" customFormat="1" ht="11.4" x14ac:dyDescent="0.2">
      <c r="B20" s="19" t="s">
        <v>64</v>
      </c>
      <c r="C20" s="19"/>
      <c r="D20" s="19"/>
      <c r="E20" s="22"/>
      <c r="F20" s="23"/>
      <c r="G20" s="23"/>
      <c r="H20" s="23"/>
      <c r="I20" s="23"/>
      <c r="J20" s="23"/>
      <c r="K20" s="23"/>
      <c r="L20" s="19"/>
      <c r="M20" s="19"/>
      <c r="N20" s="19"/>
      <c r="O20" s="19"/>
    </row>
    <row r="21" spans="1:15" s="15" customFormat="1" ht="15" x14ac:dyDescent="0.35">
      <c r="B21" s="15" t="s">
        <v>37</v>
      </c>
    </row>
    <row r="22" spans="1:15" s="15" customFormat="1" ht="11.4" x14ac:dyDescent="0.2">
      <c r="B22" s="15" t="s">
        <v>33</v>
      </c>
    </row>
    <row r="23" spans="1:15" s="15" customFormat="1" ht="11.4" x14ac:dyDescent="0.2">
      <c r="B23" s="15" t="s">
        <v>45</v>
      </c>
    </row>
    <row r="24" spans="1:15" s="15" customFormat="1" ht="12" x14ac:dyDescent="0.25">
      <c r="B24" s="14" t="s">
        <v>9</v>
      </c>
    </row>
    <row r="25" spans="1:15" s="15" customFormat="1" ht="11.4" x14ac:dyDescent="0.2">
      <c r="B25" s="15" t="s">
        <v>63</v>
      </c>
    </row>
    <row r="28" spans="1:15" ht="13.8" thickBot="1" x14ac:dyDescent="0.3">
      <c r="A28" s="1" t="s">
        <v>39</v>
      </c>
      <c r="B28" s="1" t="s">
        <v>38</v>
      </c>
      <c r="D28" s="21" t="s">
        <v>23</v>
      </c>
      <c r="E28" s="11" t="str">
        <f>IF(D5&gt;600,"Yes","No")</f>
        <v>Yes</v>
      </c>
      <c r="F28" s="11"/>
      <c r="G28" s="3" t="s">
        <v>27</v>
      </c>
      <c r="H28" s="3"/>
      <c r="I28" s="65">
        <f>Inputs!H35</f>
        <v>1.5E-3</v>
      </c>
      <c r="J28" s="60" t="s">
        <v>0</v>
      </c>
    </row>
    <row r="29" spans="1:15" s="15" customFormat="1" ht="12.75" customHeight="1" x14ac:dyDescent="0.2">
      <c r="B29" s="73"/>
      <c r="C29" s="74"/>
      <c r="D29" s="74"/>
      <c r="E29" s="73"/>
      <c r="F29" s="74"/>
      <c r="G29" s="74"/>
      <c r="H29" s="74" t="s">
        <v>17</v>
      </c>
      <c r="I29" s="74"/>
      <c r="J29" s="74"/>
      <c r="K29" s="75"/>
      <c r="L29" s="76"/>
      <c r="M29" s="19"/>
      <c r="N29" s="19"/>
    </row>
    <row r="30" spans="1:15" s="15" customFormat="1" ht="16.8" x14ac:dyDescent="0.35">
      <c r="A30" s="19"/>
      <c r="B30" s="77"/>
      <c r="C30" s="8"/>
      <c r="D30" s="8"/>
      <c r="E30" s="38" t="s">
        <v>15</v>
      </c>
      <c r="F30" s="27" t="s">
        <v>5</v>
      </c>
      <c r="G30" s="27" t="s">
        <v>13</v>
      </c>
      <c r="H30" s="27" t="s">
        <v>6</v>
      </c>
      <c r="I30" s="27" t="s">
        <v>7</v>
      </c>
      <c r="J30" s="27" t="s">
        <v>16</v>
      </c>
      <c r="K30" s="27" t="s">
        <v>11</v>
      </c>
      <c r="L30" s="87" t="s">
        <v>65</v>
      </c>
      <c r="M30" s="19"/>
      <c r="N30" s="19"/>
      <c r="O30" s="19"/>
    </row>
    <row r="31" spans="1:15" s="15" customFormat="1" ht="15" customHeight="1" thickBot="1" x14ac:dyDescent="0.3">
      <c r="A31" s="19"/>
      <c r="B31" s="78" t="s">
        <v>41</v>
      </c>
      <c r="C31" s="41"/>
      <c r="D31" s="41"/>
      <c r="E31" s="42">
        <v>6.9999999999999999E-4</v>
      </c>
      <c r="F31" s="43">
        <v>6.9999999999999999E-4</v>
      </c>
      <c r="G31" s="43">
        <v>6.9999999999999999E-4</v>
      </c>
      <c r="H31" s="52">
        <f>0.00809*I28</f>
        <v>1.2135E-5</v>
      </c>
      <c r="I31" s="16">
        <v>2.4E-2</v>
      </c>
      <c r="J31" s="52">
        <v>5.4999999999999997E-3</v>
      </c>
      <c r="K31" s="71">
        <v>7.0500000000000001E-4</v>
      </c>
      <c r="L31" s="88">
        <f>(0.000776+0.000281+0.000193+0.00279+0.0000789+0.0000252+0.00000788+0.00013)*7000/1000000</f>
        <v>2.9973860000000002E-5</v>
      </c>
      <c r="M31" s="19"/>
      <c r="N31" s="19"/>
      <c r="O31" s="19"/>
    </row>
    <row r="32" spans="1:15" s="15" customFormat="1" x14ac:dyDescent="0.25">
      <c r="A32" s="19"/>
      <c r="B32" s="77"/>
      <c r="C32" s="8"/>
      <c r="D32" s="8"/>
      <c r="E32" s="35"/>
      <c r="F32" s="25"/>
      <c r="G32" s="25"/>
      <c r="H32" s="24"/>
      <c r="I32" s="24"/>
      <c r="J32" s="24"/>
      <c r="K32" s="69"/>
      <c r="L32" s="91"/>
      <c r="M32" s="19"/>
      <c r="N32" s="19"/>
      <c r="O32" s="19"/>
    </row>
    <row r="33" spans="1:15" s="14" customFormat="1" x14ac:dyDescent="0.25">
      <c r="A33" s="20"/>
      <c r="B33" s="77" t="s">
        <v>34</v>
      </c>
      <c r="C33" s="26"/>
      <c r="D33" s="26"/>
      <c r="E33" s="46">
        <f t="shared" ref="E33:L33" si="2">IF($E$28="Yes",$D$5*E31*8760/2000,0)</f>
        <v>2.2995000000000001</v>
      </c>
      <c r="F33" s="47">
        <f t="shared" si="2"/>
        <v>2.2995000000000001</v>
      </c>
      <c r="G33" s="47">
        <f t="shared" si="2"/>
        <v>2.2995000000000001</v>
      </c>
      <c r="H33" s="47">
        <f t="shared" si="2"/>
        <v>3.9863475000000002E-2</v>
      </c>
      <c r="I33" s="47">
        <f t="shared" si="2"/>
        <v>78.84</v>
      </c>
      <c r="J33" s="47">
        <f t="shared" si="2"/>
        <v>18.067499999999999</v>
      </c>
      <c r="K33" s="70">
        <f t="shared" si="2"/>
        <v>2.315925</v>
      </c>
      <c r="L33" s="80">
        <f t="shared" si="2"/>
        <v>9.8464130100000005E-2</v>
      </c>
      <c r="M33" s="20"/>
      <c r="N33" s="20"/>
      <c r="O33" s="20"/>
    </row>
    <row r="34" spans="1:15" s="15" customFormat="1" ht="13.8" thickBot="1" x14ac:dyDescent="0.3">
      <c r="A34" s="19"/>
      <c r="B34" s="78"/>
      <c r="C34" s="41"/>
      <c r="D34" s="41"/>
      <c r="E34" s="45"/>
      <c r="F34" s="43"/>
      <c r="G34" s="43"/>
      <c r="H34" s="44" t="s">
        <v>8</v>
      </c>
      <c r="I34" s="44"/>
      <c r="J34" s="44"/>
      <c r="K34" s="92"/>
      <c r="L34" s="93"/>
      <c r="M34" s="19"/>
      <c r="N34" s="19"/>
      <c r="O34" s="19"/>
    </row>
    <row r="35" spans="1:15" s="15" customFormat="1" ht="12" x14ac:dyDescent="0.25">
      <c r="B35" s="20" t="s">
        <v>10</v>
      </c>
      <c r="C35" s="19"/>
      <c r="D35" s="19"/>
      <c r="E35" s="22"/>
      <c r="F35" s="23"/>
      <c r="G35" s="23"/>
      <c r="H35" s="23"/>
      <c r="I35" s="23"/>
      <c r="J35" s="23"/>
      <c r="K35" s="23"/>
      <c r="L35" s="19"/>
      <c r="M35" s="19"/>
      <c r="N35" s="19"/>
      <c r="O35" s="19"/>
    </row>
    <row r="36" spans="1:15" s="15" customFormat="1" ht="11.4" x14ac:dyDescent="0.2">
      <c r="B36" s="19" t="s">
        <v>60</v>
      </c>
      <c r="C36" s="19"/>
      <c r="D36" s="19"/>
      <c r="E36" s="22"/>
      <c r="F36" s="23"/>
      <c r="G36" s="23"/>
      <c r="H36" s="23"/>
      <c r="I36" s="23"/>
      <c r="J36" s="23"/>
      <c r="K36" s="23"/>
      <c r="L36" s="19"/>
      <c r="M36" s="19"/>
      <c r="N36" s="19"/>
      <c r="O36" s="19"/>
    </row>
    <row r="37" spans="1:15" s="15" customFormat="1" ht="15" x14ac:dyDescent="0.35">
      <c r="B37" s="15" t="s">
        <v>14</v>
      </c>
    </row>
    <row r="38" spans="1:15" s="15" customFormat="1" ht="11.4" x14ac:dyDescent="0.2">
      <c r="B38" s="15" t="s">
        <v>33</v>
      </c>
    </row>
    <row r="39" spans="1:15" s="15" customFormat="1" ht="11.4" x14ac:dyDescent="0.2">
      <c r="B39" s="15" t="s">
        <v>45</v>
      </c>
    </row>
    <row r="40" spans="1:15" s="15" customFormat="1" ht="12" x14ac:dyDescent="0.25">
      <c r="B40" s="14" t="s">
        <v>9</v>
      </c>
    </row>
    <row r="41" spans="1:15" s="15" customFormat="1" ht="11.4" x14ac:dyDescent="0.2">
      <c r="B41" s="15" t="s">
        <v>63</v>
      </c>
    </row>
    <row r="43" spans="1:15" x14ac:dyDescent="0.25">
      <c r="A43" s="6"/>
      <c r="B43" s="6"/>
      <c r="C43" s="6"/>
      <c r="D43" s="6"/>
      <c r="E43" s="6"/>
      <c r="F43" s="6"/>
      <c r="G43" s="6"/>
      <c r="H43" s="6"/>
      <c r="I43" s="6"/>
      <c r="J43" s="6"/>
      <c r="K43" s="6"/>
      <c r="L43" s="6"/>
      <c r="M43" s="6"/>
    </row>
    <row r="44" spans="1:15" x14ac:dyDescent="0.25">
      <c r="A44" s="26"/>
      <c r="B44" s="26"/>
      <c r="C44" s="6"/>
      <c r="D44" s="21"/>
      <c r="E44" s="313"/>
      <c r="F44" s="313"/>
      <c r="G44" s="8"/>
      <c r="H44" s="8"/>
      <c r="I44" s="314"/>
      <c r="J44" s="315"/>
      <c r="K44" s="6"/>
      <c r="L44" s="6"/>
      <c r="M44" s="6"/>
    </row>
    <row r="45" spans="1:15" x14ac:dyDescent="0.25">
      <c r="A45" s="19"/>
      <c r="B45" s="23"/>
      <c r="C45" s="23"/>
      <c r="D45" s="23"/>
      <c r="E45" s="23"/>
      <c r="F45" s="23"/>
      <c r="G45" s="23"/>
      <c r="H45" s="23"/>
      <c r="I45" s="23"/>
      <c r="J45" s="23"/>
      <c r="K45" s="19"/>
      <c r="L45" s="6"/>
      <c r="M45" s="6"/>
    </row>
    <row r="46" spans="1:15" x14ac:dyDescent="0.25">
      <c r="A46" s="19"/>
      <c r="B46" s="8"/>
      <c r="C46" s="8"/>
      <c r="D46" s="8"/>
      <c r="E46" s="245"/>
      <c r="F46" s="245"/>
      <c r="G46" s="245"/>
      <c r="H46" s="245"/>
      <c r="I46" s="245"/>
      <c r="J46" s="245"/>
      <c r="K46" s="245"/>
      <c r="L46" s="6"/>
      <c r="M46" s="6"/>
    </row>
    <row r="47" spans="1:15" x14ac:dyDescent="0.25">
      <c r="A47" s="19"/>
      <c r="B47" s="8"/>
      <c r="C47" s="8"/>
      <c r="D47" s="8"/>
      <c r="E47" s="316"/>
      <c r="F47" s="316"/>
      <c r="G47" s="316"/>
      <c r="H47" s="316"/>
      <c r="I47" s="140"/>
      <c r="J47" s="316"/>
      <c r="K47" s="316"/>
      <c r="L47" s="6"/>
      <c r="M47" s="6"/>
    </row>
    <row r="48" spans="1:15" x14ac:dyDescent="0.25">
      <c r="A48" s="19"/>
      <c r="B48" s="8"/>
      <c r="C48" s="8"/>
      <c r="D48" s="8"/>
      <c r="E48" s="140"/>
      <c r="F48" s="140"/>
      <c r="G48" s="140"/>
      <c r="H48" s="140"/>
      <c r="I48" s="140"/>
      <c r="J48" s="140"/>
      <c r="K48" s="140"/>
      <c r="L48" s="6"/>
      <c r="M48" s="6"/>
    </row>
    <row r="49" spans="1:13" x14ac:dyDescent="0.25">
      <c r="A49" s="20"/>
      <c r="B49" s="8"/>
      <c r="C49" s="26"/>
      <c r="D49" s="26"/>
      <c r="E49" s="107"/>
      <c r="F49" s="107"/>
      <c r="G49" s="107"/>
      <c r="H49" s="107"/>
      <c r="I49" s="107"/>
      <c r="J49" s="107"/>
      <c r="K49" s="107"/>
      <c r="L49" s="6"/>
      <c r="M49" s="6"/>
    </row>
    <row r="50" spans="1:13" x14ac:dyDescent="0.25">
      <c r="A50" s="19"/>
      <c r="B50" s="8"/>
      <c r="C50" s="8"/>
      <c r="D50" s="8"/>
      <c r="E50" s="317"/>
      <c r="F50" s="140"/>
      <c r="G50" s="140"/>
      <c r="H50" s="140"/>
      <c r="I50" s="140"/>
      <c r="J50" s="140"/>
      <c r="K50" s="140"/>
      <c r="L50" s="6"/>
      <c r="M50" s="6"/>
    </row>
    <row r="51" spans="1:13" x14ac:dyDescent="0.25">
      <c r="A51" s="19"/>
      <c r="B51" s="20"/>
      <c r="C51" s="19"/>
      <c r="D51" s="19"/>
      <c r="E51" s="22"/>
      <c r="F51" s="23"/>
      <c r="G51" s="23"/>
      <c r="H51" s="23"/>
      <c r="I51" s="23"/>
      <c r="J51" s="23"/>
      <c r="K51" s="23"/>
      <c r="L51" s="6"/>
      <c r="M51" s="6"/>
    </row>
    <row r="52" spans="1:13" x14ac:dyDescent="0.25">
      <c r="A52" s="19"/>
      <c r="B52" s="19"/>
      <c r="C52" s="19"/>
      <c r="D52" s="19"/>
      <c r="E52" s="22"/>
      <c r="F52" s="23"/>
      <c r="G52" s="23"/>
      <c r="H52" s="23"/>
      <c r="I52" s="23"/>
      <c r="J52" s="23"/>
      <c r="K52" s="23"/>
      <c r="L52" s="6"/>
      <c r="M52" s="6"/>
    </row>
    <row r="53" spans="1:13" x14ac:dyDescent="0.25">
      <c r="A53" s="19"/>
      <c r="B53" s="19"/>
      <c r="C53" s="19"/>
      <c r="D53" s="19"/>
      <c r="E53" s="19"/>
      <c r="F53" s="19"/>
      <c r="G53" s="19"/>
      <c r="H53" s="19"/>
      <c r="I53" s="19"/>
      <c r="J53" s="19"/>
      <c r="K53" s="19"/>
      <c r="L53" s="6"/>
      <c r="M53" s="6"/>
    </row>
    <row r="54" spans="1:13" x14ac:dyDescent="0.25">
      <c r="A54" s="19"/>
      <c r="B54" s="19"/>
      <c r="C54" s="19"/>
      <c r="D54" s="19"/>
      <c r="E54" s="19"/>
      <c r="F54" s="19"/>
      <c r="G54" s="19"/>
      <c r="H54" s="19"/>
      <c r="I54" s="19"/>
      <c r="J54" s="19"/>
      <c r="K54" s="19"/>
      <c r="L54" s="6"/>
      <c r="M54" s="6"/>
    </row>
    <row r="55" spans="1:13" x14ac:dyDescent="0.25">
      <c r="A55" s="19"/>
      <c r="B55" s="19"/>
      <c r="C55" s="19"/>
      <c r="D55" s="19"/>
      <c r="E55" s="19"/>
      <c r="F55" s="19"/>
      <c r="G55" s="19"/>
      <c r="H55" s="19"/>
      <c r="I55" s="19"/>
      <c r="J55" s="19"/>
      <c r="K55" s="19"/>
      <c r="L55" s="6"/>
      <c r="M55" s="6"/>
    </row>
    <row r="56" spans="1:13" x14ac:dyDescent="0.25">
      <c r="A56" s="19"/>
      <c r="B56" s="20"/>
      <c r="C56" s="19"/>
      <c r="D56" s="19"/>
      <c r="E56" s="19"/>
      <c r="F56" s="19"/>
      <c r="G56" s="19"/>
      <c r="H56" s="19"/>
      <c r="I56" s="19"/>
      <c r="J56" s="19"/>
      <c r="K56" s="19"/>
      <c r="L56" s="6"/>
      <c r="M56" s="6"/>
    </row>
    <row r="57" spans="1:13" x14ac:dyDescent="0.25">
      <c r="A57" s="19"/>
      <c r="B57" s="19"/>
      <c r="C57" s="19"/>
      <c r="D57" s="19"/>
      <c r="E57" s="19"/>
      <c r="F57" s="19"/>
      <c r="G57" s="19"/>
      <c r="H57" s="19"/>
      <c r="I57" s="19"/>
      <c r="J57" s="19"/>
      <c r="K57" s="19"/>
      <c r="L57" s="6"/>
      <c r="M57" s="6"/>
    </row>
    <row r="58" spans="1:13" x14ac:dyDescent="0.25">
      <c r="A58" s="6"/>
      <c r="B58" s="6"/>
      <c r="C58" s="6"/>
      <c r="D58" s="6"/>
      <c r="E58" s="6"/>
      <c r="F58" s="6"/>
      <c r="G58" s="6"/>
      <c r="H58" s="6"/>
      <c r="I58" s="6"/>
      <c r="J58" s="6"/>
      <c r="K58" s="6"/>
      <c r="L58" s="6"/>
      <c r="M58" s="6"/>
    </row>
    <row r="59" spans="1:13" x14ac:dyDescent="0.25">
      <c r="A59" s="6"/>
      <c r="B59" s="6"/>
      <c r="C59" s="6"/>
      <c r="D59" s="6"/>
      <c r="E59" s="6"/>
      <c r="F59" s="6"/>
      <c r="G59" s="6"/>
      <c r="H59" s="6"/>
      <c r="I59" s="6"/>
      <c r="J59" s="6"/>
      <c r="K59" s="6"/>
      <c r="L59" s="6"/>
      <c r="M59" s="6"/>
    </row>
  </sheetData>
  <mergeCells count="5">
    <mergeCell ref="A1:L1"/>
    <mergeCell ref="A2:L2"/>
    <mergeCell ref="A3:L3"/>
    <mergeCell ref="A5:C5"/>
    <mergeCell ref="A6:C6"/>
  </mergeCells>
  <pageMargins left="0.75" right="0.75" top="1" bottom="1" header="0.5" footer="0.5"/>
  <headerFooter alignWithMargins="0">
    <oddFooter>Page &amp;P of &amp;N</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7"/>
  <sheetViews>
    <sheetView workbookViewId="0">
      <selection activeCell="E10" sqref="E10"/>
    </sheetView>
  </sheetViews>
  <sheetFormatPr defaultColWidth="8.6640625" defaultRowHeight="13.2" x14ac:dyDescent="0.25"/>
  <cols>
    <col min="1" max="1" width="18.88671875" customWidth="1"/>
    <col min="2" max="2" width="14.33203125" customWidth="1"/>
    <col min="3" max="3" width="10.33203125" customWidth="1"/>
    <col min="5" max="5" width="10.33203125" customWidth="1"/>
    <col min="12" max="12" width="12.44140625" customWidth="1"/>
  </cols>
  <sheetData>
    <row r="1" spans="1:17" s="58" customFormat="1" ht="21" x14ac:dyDescent="0.4">
      <c r="A1" s="330" t="str">
        <f>Inputs!B1</f>
        <v>Potential To Emit Calculator for Concrete Batch Plants</v>
      </c>
      <c r="B1" s="330"/>
      <c r="C1" s="330"/>
      <c r="D1" s="330"/>
      <c r="E1" s="330"/>
      <c r="F1" s="330"/>
      <c r="G1" s="330"/>
      <c r="H1" s="330"/>
      <c r="I1" s="330"/>
      <c r="J1" s="330"/>
      <c r="K1" s="330"/>
      <c r="L1" s="330"/>
      <c r="M1" s="57"/>
      <c r="N1" s="9"/>
      <c r="O1" s="9"/>
    </row>
    <row r="2" spans="1:17" s="58" customFormat="1" x14ac:dyDescent="0.25">
      <c r="A2" s="331">
        <f>Inputs!B2</f>
        <v>41822</v>
      </c>
      <c r="B2" s="331"/>
      <c r="C2" s="331"/>
      <c r="D2" s="331"/>
      <c r="E2" s="331"/>
      <c r="F2" s="331"/>
      <c r="G2" s="331"/>
      <c r="H2" s="331"/>
      <c r="I2" s="331"/>
      <c r="J2" s="331"/>
      <c r="K2" s="331"/>
      <c r="L2" s="331"/>
      <c r="M2" s="10"/>
      <c r="N2" s="10"/>
      <c r="O2" s="10"/>
      <c r="P2" s="10"/>
      <c r="Q2" s="10"/>
    </row>
    <row r="3" spans="1:17" ht="13.2" customHeight="1" x14ac:dyDescent="0.3">
      <c r="A3" s="355" t="s">
        <v>66</v>
      </c>
      <c r="B3" s="355"/>
      <c r="C3" s="355"/>
      <c r="D3" s="355"/>
      <c r="E3" s="355"/>
      <c r="F3" s="355"/>
      <c r="G3" s="355"/>
      <c r="H3" s="355"/>
      <c r="I3" s="355"/>
      <c r="J3" s="355"/>
      <c r="K3" s="355"/>
      <c r="L3" s="355"/>
    </row>
    <row r="4" spans="1:17" ht="15.6" x14ac:dyDescent="0.3">
      <c r="B4" s="13"/>
    </row>
    <row r="5" spans="1:17" x14ac:dyDescent="0.25">
      <c r="A5" s="371" t="s">
        <v>54</v>
      </c>
      <c r="B5" s="371"/>
      <c r="C5" s="371"/>
      <c r="D5" s="64">
        <f>Inputs!D35</f>
        <v>500</v>
      </c>
      <c r="E5" s="3" t="s">
        <v>35</v>
      </c>
      <c r="I5" s="5" t="s">
        <v>1</v>
      </c>
    </row>
    <row r="6" spans="1:17" x14ac:dyDescent="0.25">
      <c r="A6" s="371" t="s">
        <v>55</v>
      </c>
      <c r="B6" s="371"/>
      <c r="C6" s="371"/>
      <c r="D6" s="64">
        <f>Inputs!D37</f>
        <v>250</v>
      </c>
      <c r="E6" s="3" t="s">
        <v>35</v>
      </c>
      <c r="I6" s="2" t="s">
        <v>20</v>
      </c>
    </row>
    <row r="7" spans="1:17" ht="13.8" thickBot="1" x14ac:dyDescent="0.3">
      <c r="A7" s="3"/>
      <c r="C7" s="11"/>
      <c r="D7" s="3"/>
      <c r="I7" s="5"/>
    </row>
    <row r="8" spans="1:17" s="15" customFormat="1" ht="15.6" x14ac:dyDescent="0.25">
      <c r="A8" s="19"/>
      <c r="B8" s="26" t="s">
        <v>30</v>
      </c>
      <c r="C8" s="26"/>
      <c r="D8" s="8"/>
      <c r="E8" s="82" t="s">
        <v>15</v>
      </c>
      <c r="F8" s="83" t="s">
        <v>5</v>
      </c>
      <c r="G8" s="83" t="s">
        <v>4</v>
      </c>
      <c r="H8" s="83" t="s">
        <v>6</v>
      </c>
      <c r="I8" s="83" t="s">
        <v>7</v>
      </c>
      <c r="J8" s="83" t="s">
        <v>16</v>
      </c>
      <c r="K8" s="83" t="s">
        <v>18</v>
      </c>
      <c r="L8" s="89" t="s">
        <v>65</v>
      </c>
      <c r="M8" s="19"/>
      <c r="N8" s="19"/>
      <c r="O8" s="19"/>
    </row>
    <row r="9" spans="1:17" s="15" customFormat="1" ht="15" customHeight="1" thickBot="1" x14ac:dyDescent="0.3">
      <c r="A9" s="19"/>
      <c r="B9" s="8" t="s">
        <v>8</v>
      </c>
      <c r="C9" s="8"/>
      <c r="D9" s="8"/>
      <c r="E9" s="84">
        <f>MAX(E17,E33)+E49</f>
        <v>0.36512500000000003</v>
      </c>
      <c r="F9" s="85">
        <f t="shared" ref="F9:K9" si="0">MAX(F17,F33)+F49</f>
        <v>0.36512500000000003</v>
      </c>
      <c r="G9" s="85">
        <f t="shared" si="0"/>
        <v>0.36512500000000003</v>
      </c>
      <c r="H9" s="85">
        <f t="shared" si="0"/>
        <v>0.33012500000000006</v>
      </c>
      <c r="I9" s="85">
        <f t="shared" si="0"/>
        <v>5.25</v>
      </c>
      <c r="J9" s="85">
        <f t="shared" si="0"/>
        <v>1.7050000000000001</v>
      </c>
      <c r="K9" s="85">
        <f t="shared" si="0"/>
        <v>2.8701249999999998</v>
      </c>
      <c r="L9" s="86">
        <f>MAX(L17,L33)</f>
        <v>3.3165999999999998E-3</v>
      </c>
      <c r="M9" s="19"/>
      <c r="N9" s="19"/>
      <c r="O9" s="19"/>
    </row>
    <row r="10" spans="1:17" ht="13.8" thickBot="1" x14ac:dyDescent="0.3"/>
    <row r="11" spans="1:17" ht="12" customHeight="1" thickTop="1" x14ac:dyDescent="0.25">
      <c r="A11" s="4"/>
      <c r="B11" s="4"/>
      <c r="C11" s="4"/>
      <c r="D11" s="4"/>
      <c r="E11" s="4"/>
      <c r="F11" s="4"/>
      <c r="G11" s="4"/>
      <c r="H11" s="4"/>
      <c r="I11" s="4"/>
      <c r="J11" s="4"/>
      <c r="K11" s="4"/>
      <c r="L11" s="4"/>
    </row>
    <row r="12" spans="1:17" ht="13.8" thickBot="1" x14ac:dyDescent="0.3">
      <c r="A12" s="1" t="s">
        <v>39</v>
      </c>
      <c r="B12" s="1" t="s">
        <v>40</v>
      </c>
      <c r="D12" s="51" t="s">
        <v>23</v>
      </c>
      <c r="E12" s="11" t="str">
        <f>IF(D5&gt;600,"No","Yes")</f>
        <v>Yes</v>
      </c>
      <c r="F12" s="11"/>
      <c r="G12" s="3" t="s">
        <v>8</v>
      </c>
      <c r="H12" s="3" t="s">
        <v>8</v>
      </c>
      <c r="I12" s="49"/>
      <c r="J12" s="50" t="s">
        <v>8</v>
      </c>
    </row>
    <row r="13" spans="1:17" s="15" customFormat="1" ht="12.75" customHeight="1" x14ac:dyDescent="0.2">
      <c r="B13" s="73"/>
      <c r="C13" s="74"/>
      <c r="D13" s="74"/>
      <c r="E13" s="73"/>
      <c r="F13" s="74"/>
      <c r="G13" s="74"/>
      <c r="H13" s="74" t="s">
        <v>17</v>
      </c>
      <c r="I13" s="74"/>
      <c r="J13" s="74"/>
      <c r="K13" s="75"/>
      <c r="L13" s="76"/>
      <c r="M13" s="19"/>
      <c r="N13" s="19"/>
    </row>
    <row r="14" spans="1:17" s="15" customFormat="1" ht="15.6" x14ac:dyDescent="0.25">
      <c r="A14" s="19"/>
      <c r="B14" s="77"/>
      <c r="C14" s="8"/>
      <c r="D14" s="8"/>
      <c r="E14" s="67" t="s">
        <v>36</v>
      </c>
      <c r="F14" s="68" t="s">
        <v>5</v>
      </c>
      <c r="G14" s="68" t="s">
        <v>13</v>
      </c>
      <c r="H14" s="68" t="s">
        <v>6</v>
      </c>
      <c r="I14" s="68" t="s">
        <v>7</v>
      </c>
      <c r="J14" s="68" t="s">
        <v>16</v>
      </c>
      <c r="K14" s="68" t="s">
        <v>11</v>
      </c>
      <c r="L14" s="87" t="s">
        <v>65</v>
      </c>
      <c r="M14" s="19"/>
      <c r="N14" s="19"/>
      <c r="O14" s="19"/>
    </row>
    <row r="15" spans="1:17" s="15" customFormat="1" ht="15" customHeight="1" thickBot="1" x14ac:dyDescent="0.3">
      <c r="A15" s="19"/>
      <c r="B15" s="78" t="s">
        <v>41</v>
      </c>
      <c r="C15" s="41"/>
      <c r="D15" s="41"/>
      <c r="E15" s="53">
        <v>2.2000000000000001E-3</v>
      </c>
      <c r="F15" s="54">
        <v>2.2000000000000001E-3</v>
      </c>
      <c r="G15" s="54">
        <v>2.2000000000000001E-3</v>
      </c>
      <c r="H15" s="52">
        <v>2.0500000000000002E-3</v>
      </c>
      <c r="I15" s="55">
        <v>3.1E-2</v>
      </c>
      <c r="J15" s="52">
        <v>6.6800000000000002E-3</v>
      </c>
      <c r="K15" s="71">
        <v>2.47E-3</v>
      </c>
      <c r="L15" s="88">
        <f>(0.000933+0.000409+0.000285+0.0000391+0.00118+0.000767+0.0000925+0.0000848)*7000/1000000</f>
        <v>2.6532799999999998E-5</v>
      </c>
      <c r="M15" s="19"/>
      <c r="N15" s="19"/>
      <c r="O15" s="19"/>
    </row>
    <row r="16" spans="1:17" s="15" customFormat="1" x14ac:dyDescent="0.25">
      <c r="A16" s="19"/>
      <c r="B16" s="77"/>
      <c r="C16" s="8"/>
      <c r="D16" s="8"/>
      <c r="E16" s="35"/>
      <c r="F16" s="25"/>
      <c r="G16" s="25"/>
      <c r="H16" s="24"/>
      <c r="I16" s="24"/>
      <c r="J16" s="24"/>
      <c r="K16" s="72"/>
      <c r="L16" s="79"/>
      <c r="M16" s="19"/>
      <c r="N16" s="19"/>
      <c r="O16" s="19"/>
    </row>
    <row r="17" spans="1:15" s="14" customFormat="1" x14ac:dyDescent="0.25">
      <c r="A17" s="20"/>
      <c r="B17" s="77" t="s">
        <v>24</v>
      </c>
      <c r="C17" s="26"/>
      <c r="D17" s="26"/>
      <c r="E17" s="46">
        <f t="shared" ref="E17:L17" si="1">IF($E$12="Yes",$D$5*E15*500/2000,0)</f>
        <v>0.27500000000000002</v>
      </c>
      <c r="F17" s="47">
        <f t="shared" si="1"/>
        <v>0.27500000000000002</v>
      </c>
      <c r="G17" s="47">
        <f t="shared" si="1"/>
        <v>0.27500000000000002</v>
      </c>
      <c r="H17" s="47">
        <f t="shared" si="1"/>
        <v>0.25625000000000003</v>
      </c>
      <c r="I17" s="47">
        <f t="shared" si="1"/>
        <v>3.875</v>
      </c>
      <c r="J17" s="47">
        <f t="shared" si="1"/>
        <v>0.83500000000000008</v>
      </c>
      <c r="K17" s="70">
        <f t="shared" si="1"/>
        <v>0.30874999999999997</v>
      </c>
      <c r="L17" s="80">
        <f t="shared" si="1"/>
        <v>3.3165999999999998E-3</v>
      </c>
      <c r="M17" s="20"/>
      <c r="N17" s="20"/>
      <c r="O17" s="20"/>
    </row>
    <row r="18" spans="1:15" s="15" customFormat="1" ht="13.8" thickBot="1" x14ac:dyDescent="0.3">
      <c r="A18" s="19"/>
      <c r="B18" s="78"/>
      <c r="C18" s="41"/>
      <c r="D18" s="41"/>
      <c r="E18" s="45"/>
      <c r="F18" s="43"/>
      <c r="G18" s="43"/>
      <c r="H18" s="44" t="s">
        <v>8</v>
      </c>
      <c r="I18" s="44"/>
      <c r="J18" s="44"/>
      <c r="K18" s="44"/>
      <c r="L18" s="81"/>
      <c r="M18" s="19"/>
      <c r="N18" s="19"/>
      <c r="O18" s="19"/>
    </row>
    <row r="19" spans="1:15" s="15" customFormat="1" ht="12" x14ac:dyDescent="0.25">
      <c r="B19" s="20" t="s">
        <v>10</v>
      </c>
      <c r="C19" s="19"/>
      <c r="D19" s="19"/>
      <c r="E19" s="22"/>
      <c r="F19" s="23"/>
      <c r="G19" s="23"/>
      <c r="H19" s="23"/>
      <c r="I19" s="23"/>
      <c r="J19" s="23"/>
      <c r="K19" s="23"/>
      <c r="L19" s="19"/>
      <c r="M19" s="19"/>
      <c r="N19" s="19"/>
      <c r="O19" s="19"/>
    </row>
    <row r="20" spans="1:15" s="15" customFormat="1" ht="11.4" x14ac:dyDescent="0.2">
      <c r="B20" s="19" t="s">
        <v>64</v>
      </c>
      <c r="C20" s="19"/>
      <c r="D20" s="19"/>
      <c r="E20" s="22"/>
      <c r="F20" s="23"/>
      <c r="G20" s="23"/>
      <c r="H20" s="23"/>
      <c r="I20" s="23"/>
      <c r="J20" s="23"/>
      <c r="K20" s="23"/>
      <c r="L20" s="19"/>
      <c r="M20" s="19"/>
      <c r="N20" s="19"/>
      <c r="O20" s="19"/>
    </row>
    <row r="21" spans="1:15" s="15" customFormat="1" ht="15" x14ac:dyDescent="0.35">
      <c r="B21" s="15" t="s">
        <v>37</v>
      </c>
    </row>
    <row r="22" spans="1:15" s="15" customFormat="1" ht="11.4" x14ac:dyDescent="0.2">
      <c r="B22" s="15" t="s">
        <v>33</v>
      </c>
    </row>
    <row r="23" spans="1:15" s="15" customFormat="1" ht="11.4" x14ac:dyDescent="0.2">
      <c r="B23" s="15" t="s">
        <v>45</v>
      </c>
    </row>
    <row r="24" spans="1:15" s="15" customFormat="1" ht="12" x14ac:dyDescent="0.25">
      <c r="B24" s="14" t="s">
        <v>9</v>
      </c>
    </row>
    <row r="25" spans="1:15" s="15" customFormat="1" ht="11.4" x14ac:dyDescent="0.2">
      <c r="B25" s="15" t="s">
        <v>63</v>
      </c>
    </row>
    <row r="28" spans="1:15" ht="13.8" thickBot="1" x14ac:dyDescent="0.3">
      <c r="A28" s="1" t="s">
        <v>39</v>
      </c>
      <c r="B28" s="1" t="s">
        <v>38</v>
      </c>
      <c r="D28" s="21" t="s">
        <v>23</v>
      </c>
      <c r="E28" s="11" t="str">
        <f>IF(D5&gt;600,"Yes","No")</f>
        <v>No</v>
      </c>
      <c r="F28" s="11"/>
      <c r="G28" s="3" t="s">
        <v>27</v>
      </c>
      <c r="H28" s="3"/>
      <c r="I28" s="65">
        <f>Inputs!H35</f>
        <v>1.5E-3</v>
      </c>
      <c r="J28" s="60" t="s">
        <v>0</v>
      </c>
    </row>
    <row r="29" spans="1:15" s="15" customFormat="1" ht="12.75" customHeight="1" x14ac:dyDescent="0.2">
      <c r="B29" s="73"/>
      <c r="C29" s="74"/>
      <c r="D29" s="74"/>
      <c r="E29" s="73"/>
      <c r="F29" s="74"/>
      <c r="G29" s="74"/>
      <c r="H29" s="74" t="s">
        <v>17</v>
      </c>
      <c r="I29" s="74"/>
      <c r="J29" s="74"/>
      <c r="K29" s="75"/>
      <c r="L29" s="76"/>
      <c r="M29" s="19"/>
      <c r="N29" s="19"/>
    </row>
    <row r="30" spans="1:15" s="15" customFormat="1" ht="16.8" x14ac:dyDescent="0.35">
      <c r="A30" s="19"/>
      <c r="B30" s="77"/>
      <c r="C30" s="8"/>
      <c r="D30" s="8"/>
      <c r="E30" s="38" t="s">
        <v>15</v>
      </c>
      <c r="F30" s="27" t="s">
        <v>5</v>
      </c>
      <c r="G30" s="27" t="s">
        <v>13</v>
      </c>
      <c r="H30" s="27" t="s">
        <v>6</v>
      </c>
      <c r="I30" s="27" t="s">
        <v>7</v>
      </c>
      <c r="J30" s="27" t="s">
        <v>16</v>
      </c>
      <c r="K30" s="27" t="s">
        <v>11</v>
      </c>
      <c r="L30" s="87" t="s">
        <v>65</v>
      </c>
      <c r="M30" s="19"/>
      <c r="N30" s="19"/>
      <c r="O30" s="19"/>
    </row>
    <row r="31" spans="1:15" s="15" customFormat="1" ht="15" customHeight="1" thickBot="1" x14ac:dyDescent="0.3">
      <c r="A31" s="19"/>
      <c r="B31" s="78" t="s">
        <v>41</v>
      </c>
      <c r="C31" s="41"/>
      <c r="D31" s="41"/>
      <c r="E31" s="42">
        <v>6.9999999999999999E-4</v>
      </c>
      <c r="F31" s="43">
        <v>6.9999999999999999E-4</v>
      </c>
      <c r="G31" s="43">
        <v>6.9999999999999999E-4</v>
      </c>
      <c r="H31" s="52">
        <f>0.00809*I28</f>
        <v>1.2135E-5</v>
      </c>
      <c r="I31" s="16">
        <v>2.4E-2</v>
      </c>
      <c r="J31" s="52">
        <v>5.4999999999999997E-3</v>
      </c>
      <c r="K31" s="71">
        <v>7.0500000000000001E-4</v>
      </c>
      <c r="L31" s="88">
        <f>(0.000776+0.000281+0.000193+0.00279+0.0000789+0.0000252+0.00000788+0.00013)*7000/1000000</f>
        <v>2.9973860000000002E-5</v>
      </c>
      <c r="M31" s="19"/>
      <c r="N31" s="19"/>
      <c r="O31" s="19"/>
    </row>
    <row r="32" spans="1:15" s="15" customFormat="1" x14ac:dyDescent="0.25">
      <c r="A32" s="19"/>
      <c r="B32" s="77"/>
      <c r="C32" s="8"/>
      <c r="D32" s="8"/>
      <c r="E32" s="35"/>
      <c r="F32" s="25"/>
      <c r="G32" s="25"/>
      <c r="H32" s="24"/>
      <c r="I32" s="24"/>
      <c r="J32" s="24"/>
      <c r="K32" s="69"/>
      <c r="L32" s="91"/>
      <c r="M32" s="19"/>
      <c r="N32" s="19"/>
      <c r="O32" s="19"/>
    </row>
    <row r="33" spans="1:15" s="14" customFormat="1" x14ac:dyDescent="0.25">
      <c r="A33" s="20"/>
      <c r="B33" s="77" t="s">
        <v>34</v>
      </c>
      <c r="C33" s="26"/>
      <c r="D33" s="26"/>
      <c r="E33" s="46">
        <f t="shared" ref="E33:L33" si="2">IF($E$28="Yes",$D$5*E31*500/2000,0)</f>
        <v>0</v>
      </c>
      <c r="F33" s="47">
        <f t="shared" si="2"/>
        <v>0</v>
      </c>
      <c r="G33" s="47">
        <f t="shared" si="2"/>
        <v>0</v>
      </c>
      <c r="H33" s="47">
        <f t="shared" si="2"/>
        <v>0</v>
      </c>
      <c r="I33" s="47">
        <f t="shared" si="2"/>
        <v>0</v>
      </c>
      <c r="J33" s="47">
        <f t="shared" si="2"/>
        <v>0</v>
      </c>
      <c r="K33" s="70">
        <f t="shared" si="2"/>
        <v>0</v>
      </c>
      <c r="L33" s="80">
        <f t="shared" si="2"/>
        <v>0</v>
      </c>
      <c r="M33" s="20"/>
      <c r="N33" s="20"/>
      <c r="O33" s="20"/>
    </row>
    <row r="34" spans="1:15" s="15" customFormat="1" ht="13.8" thickBot="1" x14ac:dyDescent="0.3">
      <c r="A34" s="19"/>
      <c r="B34" s="78"/>
      <c r="C34" s="41"/>
      <c r="D34" s="41"/>
      <c r="E34" s="45"/>
      <c r="F34" s="43"/>
      <c r="G34" s="43"/>
      <c r="H34" s="44" t="s">
        <v>8</v>
      </c>
      <c r="I34" s="44"/>
      <c r="J34" s="44"/>
      <c r="K34" s="92"/>
      <c r="L34" s="93"/>
      <c r="M34" s="19"/>
      <c r="N34" s="19"/>
      <c r="O34" s="19"/>
    </row>
    <row r="35" spans="1:15" s="15" customFormat="1" ht="12" x14ac:dyDescent="0.25">
      <c r="B35" s="20" t="s">
        <v>10</v>
      </c>
      <c r="C35" s="19"/>
      <c r="D35" s="19"/>
      <c r="E35" s="22"/>
      <c r="F35" s="23"/>
      <c r="G35" s="23"/>
      <c r="H35" s="23"/>
      <c r="I35" s="23"/>
      <c r="J35" s="23"/>
      <c r="K35" s="23"/>
      <c r="L35" s="19"/>
      <c r="M35" s="19"/>
      <c r="N35" s="19"/>
      <c r="O35" s="19"/>
    </row>
    <row r="36" spans="1:15" s="15" customFormat="1" ht="11.4" x14ac:dyDescent="0.2">
      <c r="B36" s="19" t="s">
        <v>60</v>
      </c>
      <c r="C36" s="19"/>
      <c r="D36" s="19"/>
      <c r="E36" s="22"/>
      <c r="F36" s="23"/>
      <c r="G36" s="23"/>
      <c r="H36" s="23"/>
      <c r="I36" s="23"/>
      <c r="J36" s="23"/>
      <c r="K36" s="23"/>
      <c r="L36" s="19"/>
      <c r="M36" s="19"/>
      <c r="N36" s="19"/>
      <c r="O36" s="19"/>
    </row>
    <row r="37" spans="1:15" s="15" customFormat="1" ht="15" x14ac:dyDescent="0.35">
      <c r="B37" s="15" t="s">
        <v>14</v>
      </c>
    </row>
    <row r="38" spans="1:15" s="15" customFormat="1" ht="11.4" x14ac:dyDescent="0.2">
      <c r="B38" s="15" t="s">
        <v>33</v>
      </c>
    </row>
    <row r="39" spans="1:15" s="15" customFormat="1" ht="11.4" x14ac:dyDescent="0.2">
      <c r="B39" s="15" t="s">
        <v>45</v>
      </c>
    </row>
    <row r="40" spans="1:15" s="15" customFormat="1" ht="12" x14ac:dyDescent="0.25">
      <c r="B40" s="14" t="s">
        <v>9</v>
      </c>
    </row>
    <row r="41" spans="1:15" s="15" customFormat="1" ht="11.4" x14ac:dyDescent="0.2">
      <c r="B41" s="15" t="s">
        <v>63</v>
      </c>
    </row>
    <row r="44" spans="1:15" ht="13.8" thickBot="1" x14ac:dyDescent="0.3">
      <c r="A44" s="1" t="s">
        <v>39</v>
      </c>
      <c r="B44" s="1" t="s">
        <v>61</v>
      </c>
      <c r="D44" s="21" t="s">
        <v>23</v>
      </c>
      <c r="E44" s="11" t="str">
        <f>IF(D6&gt;0,"Yes","No")</f>
        <v>Yes</v>
      </c>
      <c r="F44" s="11"/>
      <c r="G44" s="3"/>
      <c r="H44" s="3"/>
      <c r="I44" s="65"/>
      <c r="J44" s="50"/>
    </row>
    <row r="45" spans="1:15" ht="13.8" thickTop="1" x14ac:dyDescent="0.25">
      <c r="A45" s="15"/>
      <c r="B45" s="32"/>
      <c r="C45" s="33"/>
      <c r="D45" s="33"/>
      <c r="E45" s="34"/>
      <c r="F45" s="33"/>
      <c r="G45" s="33"/>
      <c r="H45" s="33" t="s">
        <v>17</v>
      </c>
      <c r="I45" s="33"/>
      <c r="J45" s="33"/>
      <c r="K45" s="37"/>
    </row>
    <row r="46" spans="1:15" ht="16.8" x14ac:dyDescent="0.35">
      <c r="A46" s="19"/>
      <c r="B46" s="12"/>
      <c r="C46" s="8"/>
      <c r="D46" s="8"/>
      <c r="E46" s="38" t="s">
        <v>15</v>
      </c>
      <c r="F46" s="27" t="s">
        <v>5</v>
      </c>
      <c r="G46" s="27" t="s">
        <v>13</v>
      </c>
      <c r="H46" s="27" t="s">
        <v>6</v>
      </c>
      <c r="I46" s="27" t="s">
        <v>7</v>
      </c>
      <c r="J46" s="27" t="s">
        <v>16</v>
      </c>
      <c r="K46" s="39" t="s">
        <v>11</v>
      </c>
    </row>
    <row r="47" spans="1:15" ht="16.2" thickBot="1" x14ac:dyDescent="0.3">
      <c r="A47" s="19"/>
      <c r="B47" s="40" t="s">
        <v>41</v>
      </c>
      <c r="C47" s="41"/>
      <c r="D47" s="41"/>
      <c r="E47" s="53">
        <v>7.2099999999999996E-4</v>
      </c>
      <c r="F47" s="54">
        <v>7.2099999999999996E-4</v>
      </c>
      <c r="G47" s="54">
        <v>7.2099999999999996E-4</v>
      </c>
      <c r="H47" s="52">
        <v>5.9100000000000005E-4</v>
      </c>
      <c r="I47" s="16">
        <v>1.0999999999999999E-2</v>
      </c>
      <c r="J47" s="52">
        <v>6.96E-3</v>
      </c>
      <c r="K47" s="56">
        <f>0.015+0.00483+0.000661</f>
        <v>2.0490999999999999E-2</v>
      </c>
    </row>
    <row r="48" spans="1:15" x14ac:dyDescent="0.25">
      <c r="A48" s="19"/>
      <c r="B48" s="12"/>
      <c r="C48" s="8"/>
      <c r="D48" s="8"/>
      <c r="E48" s="35"/>
      <c r="F48" s="25"/>
      <c r="G48" s="25"/>
      <c r="H48" s="24"/>
      <c r="I48" s="24"/>
      <c r="J48" s="24"/>
      <c r="K48" s="28"/>
    </row>
    <row r="49" spans="1:11" x14ac:dyDescent="0.25">
      <c r="A49" s="20"/>
      <c r="B49" s="12" t="s">
        <v>34</v>
      </c>
      <c r="C49" s="26"/>
      <c r="D49" s="26"/>
      <c r="E49" s="46">
        <f t="shared" ref="E49:K49" si="3">IF($E$44="Yes",$D$5*E47*500/2000,0)</f>
        <v>9.0124999999999997E-2</v>
      </c>
      <c r="F49" s="47">
        <f t="shared" si="3"/>
        <v>9.0124999999999997E-2</v>
      </c>
      <c r="G49" s="47">
        <f t="shared" si="3"/>
        <v>9.0124999999999997E-2</v>
      </c>
      <c r="H49" s="47">
        <f t="shared" si="3"/>
        <v>7.387500000000001E-2</v>
      </c>
      <c r="I49" s="47">
        <f t="shared" si="3"/>
        <v>1.375</v>
      </c>
      <c r="J49" s="47">
        <f t="shared" si="3"/>
        <v>0.87</v>
      </c>
      <c r="K49" s="48">
        <f t="shared" si="3"/>
        <v>2.561375</v>
      </c>
    </row>
    <row r="50" spans="1:11" ht="13.8" thickBot="1" x14ac:dyDescent="0.3">
      <c r="A50" s="19"/>
      <c r="B50" s="17"/>
      <c r="C50" s="18"/>
      <c r="D50" s="18"/>
      <c r="E50" s="36"/>
      <c r="F50" s="29"/>
      <c r="G50" s="29"/>
      <c r="H50" s="30" t="s">
        <v>8</v>
      </c>
      <c r="I50" s="30"/>
      <c r="J50" s="30"/>
      <c r="K50" s="31"/>
    </row>
    <row r="51" spans="1:11" ht="13.8" thickTop="1" x14ac:dyDescent="0.25">
      <c r="A51" s="15"/>
      <c r="B51" s="20" t="s">
        <v>10</v>
      </c>
      <c r="C51" s="19"/>
      <c r="D51" s="19"/>
      <c r="E51" s="22"/>
      <c r="F51" s="23"/>
      <c r="G51" s="23"/>
      <c r="H51" s="23"/>
      <c r="I51" s="23"/>
      <c r="J51" s="23"/>
      <c r="K51" s="23"/>
    </row>
    <row r="52" spans="1:11" x14ac:dyDescent="0.25">
      <c r="A52" s="15"/>
      <c r="B52" s="19" t="s">
        <v>62</v>
      </c>
      <c r="C52" s="19"/>
      <c r="D52" s="19"/>
      <c r="E52" s="22"/>
      <c r="F52" s="23"/>
      <c r="G52" s="23"/>
      <c r="H52" s="23"/>
      <c r="I52" s="23"/>
      <c r="J52" s="23"/>
      <c r="K52" s="23"/>
    </row>
    <row r="53" spans="1:11" ht="15" x14ac:dyDescent="0.35">
      <c r="A53" s="15"/>
      <c r="B53" s="15" t="s">
        <v>37</v>
      </c>
      <c r="C53" s="15"/>
      <c r="D53" s="15"/>
      <c r="E53" s="15"/>
      <c r="F53" s="15"/>
      <c r="G53" s="15"/>
      <c r="H53" s="15"/>
      <c r="I53" s="15"/>
      <c r="J53" s="15"/>
      <c r="K53" s="15"/>
    </row>
    <row r="54" spans="1:11" x14ac:dyDescent="0.25">
      <c r="A54" s="15"/>
      <c r="B54" s="15" t="s">
        <v>33</v>
      </c>
      <c r="C54" s="15"/>
      <c r="D54" s="15"/>
      <c r="E54" s="15"/>
      <c r="F54" s="15"/>
      <c r="G54" s="15"/>
      <c r="H54" s="15"/>
      <c r="I54" s="15"/>
      <c r="J54" s="15"/>
      <c r="K54" s="15"/>
    </row>
    <row r="55" spans="1:11" x14ac:dyDescent="0.25">
      <c r="A55" s="15"/>
      <c r="B55" s="15" t="s">
        <v>45</v>
      </c>
      <c r="C55" s="15"/>
      <c r="D55" s="15"/>
      <c r="E55" s="15"/>
      <c r="F55" s="15"/>
      <c r="G55" s="15"/>
      <c r="H55" s="15"/>
      <c r="I55" s="15"/>
      <c r="J55" s="15"/>
      <c r="K55" s="15"/>
    </row>
    <row r="56" spans="1:11" x14ac:dyDescent="0.25">
      <c r="A56" s="15"/>
      <c r="B56" s="14" t="s">
        <v>9</v>
      </c>
      <c r="C56" s="15"/>
      <c r="D56" s="15"/>
      <c r="E56" s="15"/>
      <c r="F56" s="15"/>
      <c r="G56" s="15"/>
      <c r="H56" s="15"/>
      <c r="I56" s="15"/>
      <c r="J56" s="15"/>
      <c r="K56" s="15"/>
    </row>
    <row r="57" spans="1:11" x14ac:dyDescent="0.25">
      <c r="A57" s="15"/>
      <c r="B57" s="15" t="s">
        <v>63</v>
      </c>
      <c r="C57" s="15"/>
      <c r="D57" s="15"/>
      <c r="E57" s="15"/>
      <c r="F57" s="15"/>
      <c r="G57" s="15"/>
      <c r="H57" s="15"/>
      <c r="I57" s="15"/>
      <c r="J57" s="15"/>
      <c r="K57" s="15"/>
    </row>
  </sheetData>
  <mergeCells count="5">
    <mergeCell ref="A2:L2"/>
    <mergeCell ref="A1:L1"/>
    <mergeCell ref="A3:L3"/>
    <mergeCell ref="A5:C5"/>
    <mergeCell ref="A6:C6"/>
  </mergeCells>
  <phoneticPr fontId="19" type="noConversion"/>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100"/>
  <sheetViews>
    <sheetView workbookViewId="0">
      <selection sqref="A1:L1"/>
    </sheetView>
  </sheetViews>
  <sheetFormatPr defaultColWidth="8.6640625" defaultRowHeight="13.2" x14ac:dyDescent="0.25"/>
  <cols>
    <col min="1" max="1" width="10" customWidth="1"/>
    <col min="2" max="2" width="16" customWidth="1"/>
    <col min="3" max="3" width="17.33203125" customWidth="1"/>
    <col min="4" max="4" width="15.5546875" customWidth="1"/>
    <col min="5" max="5" width="12.5546875" customWidth="1"/>
    <col min="6" max="6" width="12.6640625" customWidth="1"/>
    <col min="7" max="7" width="11.33203125" customWidth="1"/>
    <col min="8" max="9" width="15.5546875" customWidth="1"/>
    <col min="10" max="10" width="13.33203125" customWidth="1"/>
    <col min="11" max="11" width="8.88671875" bestFit="1" customWidth="1"/>
    <col min="12" max="12" width="12.44140625" customWidth="1"/>
  </cols>
  <sheetData>
    <row r="1" spans="1:17" s="58" customFormat="1" ht="21" x14ac:dyDescent="0.4">
      <c r="A1" s="330" t="str">
        <f>Inputs!B1</f>
        <v>Potential To Emit Calculator for Concrete Batch Plants</v>
      </c>
      <c r="B1" s="330"/>
      <c r="C1" s="330"/>
      <c r="D1" s="330"/>
      <c r="E1" s="330"/>
      <c r="F1" s="330"/>
      <c r="G1" s="330"/>
      <c r="H1" s="330"/>
      <c r="I1" s="330"/>
      <c r="J1" s="330"/>
      <c r="K1" s="330"/>
      <c r="L1" s="330"/>
      <c r="M1" s="108"/>
      <c r="N1" s="9"/>
      <c r="O1" s="9"/>
    </row>
    <row r="2" spans="1:17" s="58" customFormat="1" x14ac:dyDescent="0.25">
      <c r="A2" s="331">
        <f>Inputs!B2</f>
        <v>41822</v>
      </c>
      <c r="B2" s="331"/>
      <c r="C2" s="331"/>
      <c r="D2" s="331"/>
      <c r="E2" s="331"/>
      <c r="F2" s="331"/>
      <c r="G2" s="331"/>
      <c r="H2" s="331"/>
      <c r="I2" s="331"/>
      <c r="J2" s="331"/>
      <c r="K2" s="331"/>
      <c r="L2" s="331"/>
      <c r="N2" s="10"/>
      <c r="O2" s="10"/>
      <c r="P2" s="10"/>
      <c r="Q2" s="10"/>
    </row>
    <row r="3" spans="1:17" ht="15.6" x14ac:dyDescent="0.3">
      <c r="A3" s="355" t="s">
        <v>88</v>
      </c>
      <c r="B3" s="355"/>
      <c r="C3" s="355"/>
      <c r="D3" s="355"/>
      <c r="E3" s="355"/>
      <c r="F3" s="355"/>
      <c r="G3" s="355"/>
      <c r="H3" s="355"/>
      <c r="I3" s="355"/>
      <c r="J3" s="355"/>
      <c r="K3" s="355"/>
      <c r="L3" s="355"/>
    </row>
    <row r="4" spans="1:17" ht="15.6" x14ac:dyDescent="0.3">
      <c r="A4" s="63"/>
      <c r="B4" s="13"/>
    </row>
    <row r="5" spans="1:17" x14ac:dyDescent="0.25">
      <c r="G5" s="5" t="s">
        <v>1</v>
      </c>
    </row>
    <row r="6" spans="1:17" x14ac:dyDescent="0.25">
      <c r="A6" s="1" t="s">
        <v>162</v>
      </c>
      <c r="B6" s="3"/>
      <c r="C6" s="3"/>
      <c r="D6" s="182"/>
      <c r="E6" s="183"/>
      <c r="F6" s="3"/>
      <c r="G6" s="2" t="s">
        <v>20</v>
      </c>
      <c r="H6" s="3"/>
      <c r="I6" s="3"/>
    </row>
    <row r="7" spans="1:17" x14ac:dyDescent="0.25">
      <c r="A7" s="181"/>
      <c r="B7" s="3"/>
      <c r="C7" s="3"/>
      <c r="D7" s="182"/>
      <c r="E7" s="183"/>
      <c r="F7" s="3"/>
      <c r="G7" s="3"/>
      <c r="H7" s="3"/>
      <c r="I7" s="3"/>
    </row>
    <row r="8" spans="1:17" x14ac:dyDescent="0.25">
      <c r="A8" s="377" t="s">
        <v>155</v>
      </c>
      <c r="B8" s="377"/>
      <c r="C8" s="377"/>
      <c r="D8" s="377"/>
      <c r="E8" s="377"/>
      <c r="F8" s="377"/>
      <c r="G8" s="377"/>
      <c r="H8" s="377"/>
      <c r="I8" s="377"/>
      <c r="J8" s="186"/>
      <c r="K8" s="186"/>
      <c r="L8" s="186"/>
    </row>
    <row r="9" spans="1:17" x14ac:dyDescent="0.25">
      <c r="A9" s="184"/>
      <c r="B9" s="3"/>
      <c r="C9" s="3"/>
      <c r="D9" s="182"/>
      <c r="E9" s="183"/>
      <c r="F9" s="3"/>
      <c r="G9" s="3"/>
      <c r="H9" s="3"/>
      <c r="I9" s="3"/>
    </row>
    <row r="10" spans="1:17" ht="16.8" x14ac:dyDescent="0.35">
      <c r="A10" s="185"/>
      <c r="B10" s="198" t="s">
        <v>168</v>
      </c>
      <c r="C10" s="184"/>
      <c r="D10" s="186"/>
      <c r="E10" s="186"/>
      <c r="F10" s="184"/>
      <c r="G10" s="3"/>
      <c r="H10" s="3"/>
      <c r="I10" s="3"/>
    </row>
    <row r="11" spans="1:17" x14ac:dyDescent="0.25">
      <c r="A11" s="3"/>
      <c r="B11" s="187"/>
      <c r="C11" s="187"/>
      <c r="D11" s="187"/>
      <c r="E11" s="3"/>
      <c r="F11" s="3"/>
      <c r="G11" s="3"/>
      <c r="H11" s="3"/>
      <c r="I11" s="3"/>
    </row>
    <row r="12" spans="1:17" x14ac:dyDescent="0.25">
      <c r="A12" s="3"/>
      <c r="B12" s="199" t="s">
        <v>102</v>
      </c>
      <c r="C12" s="3"/>
      <c r="D12" s="3"/>
      <c r="E12" s="3"/>
      <c r="F12" s="3"/>
      <c r="G12" s="3"/>
      <c r="H12" s="3"/>
      <c r="I12" s="3"/>
    </row>
    <row r="13" spans="1:17" ht="15.6" x14ac:dyDescent="0.35">
      <c r="A13" s="3"/>
      <c r="B13" s="3"/>
      <c r="C13" s="3"/>
      <c r="D13" s="199" t="s">
        <v>154</v>
      </c>
      <c r="E13" s="3"/>
      <c r="F13" s="3"/>
      <c r="G13" s="60" t="s">
        <v>157</v>
      </c>
      <c r="H13" s="3"/>
      <c r="I13" s="3"/>
    </row>
    <row r="14" spans="1:17" x14ac:dyDescent="0.25">
      <c r="A14" s="3"/>
      <c r="B14" s="3"/>
      <c r="C14" s="3"/>
      <c r="D14" s="185" t="s">
        <v>93</v>
      </c>
      <c r="E14" s="153">
        <v>1.0999999999999999E-2</v>
      </c>
      <c r="F14" s="3" t="s">
        <v>94</v>
      </c>
      <c r="G14" s="60" t="s">
        <v>160</v>
      </c>
      <c r="H14" s="3"/>
      <c r="I14" s="3"/>
    </row>
    <row r="15" spans="1:17" x14ac:dyDescent="0.25">
      <c r="A15" s="3"/>
      <c r="B15" s="3"/>
      <c r="C15" s="3"/>
      <c r="D15" s="185"/>
      <c r="E15" s="153">
        <v>2.2000000000000001E-3</v>
      </c>
      <c r="F15" s="3" t="s">
        <v>95</v>
      </c>
      <c r="G15" s="60" t="s">
        <v>160</v>
      </c>
      <c r="H15" s="3"/>
      <c r="I15" s="3"/>
    </row>
    <row r="16" spans="1:17" x14ac:dyDescent="0.25">
      <c r="A16" s="3"/>
      <c r="B16" s="3"/>
      <c r="C16" s="3"/>
      <c r="D16" s="185"/>
      <c r="E16" s="153">
        <v>5.4000000000000001E-4</v>
      </c>
      <c r="F16" s="60" t="s">
        <v>156</v>
      </c>
      <c r="G16" s="60" t="s">
        <v>160</v>
      </c>
      <c r="H16" s="3"/>
      <c r="I16" s="3"/>
    </row>
    <row r="17" spans="1:9" ht="15.6" x14ac:dyDescent="0.25">
      <c r="A17" s="3"/>
      <c r="B17" s="3"/>
      <c r="C17" s="3"/>
      <c r="D17" s="199" t="s">
        <v>161</v>
      </c>
      <c r="E17" s="188">
        <v>12</v>
      </c>
      <c r="F17" s="60" t="s">
        <v>158</v>
      </c>
      <c r="G17" s="60" t="s">
        <v>159</v>
      </c>
      <c r="H17" s="3"/>
      <c r="I17" s="3"/>
    </row>
    <row r="18" spans="1:9" x14ac:dyDescent="0.25">
      <c r="A18" s="3"/>
      <c r="B18" s="185" t="str">
        <f>C57</f>
        <v>Transit Mix Truck</v>
      </c>
      <c r="C18" s="3"/>
      <c r="D18" s="185" t="s">
        <v>91</v>
      </c>
      <c r="E18" s="233">
        <f>E57</f>
        <v>25</v>
      </c>
      <c r="F18" s="3" t="s">
        <v>92</v>
      </c>
      <c r="G18" s="11" t="s">
        <v>163</v>
      </c>
      <c r="H18" s="3"/>
      <c r="I18" s="3"/>
    </row>
    <row r="19" spans="1:9" x14ac:dyDescent="0.25">
      <c r="A19" s="3"/>
      <c r="B19" s="185" t="str">
        <f t="shared" ref="B19:B20" si="0">C58</f>
        <v>Gravel/Sand Delivery Truck</v>
      </c>
      <c r="C19" s="3"/>
      <c r="D19" s="185" t="s">
        <v>91</v>
      </c>
      <c r="E19" s="233">
        <f>E58</f>
        <v>25</v>
      </c>
      <c r="F19" s="3" t="s">
        <v>92</v>
      </c>
      <c r="G19" s="11" t="s">
        <v>163</v>
      </c>
      <c r="H19" s="3"/>
      <c r="I19" s="3"/>
    </row>
    <row r="20" spans="1:9" x14ac:dyDescent="0.25">
      <c r="A20" s="3"/>
      <c r="B20" s="185" t="str">
        <f t="shared" si="0"/>
        <v>Other Delivery Truck</v>
      </c>
      <c r="C20" s="3"/>
      <c r="D20" s="185" t="s">
        <v>91</v>
      </c>
      <c r="E20" s="233">
        <f>E59</f>
        <v>1</v>
      </c>
      <c r="F20" s="3" t="s">
        <v>92</v>
      </c>
      <c r="G20" s="11" t="s">
        <v>163</v>
      </c>
      <c r="H20" s="3"/>
      <c r="I20" s="3"/>
    </row>
    <row r="21" spans="1:9" x14ac:dyDescent="0.25">
      <c r="A21" s="3"/>
      <c r="B21" s="3"/>
      <c r="C21" s="3"/>
      <c r="D21" s="185" t="s">
        <v>98</v>
      </c>
      <c r="E21" s="232">
        <f>Inputs!D43</f>
        <v>50</v>
      </c>
      <c r="F21" s="60" t="s">
        <v>166</v>
      </c>
      <c r="G21" s="11" t="s">
        <v>163</v>
      </c>
      <c r="H21" s="3"/>
      <c r="I21" s="3"/>
    </row>
    <row r="22" spans="1:9" x14ac:dyDescent="0.25">
      <c r="A22" s="3"/>
      <c r="B22" s="3"/>
      <c r="C22" s="3"/>
      <c r="D22" s="185"/>
      <c r="E22" s="189"/>
      <c r="F22" s="3"/>
      <c r="G22" s="380" t="s">
        <v>197</v>
      </c>
      <c r="H22" s="381"/>
      <c r="I22" s="381"/>
    </row>
    <row r="23" spans="1:9" x14ac:dyDescent="0.25">
      <c r="A23" s="3"/>
      <c r="B23" s="3"/>
      <c r="C23" s="3"/>
      <c r="D23" s="185"/>
      <c r="E23" s="189"/>
      <c r="F23" s="3"/>
      <c r="G23" s="270" t="s">
        <v>15</v>
      </c>
      <c r="H23" s="273" t="s">
        <v>107</v>
      </c>
      <c r="I23" s="273" t="s">
        <v>196</v>
      </c>
    </row>
    <row r="24" spans="1:9" x14ac:dyDescent="0.25">
      <c r="A24" s="3"/>
      <c r="B24" s="3"/>
      <c r="C24" s="3"/>
      <c r="D24" s="3"/>
      <c r="E24" s="3"/>
      <c r="F24" s="199" t="str">
        <f>B18</f>
        <v>Transit Mix Truck</v>
      </c>
      <c r="G24" s="270">
        <f>E$14*E$17^0.91*E18^1.02*(1-E$21/(4*365))</f>
        <v>2.7177699023103203</v>
      </c>
      <c r="H24" s="270">
        <f>E$15*E$17^0.91*E18^1.02*(1-E$21/(4*365))</f>
        <v>0.54355398046206416</v>
      </c>
      <c r="I24" s="270">
        <f>E$16*E$17^0.91*E18^1.02*(1-E$21/(4*365))</f>
        <v>0.13341779520432484</v>
      </c>
    </row>
    <row r="25" spans="1:9" x14ac:dyDescent="0.25">
      <c r="A25" s="3"/>
      <c r="B25" s="3"/>
      <c r="C25" s="3"/>
      <c r="D25" s="3"/>
      <c r="E25" s="3"/>
      <c r="F25" s="199" t="str">
        <f>B19</f>
        <v>Gravel/Sand Delivery Truck</v>
      </c>
      <c r="G25" s="270">
        <f t="shared" ref="G25" si="1">E$14*E$17^0.91*E19^1.02*(1-E$21/(4*365))</f>
        <v>2.7177699023103203</v>
      </c>
      <c r="H25" s="270">
        <f>E$15*E$17^0.91*E19^1.02*(1-E$21/(4*365))</f>
        <v>0.54355398046206416</v>
      </c>
      <c r="I25" s="270">
        <f t="shared" ref="I25" si="2">E$16*E$17^0.91*E19^1.02*(1-E$21/(4*365))</f>
        <v>0.13341779520432484</v>
      </c>
    </row>
    <row r="26" spans="1:9" x14ac:dyDescent="0.25">
      <c r="A26" s="3"/>
      <c r="B26" s="3"/>
      <c r="C26" s="3"/>
      <c r="D26" s="186"/>
      <c r="E26" s="3"/>
      <c r="F26" s="199" t="str">
        <f>B20</f>
        <v>Other Delivery Truck</v>
      </c>
      <c r="G26" s="270">
        <f>E$14*E$17^0.91*E20^1.02*(1-E$21/(4*365))</f>
        <v>0.10193278166636949</v>
      </c>
      <c r="H26" s="270">
        <f>E$15*E$17^0.91*E20^1.02*(1-E$21/(4*365))</f>
        <v>2.0386556333273902E-2</v>
      </c>
      <c r="I26" s="270">
        <f>E$16*E$17^0.91*E20^1.02*(1-E$21/(4*365))</f>
        <v>5.0039729181672304E-3</v>
      </c>
    </row>
    <row r="27" spans="1:9" x14ac:dyDescent="0.25">
      <c r="A27" s="3"/>
      <c r="B27" s="3"/>
      <c r="C27" s="3"/>
      <c r="D27" s="186"/>
      <c r="E27" s="3"/>
      <c r="G27" s="272"/>
      <c r="H27" s="8"/>
      <c r="I27" s="8"/>
    </row>
    <row r="28" spans="1:9" x14ac:dyDescent="0.25">
      <c r="A28" s="1" t="s">
        <v>164</v>
      </c>
      <c r="B28" s="3"/>
      <c r="C28" s="3"/>
      <c r="D28" s="186"/>
      <c r="E28" s="3"/>
      <c r="F28" s="185"/>
      <c r="G28" s="190"/>
      <c r="H28" s="3"/>
      <c r="I28" s="3"/>
    </row>
    <row r="29" spans="1:9" x14ac:dyDescent="0.25">
      <c r="A29" s="3"/>
      <c r="B29" s="3"/>
      <c r="C29" s="3"/>
      <c r="D29" s="186"/>
      <c r="E29" s="3"/>
      <c r="F29" s="185"/>
      <c r="G29" s="190"/>
      <c r="H29" s="3"/>
      <c r="I29" s="3"/>
    </row>
    <row r="30" spans="1:9" x14ac:dyDescent="0.25">
      <c r="A30" s="198" t="s">
        <v>165</v>
      </c>
      <c r="B30" s="3"/>
      <c r="C30" s="3"/>
      <c r="D30" s="186"/>
      <c r="E30" s="3"/>
      <c r="F30" s="185"/>
      <c r="G30" s="190"/>
      <c r="H30" s="3"/>
      <c r="I30" s="3"/>
    </row>
    <row r="31" spans="1:9" x14ac:dyDescent="0.25">
      <c r="A31" s="184"/>
      <c r="B31" s="3"/>
      <c r="C31" s="3"/>
      <c r="D31" s="186"/>
      <c r="E31" s="3"/>
      <c r="F31" s="185"/>
      <c r="G31" s="190"/>
      <c r="H31" s="3"/>
      <c r="I31" s="3"/>
    </row>
    <row r="32" spans="1:9" ht="16.8" x14ac:dyDescent="0.35">
      <c r="A32" s="3"/>
      <c r="B32" s="235" t="s">
        <v>169</v>
      </c>
      <c r="C32" s="185"/>
      <c r="D32" s="3"/>
      <c r="E32" s="3"/>
      <c r="F32" s="187"/>
      <c r="G32" s="190"/>
      <c r="H32" s="3"/>
      <c r="I32" s="3"/>
    </row>
    <row r="33" spans="1:9" x14ac:dyDescent="0.25">
      <c r="A33" s="3"/>
      <c r="B33" s="3"/>
      <c r="C33" s="185"/>
      <c r="D33" s="140"/>
      <c r="E33" s="3"/>
      <c r="F33" s="187"/>
      <c r="G33" s="190"/>
      <c r="H33" s="3"/>
      <c r="I33" s="3"/>
    </row>
    <row r="34" spans="1:9" x14ac:dyDescent="0.25">
      <c r="A34" s="3"/>
      <c r="B34" s="185" t="s">
        <v>102</v>
      </c>
      <c r="C34" s="3"/>
      <c r="D34" s="3"/>
      <c r="E34" s="187"/>
      <c r="F34" s="3"/>
      <c r="G34" s="190"/>
      <c r="H34" s="3"/>
      <c r="I34" s="3"/>
    </row>
    <row r="35" spans="1:9" ht="15.6" x14ac:dyDescent="0.35">
      <c r="A35" s="3"/>
      <c r="B35" s="185"/>
      <c r="D35" s="199" t="s">
        <v>154</v>
      </c>
      <c r="E35" s="3"/>
      <c r="F35" s="187"/>
      <c r="G35" s="60" t="s">
        <v>157</v>
      </c>
      <c r="H35" s="3"/>
      <c r="I35" s="3"/>
    </row>
    <row r="36" spans="1:9" x14ac:dyDescent="0.25">
      <c r="A36" s="3"/>
      <c r="B36" s="3"/>
      <c r="D36" s="185" t="s">
        <v>103</v>
      </c>
      <c r="E36" s="153">
        <v>4.9000000000000004</v>
      </c>
      <c r="F36" s="3" t="s">
        <v>94</v>
      </c>
      <c r="G36" s="60" t="s">
        <v>171</v>
      </c>
      <c r="H36" s="3"/>
      <c r="I36" s="3"/>
    </row>
    <row r="37" spans="1:9" x14ac:dyDescent="0.25">
      <c r="A37" s="3"/>
      <c r="B37" s="3"/>
      <c r="D37" s="185"/>
      <c r="E37" s="153">
        <v>1.5</v>
      </c>
      <c r="F37" s="3" t="s">
        <v>95</v>
      </c>
      <c r="G37" s="60" t="s">
        <v>171</v>
      </c>
      <c r="H37" s="3"/>
      <c r="I37" s="3"/>
    </row>
    <row r="38" spans="1:9" x14ac:dyDescent="0.25">
      <c r="A38" s="3"/>
      <c r="B38" s="3"/>
      <c r="D38" s="185"/>
      <c r="E38" s="153">
        <v>0.15</v>
      </c>
      <c r="F38" s="60" t="s">
        <v>156</v>
      </c>
      <c r="G38" s="60" t="s">
        <v>171</v>
      </c>
      <c r="H38" s="3"/>
      <c r="I38" s="3"/>
    </row>
    <row r="39" spans="1:9" x14ac:dyDescent="0.25">
      <c r="A39" s="3"/>
      <c r="B39" s="3"/>
      <c r="D39" s="185" t="s">
        <v>104</v>
      </c>
      <c r="E39" s="194">
        <v>8.5</v>
      </c>
      <c r="F39" s="3"/>
      <c r="G39" s="60" t="s">
        <v>167</v>
      </c>
      <c r="H39" s="3"/>
      <c r="I39" s="3"/>
    </row>
    <row r="40" spans="1:9" x14ac:dyDescent="0.25">
      <c r="A40" s="3"/>
      <c r="B40" s="185" t="str">
        <f>B18</f>
        <v>Transit Mix Truck</v>
      </c>
      <c r="D40" s="185" t="s">
        <v>105</v>
      </c>
      <c r="E40" s="233">
        <f>E18</f>
        <v>25</v>
      </c>
      <c r="F40" s="3" t="s">
        <v>106</v>
      </c>
      <c r="G40" s="11" t="s">
        <v>163</v>
      </c>
      <c r="H40" s="3"/>
      <c r="I40" s="3"/>
    </row>
    <row r="41" spans="1:9" x14ac:dyDescent="0.25">
      <c r="A41" s="3"/>
      <c r="B41" s="185" t="str">
        <f t="shared" ref="B41:B42" si="3">B19</f>
        <v>Gravel/Sand Delivery Truck</v>
      </c>
      <c r="D41" s="185" t="s">
        <v>105</v>
      </c>
      <c r="E41" s="233">
        <f t="shared" ref="E41:E42" si="4">E19</f>
        <v>25</v>
      </c>
      <c r="F41" s="3" t="s">
        <v>106</v>
      </c>
      <c r="G41" s="11" t="s">
        <v>163</v>
      </c>
      <c r="H41" s="3"/>
      <c r="I41" s="3"/>
    </row>
    <row r="42" spans="1:9" x14ac:dyDescent="0.25">
      <c r="A42" s="3"/>
      <c r="B42" s="185" t="str">
        <f t="shared" si="3"/>
        <v>Other Delivery Truck</v>
      </c>
      <c r="D42" s="185" t="s">
        <v>105</v>
      </c>
      <c r="E42" s="233">
        <f t="shared" si="4"/>
        <v>1</v>
      </c>
      <c r="F42" s="3" t="s">
        <v>106</v>
      </c>
      <c r="G42" s="11" t="s">
        <v>163</v>
      </c>
      <c r="H42" s="3"/>
      <c r="I42" s="3"/>
    </row>
    <row r="43" spans="1:9" x14ac:dyDescent="0.25">
      <c r="A43" s="3"/>
      <c r="B43" s="3"/>
      <c r="D43" s="185" t="s">
        <v>96</v>
      </c>
      <c r="E43" s="153">
        <v>0.7</v>
      </c>
      <c r="F43" s="60" t="s">
        <v>15</v>
      </c>
      <c r="G43" s="60" t="s">
        <v>171</v>
      </c>
      <c r="H43" s="3"/>
      <c r="I43" s="3"/>
    </row>
    <row r="44" spans="1:9" x14ac:dyDescent="0.25">
      <c r="A44" s="3"/>
      <c r="B44" s="3"/>
      <c r="D44" s="185" t="s">
        <v>96</v>
      </c>
      <c r="E44" s="153">
        <v>0.9</v>
      </c>
      <c r="F44" s="60" t="s">
        <v>170</v>
      </c>
      <c r="G44" s="60" t="s">
        <v>171</v>
      </c>
      <c r="H44" s="3"/>
      <c r="I44" s="3"/>
    </row>
    <row r="45" spans="1:9" x14ac:dyDescent="0.25">
      <c r="A45" s="3"/>
      <c r="B45" s="3"/>
      <c r="D45" s="185" t="s">
        <v>97</v>
      </c>
      <c r="E45" s="153">
        <v>0.45</v>
      </c>
      <c r="F45" s="3"/>
      <c r="G45" s="60" t="s">
        <v>171</v>
      </c>
      <c r="H45" s="3"/>
      <c r="I45" s="3"/>
    </row>
    <row r="46" spans="1:9" x14ac:dyDescent="0.25">
      <c r="A46" s="3"/>
      <c r="B46" s="3"/>
      <c r="D46" s="185" t="s">
        <v>98</v>
      </c>
      <c r="E46" s="232">
        <f>Inputs!D43</f>
        <v>50</v>
      </c>
      <c r="F46" s="3"/>
      <c r="G46" s="11" t="s">
        <v>163</v>
      </c>
      <c r="H46" s="3"/>
      <c r="I46" s="3"/>
    </row>
    <row r="47" spans="1:9" x14ac:dyDescent="0.25">
      <c r="A47" s="3"/>
      <c r="B47" s="3"/>
      <c r="C47" s="185"/>
      <c r="D47" s="185"/>
      <c r="E47" s="3"/>
      <c r="F47" s="3"/>
      <c r="G47" s="380" t="s">
        <v>197</v>
      </c>
      <c r="H47" s="381"/>
      <c r="I47" s="381"/>
    </row>
    <row r="48" spans="1:9" x14ac:dyDescent="0.25">
      <c r="A48" s="3"/>
      <c r="B48" s="3"/>
      <c r="C48" s="185"/>
      <c r="D48" s="185"/>
      <c r="E48" s="3"/>
      <c r="F48" s="3"/>
      <c r="G48" s="270" t="s">
        <v>15</v>
      </c>
      <c r="H48" s="273" t="s">
        <v>107</v>
      </c>
      <c r="I48" s="273" t="s">
        <v>196</v>
      </c>
    </row>
    <row r="49" spans="1:11" x14ac:dyDescent="0.25">
      <c r="A49" s="3"/>
      <c r="B49" s="3"/>
      <c r="C49" s="3"/>
      <c r="F49" s="199" t="str">
        <f>B40</f>
        <v>Transit Mix Truck</v>
      </c>
      <c r="G49" s="271">
        <f>E$36*(E$39/12)^E$43*(E40/3)^E$45*((365-E$46)/365)</f>
        <v>8.6247910906101914</v>
      </c>
      <c r="H49" s="271">
        <f>E$37*(E$39/12)^E$44*(E40/3)^E$45*((365-E$46)/365)</f>
        <v>2.4642870759437585</v>
      </c>
      <c r="I49" s="271">
        <f>E$38*(E$39/12)^E$44*(E40/3)^E$45*((365-E$46)/365)</f>
        <v>0.24642870759437582</v>
      </c>
    </row>
    <row r="50" spans="1:11" x14ac:dyDescent="0.25">
      <c r="A50" s="3"/>
      <c r="B50" s="3"/>
      <c r="C50" s="3"/>
      <c r="F50" s="199" t="str">
        <f t="shared" ref="F50:F51" si="5">B41</f>
        <v>Gravel/Sand Delivery Truck</v>
      </c>
      <c r="G50" s="271">
        <f t="shared" ref="G50" si="6">E$36*(E$39/12)^E$43*(E41/3)^E$45*((365-E$46)/365)</f>
        <v>8.6247910906101914</v>
      </c>
      <c r="H50" s="271">
        <f t="shared" ref="H50" si="7">E$37*(E$39/12)^E$44*(E41/3)^E$45*((365-E$46)/365)</f>
        <v>2.4642870759437585</v>
      </c>
      <c r="I50" s="271">
        <f t="shared" ref="I50" si="8">E$38*(E$39/12)^E$44*(E41/3)^E$45*((365-E$46)/365)</f>
        <v>0.24642870759437582</v>
      </c>
    </row>
    <row r="51" spans="1:11" x14ac:dyDescent="0.25">
      <c r="A51" s="3"/>
      <c r="B51" s="3"/>
      <c r="C51" s="3"/>
      <c r="F51" s="199" t="str">
        <f t="shared" si="5"/>
        <v>Other Delivery Truck</v>
      </c>
      <c r="G51" s="271">
        <f>E$36*(E$39/12)^E$43*(E42/3)^E$45*((365-E$46)/365)</f>
        <v>2.0261685990415019</v>
      </c>
      <c r="H51" s="271">
        <f>E$37*(E$39/12)^E$44*(E42/3)^E$45*((365-E$46)/365)</f>
        <v>0.57891965612210439</v>
      </c>
      <c r="I51" s="271">
        <f>E$38*(E$39/12)^E$44*(E42/3)^E$45*((365-E$46)/365)</f>
        <v>5.7891965612210446E-2</v>
      </c>
    </row>
    <row r="52" spans="1:11" x14ac:dyDescent="0.25">
      <c r="A52" s="3"/>
      <c r="B52" s="3"/>
      <c r="C52" s="3"/>
      <c r="D52" s="186"/>
      <c r="E52" s="3"/>
      <c r="F52" s="185"/>
      <c r="G52" s="190"/>
      <c r="H52" s="3"/>
      <c r="I52" s="3"/>
    </row>
    <row r="53" spans="1:11" x14ac:dyDescent="0.25">
      <c r="A53" s="1" t="s">
        <v>172</v>
      </c>
      <c r="B53" s="3"/>
      <c r="C53" s="3"/>
      <c r="D53" s="186"/>
      <c r="E53" s="3"/>
      <c r="F53" s="185"/>
      <c r="G53" s="190"/>
      <c r="H53" s="3"/>
      <c r="I53" s="3"/>
    </row>
    <row r="54" spans="1:11" ht="13.8" thickBot="1" x14ac:dyDescent="0.3">
      <c r="A54" s="3"/>
      <c r="B54" s="1" t="s">
        <v>148</v>
      </c>
      <c r="D54" s="51"/>
      <c r="E54" s="11"/>
      <c r="F54" s="11"/>
      <c r="G54" s="3" t="s">
        <v>8</v>
      </c>
      <c r="H54" s="3" t="s">
        <v>8</v>
      </c>
      <c r="I54" s="49"/>
      <c r="J54" s="50" t="s">
        <v>8</v>
      </c>
    </row>
    <row r="55" spans="1:11" x14ac:dyDescent="0.25">
      <c r="A55" s="3"/>
      <c r="B55" s="73"/>
      <c r="C55" s="74"/>
      <c r="D55" s="74"/>
      <c r="E55" s="74"/>
      <c r="F55" s="74"/>
      <c r="G55" s="74"/>
      <c r="H55" s="375" t="s">
        <v>17</v>
      </c>
      <c r="I55" s="375"/>
      <c r="J55" s="376"/>
    </row>
    <row r="56" spans="1:11" ht="27.6" x14ac:dyDescent="0.35">
      <c r="A56" s="3"/>
      <c r="B56" s="109" t="s">
        <v>175</v>
      </c>
      <c r="C56" s="374" t="s">
        <v>99</v>
      </c>
      <c r="D56" s="374"/>
      <c r="E56" s="268" t="s">
        <v>178</v>
      </c>
      <c r="F56" s="125" t="s">
        <v>176</v>
      </c>
      <c r="G56" s="269" t="s">
        <v>177</v>
      </c>
      <c r="H56" s="142" t="s">
        <v>15</v>
      </c>
      <c r="I56" s="143" t="s">
        <v>5</v>
      </c>
      <c r="J56" s="146" t="s">
        <v>4</v>
      </c>
    </row>
    <row r="57" spans="1:11" x14ac:dyDescent="0.25">
      <c r="A57" s="3"/>
      <c r="B57" s="212" t="s">
        <v>173</v>
      </c>
      <c r="C57" s="374" t="str">
        <f>Inputs!C48</f>
        <v>Transit Mix Truck</v>
      </c>
      <c r="D57" s="374"/>
      <c r="E57" s="213">
        <f>Inputs!D48</f>
        <v>25</v>
      </c>
      <c r="F57" s="213">
        <f>Inputs!F48</f>
        <v>1000</v>
      </c>
      <c r="G57" s="213">
        <f>Inputs!H48</f>
        <v>0.1</v>
      </c>
      <c r="H57" s="131">
        <f>$F57*$G57*G24/2000</f>
        <v>0.13588849511551601</v>
      </c>
      <c r="I57" s="131">
        <f t="shared" ref="I57:J57" si="9">$F57*$G57*H24/2000</f>
        <v>2.717769902310321E-2</v>
      </c>
      <c r="J57" s="236">
        <f t="shared" si="9"/>
        <v>6.6708897602162417E-3</v>
      </c>
    </row>
    <row r="58" spans="1:11" x14ac:dyDescent="0.25">
      <c r="A58" s="3"/>
      <c r="B58" s="212" t="s">
        <v>173</v>
      </c>
      <c r="C58" s="374" t="str">
        <f>Inputs!C49</f>
        <v>Gravel/Sand Delivery Truck</v>
      </c>
      <c r="D58" s="374"/>
      <c r="E58" s="213">
        <f>Inputs!D49</f>
        <v>25</v>
      </c>
      <c r="F58" s="213">
        <f>Inputs!F49</f>
        <v>50</v>
      </c>
      <c r="G58" s="213">
        <f>Inputs!H49</f>
        <v>0.1</v>
      </c>
      <c r="H58" s="131">
        <f t="shared" ref="H58:J58" si="10">$F58*$G58*G25/2000</f>
        <v>6.7944247557758007E-3</v>
      </c>
      <c r="I58" s="131">
        <f t="shared" si="10"/>
        <v>1.3588849511551604E-3</v>
      </c>
      <c r="J58" s="236">
        <f t="shared" si="10"/>
        <v>3.3354448801081212E-4</v>
      </c>
      <c r="K58" s="234"/>
    </row>
    <row r="59" spans="1:11" x14ac:dyDescent="0.25">
      <c r="A59" s="3"/>
      <c r="B59" s="212" t="s">
        <v>173</v>
      </c>
      <c r="C59" s="374" t="str">
        <f>Inputs!C50</f>
        <v>Other Delivery Truck</v>
      </c>
      <c r="D59" s="374"/>
      <c r="E59" s="213">
        <f>Inputs!D50</f>
        <v>1</v>
      </c>
      <c r="F59" s="213">
        <f>Inputs!F50</f>
        <v>200</v>
      </c>
      <c r="G59" s="213">
        <f>Inputs!H50</f>
        <v>0.1</v>
      </c>
      <c r="H59" s="131">
        <f t="shared" ref="H59:I59" si="11">$F59*$G59*G26/2000</f>
        <v>1.019327816663695E-3</v>
      </c>
      <c r="I59" s="131">
        <f t="shared" si="11"/>
        <v>2.0386556333273903E-4</v>
      </c>
      <c r="J59" s="236">
        <f>$F59*$G59*I26/2000</f>
        <v>5.0039729181672305E-5</v>
      </c>
      <c r="K59" s="234"/>
    </row>
    <row r="60" spans="1:11" x14ac:dyDescent="0.25">
      <c r="A60" s="3"/>
      <c r="B60" s="237"/>
      <c r="C60" s="378"/>
      <c r="D60" s="379"/>
      <c r="E60" s="213"/>
      <c r="F60" s="125"/>
      <c r="G60" s="125"/>
      <c r="H60" s="131"/>
      <c r="I60" s="131"/>
      <c r="J60" s="236"/>
      <c r="K60" s="234"/>
    </row>
    <row r="61" spans="1:11" x14ac:dyDescent="0.25">
      <c r="A61" s="3"/>
      <c r="B61" s="197" t="s">
        <v>174</v>
      </c>
      <c r="C61" s="372" t="str">
        <f>Inputs!C54</f>
        <v>Transit Mix Truck</v>
      </c>
      <c r="D61" s="373"/>
      <c r="E61" s="125">
        <f>Inputs!D54</f>
        <v>25</v>
      </c>
      <c r="F61" s="125">
        <f>Inputs!F54</f>
        <v>1000</v>
      </c>
      <c r="G61" s="125">
        <f>Inputs!H54</f>
        <v>0.15</v>
      </c>
      <c r="H61" s="131">
        <f>$F61*$G61*G49/2000</f>
        <v>0.64685933179576427</v>
      </c>
      <c r="I61" s="131">
        <f t="shared" ref="I61:J61" si="12">$F61*$G61*H49/2000</f>
        <v>0.18482153069578189</v>
      </c>
      <c r="J61" s="236">
        <f t="shared" si="12"/>
        <v>1.8482153069578185E-2</v>
      </c>
      <c r="K61" s="234"/>
    </row>
    <row r="62" spans="1:11" x14ac:dyDescent="0.25">
      <c r="A62" s="3"/>
      <c r="B62" s="197" t="s">
        <v>174</v>
      </c>
      <c r="C62" s="372" t="str">
        <f>Inputs!C55</f>
        <v>Gravel/Sand Delivery Truck</v>
      </c>
      <c r="D62" s="373"/>
      <c r="E62" s="125">
        <f>Inputs!D55</f>
        <v>25</v>
      </c>
      <c r="F62" s="125">
        <f>Inputs!F55</f>
        <v>50</v>
      </c>
      <c r="G62" s="125">
        <f>Inputs!H55</f>
        <v>0.4</v>
      </c>
      <c r="H62" s="131">
        <f t="shared" ref="H62:J62" si="13">$F62*$G62*G50/2000</f>
        <v>8.6247910906101913E-2</v>
      </c>
      <c r="I62" s="131">
        <f t="shared" si="13"/>
        <v>2.4642870759437586E-2</v>
      </c>
      <c r="J62" s="236">
        <f t="shared" si="13"/>
        <v>2.4642870759437581E-3</v>
      </c>
      <c r="K62" s="234"/>
    </row>
    <row r="63" spans="1:11" x14ac:dyDescent="0.25">
      <c r="A63" s="3"/>
      <c r="B63" s="197" t="s">
        <v>174</v>
      </c>
      <c r="C63" s="372" t="str">
        <f>Inputs!C56</f>
        <v>Other Delivery Truck</v>
      </c>
      <c r="D63" s="373"/>
      <c r="E63" s="125">
        <f>Inputs!D56</f>
        <v>1</v>
      </c>
      <c r="F63" s="125">
        <f>Inputs!F56</f>
        <v>200</v>
      </c>
      <c r="G63" s="125">
        <f>Inputs!H56</f>
        <v>0</v>
      </c>
      <c r="H63" s="131">
        <f t="shared" ref="H63:I63" si="14">$F63*$G63*G51/2000</f>
        <v>0</v>
      </c>
      <c r="I63" s="131">
        <f t="shared" si="14"/>
        <v>0</v>
      </c>
      <c r="J63" s="236">
        <f>$F63*$G63*I51/2000</f>
        <v>0</v>
      </c>
      <c r="K63" s="234"/>
    </row>
    <row r="64" spans="1:11" ht="13.8" thickBot="1" x14ac:dyDescent="0.3">
      <c r="A64" s="3"/>
      <c r="B64" s="148"/>
      <c r="C64" s="144"/>
      <c r="D64" s="144"/>
      <c r="E64" s="144"/>
      <c r="F64" s="144"/>
      <c r="G64" s="144"/>
      <c r="H64" s="145"/>
      <c r="I64" s="145"/>
      <c r="J64" s="149"/>
      <c r="K64" s="140"/>
    </row>
    <row r="65" spans="1:11" ht="13.8" thickTop="1" x14ac:dyDescent="0.25">
      <c r="A65" s="3"/>
      <c r="B65" s="77"/>
      <c r="C65" s="8"/>
      <c r="D65" s="8"/>
      <c r="E65" s="8"/>
      <c r="F65" s="8"/>
      <c r="G65" s="8"/>
      <c r="H65" s="140"/>
      <c r="I65" s="140"/>
      <c r="J65" s="164"/>
      <c r="K65" s="140"/>
    </row>
    <row r="66" spans="1:11" x14ac:dyDescent="0.25">
      <c r="A66" s="3"/>
      <c r="B66" s="77" t="s">
        <v>24</v>
      </c>
      <c r="C66" s="26"/>
      <c r="D66" s="26"/>
      <c r="E66" s="26"/>
      <c r="F66" s="26"/>
      <c r="G66" s="26"/>
      <c r="H66" s="107">
        <f>SUM(H57:H63)</f>
        <v>0.8768094903898217</v>
      </c>
      <c r="I66" s="107">
        <f>SUM(I57:I63)</f>
        <v>0.23820485099281058</v>
      </c>
      <c r="J66" s="150">
        <f>SUM(J57:J63)</f>
        <v>2.8000914122930667E-2</v>
      </c>
      <c r="K66" s="107"/>
    </row>
    <row r="67" spans="1:11" ht="13.8" thickBot="1" x14ac:dyDescent="0.3">
      <c r="A67" s="3"/>
      <c r="B67" s="78"/>
      <c r="C67" s="41"/>
      <c r="D67" s="41"/>
      <c r="E67" s="41"/>
      <c r="F67" s="41"/>
      <c r="G67" s="41"/>
      <c r="H67" s="151"/>
      <c r="I67" s="16"/>
      <c r="J67" s="152"/>
      <c r="K67" s="140"/>
    </row>
    <row r="68" spans="1:11" x14ac:dyDescent="0.25">
      <c r="A68" s="3"/>
      <c r="B68" s="1" t="s">
        <v>198</v>
      </c>
      <c r="C68" s="3"/>
      <c r="D68" s="186"/>
      <c r="E68" s="3"/>
      <c r="F68" s="185"/>
      <c r="G68" s="190"/>
      <c r="H68" s="3"/>
      <c r="I68" s="3"/>
    </row>
    <row r="69" spans="1:11" x14ac:dyDescent="0.25">
      <c r="A69" s="3"/>
      <c r="B69" s="60" t="s">
        <v>199</v>
      </c>
      <c r="C69" s="3"/>
      <c r="D69" s="186"/>
      <c r="E69" s="3"/>
      <c r="F69" s="185"/>
      <c r="G69" s="190"/>
      <c r="H69" s="3"/>
      <c r="I69" s="3"/>
    </row>
    <row r="70" spans="1:11" x14ac:dyDescent="0.25">
      <c r="A70" s="3"/>
      <c r="B70" s="3"/>
      <c r="C70" s="3"/>
      <c r="D70" s="186"/>
      <c r="E70" s="3"/>
      <c r="F70" s="185"/>
      <c r="G70" s="190"/>
      <c r="H70" s="3"/>
      <c r="I70" s="3"/>
    </row>
    <row r="71" spans="1:11" x14ac:dyDescent="0.25">
      <c r="A71" s="181"/>
      <c r="B71" s="181"/>
      <c r="C71" s="181"/>
      <c r="D71" s="181"/>
      <c r="E71" s="181"/>
      <c r="F71" s="181"/>
      <c r="G71" s="181"/>
      <c r="H71" s="181"/>
      <c r="I71" s="181"/>
    </row>
    <row r="72" spans="1:11" x14ac:dyDescent="0.25">
      <c r="A72" s="1" t="s">
        <v>203</v>
      </c>
      <c r="B72" s="181"/>
      <c r="C72" s="181"/>
      <c r="D72" s="181"/>
      <c r="E72" s="181"/>
      <c r="F72" s="181"/>
      <c r="G72" s="181"/>
      <c r="H72" s="181"/>
      <c r="I72" s="3"/>
    </row>
    <row r="73" spans="1:11" x14ac:dyDescent="0.25">
      <c r="A73" s="181"/>
      <c r="B73" s="181"/>
      <c r="C73" s="181"/>
      <c r="D73" s="181"/>
      <c r="E73" s="181"/>
      <c r="F73" s="181"/>
      <c r="G73" s="181"/>
      <c r="H73" s="181"/>
      <c r="I73" s="3"/>
    </row>
    <row r="74" spans="1:11" x14ac:dyDescent="0.25">
      <c r="A74" s="3" t="s">
        <v>100</v>
      </c>
      <c r="B74" s="3"/>
      <c r="C74" s="3"/>
      <c r="D74" s="3"/>
      <c r="E74" s="3"/>
      <c r="F74" s="3"/>
      <c r="G74" s="3"/>
      <c r="H74" s="3"/>
      <c r="I74" s="3"/>
    </row>
    <row r="75" spans="1:11" x14ac:dyDescent="0.25">
      <c r="A75" s="3"/>
      <c r="B75" s="3"/>
      <c r="C75" s="185" t="s">
        <v>101</v>
      </c>
      <c r="D75" s="193">
        <v>0.5</v>
      </c>
      <c r="E75" s="60" t="s">
        <v>202</v>
      </c>
      <c r="G75" s="3"/>
      <c r="H75" s="3"/>
      <c r="I75" s="3"/>
    </row>
    <row r="76" spans="1:11" x14ac:dyDescent="0.25">
      <c r="A76" s="3"/>
      <c r="B76" s="3"/>
      <c r="C76" s="3"/>
      <c r="D76" s="3"/>
      <c r="E76" s="3"/>
      <c r="F76" s="3"/>
      <c r="G76" s="3"/>
      <c r="H76" s="3"/>
      <c r="I76" s="3"/>
    </row>
    <row r="77" spans="1:11" x14ac:dyDescent="0.25">
      <c r="A77" s="3"/>
      <c r="B77" s="3"/>
      <c r="C77" s="3"/>
      <c r="D77" s="3"/>
      <c r="E77" s="3"/>
      <c r="F77" s="3"/>
      <c r="I77" s="199" t="s">
        <v>200</v>
      </c>
      <c r="J77" s="271">
        <f>H66*(1-D75)</f>
        <v>0.43840474519491085</v>
      </c>
    </row>
    <row r="78" spans="1:11" x14ac:dyDescent="0.25">
      <c r="A78" s="3"/>
      <c r="B78" s="3"/>
      <c r="C78" s="3"/>
      <c r="D78" s="3"/>
      <c r="E78" s="3"/>
      <c r="F78" s="3"/>
      <c r="I78" s="199" t="s">
        <v>201</v>
      </c>
      <c r="J78" s="271">
        <f>I66*(1-D75)</f>
        <v>0.11910242549640529</v>
      </c>
    </row>
    <row r="81" spans="1:6" x14ac:dyDescent="0.25">
      <c r="A81" s="181"/>
      <c r="B81" s="3"/>
      <c r="C81" s="3"/>
      <c r="D81" s="182"/>
      <c r="E81" s="183"/>
      <c r="F81" s="3"/>
    </row>
    <row r="82" spans="1:6" x14ac:dyDescent="0.25">
      <c r="A82" s="181"/>
      <c r="B82" s="3"/>
      <c r="C82" s="3"/>
      <c r="D82" s="182"/>
      <c r="E82" s="183"/>
      <c r="F82" s="3"/>
    </row>
    <row r="83" spans="1:6" x14ac:dyDescent="0.25">
      <c r="B83" s="3"/>
      <c r="C83" s="3"/>
      <c r="D83" s="3"/>
      <c r="E83" s="182"/>
      <c r="F83" s="183"/>
    </row>
    <row r="84" spans="1:6" x14ac:dyDescent="0.25">
      <c r="B84" s="3"/>
      <c r="C84" s="3"/>
      <c r="D84" s="182"/>
      <c r="E84" s="183"/>
      <c r="F84" s="3"/>
    </row>
    <row r="85" spans="1:6" x14ac:dyDescent="0.25">
      <c r="A85" s="3"/>
      <c r="B85" s="3"/>
      <c r="C85" s="3"/>
      <c r="D85" s="3"/>
      <c r="E85" s="3"/>
      <c r="F85" s="3"/>
    </row>
    <row r="86" spans="1:6" x14ac:dyDescent="0.25">
      <c r="A86" s="3"/>
    </row>
    <row r="87" spans="1:6" x14ac:dyDescent="0.25">
      <c r="A87" s="3"/>
    </row>
    <row r="88" spans="1:6" x14ac:dyDescent="0.25">
      <c r="A88" s="3"/>
    </row>
    <row r="89" spans="1:6" x14ac:dyDescent="0.25">
      <c r="A89" s="3"/>
    </row>
    <row r="90" spans="1:6" x14ac:dyDescent="0.25">
      <c r="A90" s="3"/>
    </row>
    <row r="91" spans="1:6" x14ac:dyDescent="0.25">
      <c r="A91" s="3"/>
    </row>
    <row r="92" spans="1:6" x14ac:dyDescent="0.25">
      <c r="A92" s="3"/>
    </row>
    <row r="93" spans="1:6" x14ac:dyDescent="0.25">
      <c r="A93" s="3"/>
    </row>
    <row r="94" spans="1:6" x14ac:dyDescent="0.25">
      <c r="A94" s="3"/>
    </row>
    <row r="95" spans="1:6" x14ac:dyDescent="0.25">
      <c r="A95" s="3"/>
    </row>
    <row r="96" spans="1:6" x14ac:dyDescent="0.25">
      <c r="A96" s="3"/>
    </row>
    <row r="97" spans="1:6" x14ac:dyDescent="0.25">
      <c r="A97" s="3"/>
    </row>
    <row r="98" spans="1:6" x14ac:dyDescent="0.25">
      <c r="A98" s="3"/>
    </row>
    <row r="99" spans="1:6" x14ac:dyDescent="0.25">
      <c r="A99" s="3"/>
    </row>
    <row r="100" spans="1:6" x14ac:dyDescent="0.25">
      <c r="A100" s="3"/>
      <c r="B100" s="3"/>
      <c r="C100" s="3"/>
      <c r="D100" s="3"/>
      <c r="E100" s="3"/>
      <c r="F100" s="3"/>
    </row>
  </sheetData>
  <mergeCells count="15">
    <mergeCell ref="C62:D62"/>
    <mergeCell ref="C63:D63"/>
    <mergeCell ref="C56:D56"/>
    <mergeCell ref="H55:J55"/>
    <mergeCell ref="A1:L1"/>
    <mergeCell ref="A2:L2"/>
    <mergeCell ref="A3:L3"/>
    <mergeCell ref="A8:I8"/>
    <mergeCell ref="C57:D57"/>
    <mergeCell ref="C58:D58"/>
    <mergeCell ref="C59:D59"/>
    <mergeCell ref="C60:D60"/>
    <mergeCell ref="C61:D61"/>
    <mergeCell ref="G47:I47"/>
    <mergeCell ref="G22:I22"/>
  </mergeCells>
  <pageMargins left="0.75" right="0.75" top="1" bottom="1" header="0.5" footer="0.5"/>
  <pageSetup orientation="portrait" r:id="rId1"/>
  <headerFooter alignWithMargins="0">
    <oddFooter>Page &amp;P of &amp;N</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42"/>
  <sheetViews>
    <sheetView workbookViewId="0">
      <selection activeCell="A44" sqref="A44"/>
    </sheetView>
  </sheetViews>
  <sheetFormatPr defaultColWidth="8.6640625" defaultRowHeight="13.2" x14ac:dyDescent="0.25"/>
  <cols>
    <col min="1" max="1" width="10.88671875" customWidth="1"/>
    <col min="2" max="2" width="31.109375" customWidth="1"/>
    <col min="3" max="4" width="17.5546875" customWidth="1"/>
    <col min="5" max="5" width="10.33203125" customWidth="1"/>
    <col min="8" max="11" width="8.88671875" bestFit="1" customWidth="1"/>
    <col min="12" max="12" width="12.44140625" customWidth="1"/>
  </cols>
  <sheetData>
    <row r="1" spans="1:17" s="58" customFormat="1" ht="21" x14ac:dyDescent="0.4">
      <c r="A1" s="330" t="str">
        <f>Inputs!B1</f>
        <v>Potential To Emit Calculator for Concrete Batch Plants</v>
      </c>
      <c r="B1" s="330"/>
      <c r="C1" s="330"/>
      <c r="D1" s="330"/>
      <c r="E1" s="330"/>
      <c r="F1" s="330"/>
      <c r="G1" s="330"/>
      <c r="H1" s="330"/>
      <c r="I1" s="330"/>
      <c r="J1" s="9"/>
      <c r="K1" s="9"/>
      <c r="L1" s="9"/>
      <c r="M1" s="108"/>
      <c r="N1" s="9"/>
      <c r="O1" s="9"/>
    </row>
    <row r="2" spans="1:17" s="58" customFormat="1" x14ac:dyDescent="0.25">
      <c r="A2" s="331">
        <f>Inputs!B2</f>
        <v>41822</v>
      </c>
      <c r="B2" s="331"/>
      <c r="C2" s="331"/>
      <c r="D2" s="331"/>
      <c r="E2" s="331"/>
      <c r="F2" s="331"/>
      <c r="G2" s="331"/>
      <c r="H2" s="331"/>
      <c r="I2" s="331"/>
      <c r="J2" s="10"/>
      <c r="K2" s="10"/>
      <c r="L2" s="10"/>
      <c r="M2" s="10"/>
      <c r="N2" s="10"/>
      <c r="O2" s="10"/>
      <c r="P2" s="10"/>
      <c r="Q2" s="10"/>
    </row>
    <row r="3" spans="1:17" ht="15.6" x14ac:dyDescent="0.3">
      <c r="A3" s="355" t="s">
        <v>89</v>
      </c>
      <c r="B3" s="355"/>
      <c r="C3" s="355"/>
      <c r="D3" s="355"/>
      <c r="E3" s="355"/>
      <c r="F3" s="355"/>
      <c r="G3" s="355"/>
      <c r="H3" s="355"/>
      <c r="I3" s="355"/>
      <c r="J3" s="222"/>
      <c r="K3" s="222"/>
      <c r="L3" s="222"/>
    </row>
    <row r="4" spans="1:17" ht="15.6" x14ac:dyDescent="0.3">
      <c r="A4" s="63"/>
      <c r="B4" s="13"/>
    </row>
    <row r="5" spans="1:17" x14ac:dyDescent="0.25">
      <c r="A5" s="59"/>
      <c r="B5" s="199" t="s">
        <v>122</v>
      </c>
      <c r="C5" s="124">
        <f>Inputs!D42</f>
        <v>5</v>
      </c>
      <c r="D5" s="105" t="s">
        <v>123</v>
      </c>
      <c r="E5" s="5" t="s">
        <v>1</v>
      </c>
      <c r="F5" s="5"/>
      <c r="G5" s="5"/>
      <c r="H5" s="5"/>
      <c r="I5" s="5"/>
    </row>
    <row r="6" spans="1:17" x14ac:dyDescent="0.25">
      <c r="A6" s="59"/>
      <c r="B6" s="199" t="s">
        <v>124</v>
      </c>
      <c r="C6" s="124">
        <f>Inputs!D44</f>
        <v>5</v>
      </c>
      <c r="D6" s="105" t="s">
        <v>125</v>
      </c>
      <c r="E6" s="2" t="s">
        <v>20</v>
      </c>
      <c r="F6" s="2"/>
      <c r="G6" s="2"/>
      <c r="H6" s="2"/>
      <c r="I6" s="2"/>
    </row>
    <row r="7" spans="1:17" x14ac:dyDescent="0.25">
      <c r="A7" s="59"/>
      <c r="B7" s="202" t="s">
        <v>142</v>
      </c>
      <c r="C7" s="223">
        <f>IF(Inputs!D14&gt;0,Inputs!D14,IF(Inputs!D26&gt;0,Inputs!D26*3293/2000/8760,"ERROR"))</f>
        <v>375.91324200913243</v>
      </c>
      <c r="D7" s="209" t="s">
        <v>141</v>
      </c>
      <c r="I7" s="2"/>
    </row>
    <row r="8" spans="1:17" ht="13.8" thickBot="1" x14ac:dyDescent="0.3">
      <c r="A8" s="3"/>
      <c r="B8" s="11"/>
      <c r="C8" s="11"/>
      <c r="D8" s="3"/>
      <c r="I8" s="5"/>
      <c r="J8" s="6"/>
      <c r="K8" s="6"/>
      <c r="L8" s="6"/>
    </row>
    <row r="9" spans="1:17" ht="12" customHeight="1" thickTop="1" x14ac:dyDescent="0.25">
      <c r="A9" s="4"/>
      <c r="B9" s="4"/>
      <c r="C9" s="4"/>
      <c r="D9" s="4"/>
      <c r="E9" s="4"/>
      <c r="F9" s="4"/>
      <c r="G9" s="4"/>
      <c r="H9" s="4"/>
      <c r="I9" s="4"/>
      <c r="J9" s="6"/>
      <c r="K9" s="6"/>
      <c r="L9" s="6"/>
    </row>
    <row r="10" spans="1:17" ht="12" customHeight="1" x14ac:dyDescent="0.25">
      <c r="A10" s="6"/>
      <c r="B10" s="26" t="s">
        <v>144</v>
      </c>
      <c r="C10" s="6"/>
      <c r="D10" s="6"/>
      <c r="E10" s="6"/>
      <c r="F10" s="6"/>
      <c r="G10" s="6"/>
      <c r="H10" s="6"/>
      <c r="I10" s="6"/>
      <c r="J10" s="6"/>
      <c r="K10" s="6"/>
      <c r="L10" s="6"/>
    </row>
    <row r="11" spans="1:17" x14ac:dyDescent="0.25">
      <c r="B11" s="198" t="s">
        <v>108</v>
      </c>
      <c r="C11" s="60"/>
      <c r="D11" s="60"/>
      <c r="E11" s="60"/>
      <c r="F11" s="60"/>
      <c r="G11" s="60"/>
      <c r="H11" s="60"/>
      <c r="I11" s="60"/>
    </row>
    <row r="12" spans="1:17" x14ac:dyDescent="0.25">
      <c r="B12" s="198" t="s">
        <v>109</v>
      </c>
      <c r="C12" s="60"/>
      <c r="D12" s="60"/>
      <c r="E12" s="60"/>
      <c r="F12" s="60"/>
      <c r="G12" s="60"/>
      <c r="H12" s="60"/>
      <c r="I12" s="60"/>
    </row>
    <row r="13" spans="1:17" x14ac:dyDescent="0.25">
      <c r="B13" s="60"/>
      <c r="C13" s="199"/>
      <c r="D13" s="60"/>
      <c r="E13" s="60"/>
      <c r="F13" s="60"/>
      <c r="G13" s="60"/>
      <c r="H13" s="60"/>
      <c r="I13" s="60"/>
    </row>
    <row r="14" spans="1:17" ht="15.6" x14ac:dyDescent="0.25">
      <c r="B14" s="199" t="s">
        <v>110</v>
      </c>
      <c r="C14" s="60" t="s">
        <v>111</v>
      </c>
      <c r="D14" s="60"/>
      <c r="E14" s="60" t="s">
        <v>90</v>
      </c>
      <c r="F14" s="60"/>
      <c r="G14" s="199"/>
      <c r="H14" s="60"/>
      <c r="I14" s="60"/>
    </row>
    <row r="15" spans="1:17" x14ac:dyDescent="0.25">
      <c r="B15" s="199"/>
      <c r="C15" s="60" t="s">
        <v>112</v>
      </c>
      <c r="D15" s="60"/>
      <c r="E15" s="199"/>
      <c r="F15" s="199" t="s">
        <v>113</v>
      </c>
      <c r="G15" s="60"/>
      <c r="H15" s="60"/>
      <c r="I15" s="60"/>
    </row>
    <row r="16" spans="1:17" x14ac:dyDescent="0.25">
      <c r="B16" s="60"/>
      <c r="C16" s="60"/>
      <c r="D16" s="199"/>
      <c r="E16" s="199"/>
      <c r="F16" s="199" t="s">
        <v>114</v>
      </c>
      <c r="G16" s="60" t="s">
        <v>115</v>
      </c>
      <c r="H16" s="60"/>
      <c r="I16" s="60"/>
    </row>
    <row r="17" spans="2:9" x14ac:dyDescent="0.25">
      <c r="B17" s="60"/>
      <c r="C17" s="199"/>
      <c r="D17" s="60"/>
      <c r="E17" s="199"/>
      <c r="F17" s="199" t="s">
        <v>116</v>
      </c>
      <c r="G17" s="125">
        <f>Inputs!D42</f>
        <v>5</v>
      </c>
      <c r="H17" s="60"/>
      <c r="I17" s="60"/>
    </row>
    <row r="18" spans="2:9" x14ac:dyDescent="0.25">
      <c r="B18" s="60"/>
      <c r="C18" s="199"/>
      <c r="D18" s="60"/>
      <c r="E18" s="199"/>
      <c r="F18" s="199" t="s">
        <v>117</v>
      </c>
      <c r="G18" s="211">
        <f>Inputs!D44</f>
        <v>5</v>
      </c>
      <c r="H18" s="60"/>
      <c r="I18" s="200"/>
    </row>
    <row r="19" spans="2:9" x14ac:dyDescent="0.25">
      <c r="B19" s="60"/>
      <c r="C19" s="199"/>
      <c r="D19" s="60"/>
      <c r="E19" s="60"/>
      <c r="F19" s="60"/>
      <c r="G19" s="60"/>
      <c r="H19" s="60"/>
      <c r="I19" s="60"/>
    </row>
    <row r="20" spans="2:9" x14ac:dyDescent="0.25">
      <c r="B20" s="60"/>
      <c r="C20" s="60"/>
      <c r="D20" s="199" t="s">
        <v>118</v>
      </c>
      <c r="E20" s="201">
        <f>0.0032*(G17/5)^1.3*1/(G18/2)^1.4</f>
        <v>8.8722539923858756E-4</v>
      </c>
      <c r="F20" s="60" t="s">
        <v>119</v>
      </c>
      <c r="G20" s="60"/>
      <c r="H20" s="60"/>
      <c r="I20" s="60"/>
    </row>
    <row r="21" spans="2:9" x14ac:dyDescent="0.25">
      <c r="B21" s="60"/>
      <c r="C21" s="60"/>
      <c r="D21" s="199" t="s">
        <v>120</v>
      </c>
      <c r="E21" s="219">
        <f>E20*0.35</f>
        <v>3.1052888973350564E-4</v>
      </c>
      <c r="F21" s="60" t="s">
        <v>119</v>
      </c>
      <c r="G21" s="60"/>
      <c r="H21" s="60"/>
      <c r="I21" s="60"/>
    </row>
    <row r="22" spans="2:9" x14ac:dyDescent="0.25">
      <c r="B22" s="60"/>
      <c r="C22" s="60"/>
      <c r="D22" s="199" t="s">
        <v>146</v>
      </c>
      <c r="E22" s="219">
        <f>E20*0.053</f>
        <v>4.7022946159645137E-5</v>
      </c>
      <c r="F22" s="60" t="s">
        <v>119</v>
      </c>
      <c r="G22" s="60"/>
      <c r="H22" s="60"/>
      <c r="I22" s="60"/>
    </row>
    <row r="23" spans="2:9" ht="13.8" thickBot="1" x14ac:dyDescent="0.3"/>
    <row r="24" spans="2:9" x14ac:dyDescent="0.25">
      <c r="B24" s="73"/>
      <c r="C24" s="74"/>
      <c r="D24" s="74"/>
      <c r="E24" s="74"/>
      <c r="F24" s="74" t="s">
        <v>17</v>
      </c>
      <c r="G24" s="74"/>
      <c r="H24" s="74"/>
      <c r="I24" s="76"/>
    </row>
    <row r="25" spans="2:9" ht="15.6" x14ac:dyDescent="0.35">
      <c r="B25" s="77"/>
      <c r="C25" s="142" t="s">
        <v>15</v>
      </c>
      <c r="D25" s="143" t="s">
        <v>5</v>
      </c>
      <c r="E25" s="142" t="s">
        <v>4</v>
      </c>
      <c r="F25" s="143" t="s">
        <v>6</v>
      </c>
      <c r="G25" s="143" t="s">
        <v>7</v>
      </c>
      <c r="H25" s="143" t="s">
        <v>16</v>
      </c>
      <c r="I25" s="146" t="s">
        <v>18</v>
      </c>
    </row>
    <row r="26" spans="2:9" x14ac:dyDescent="0.25">
      <c r="B26" s="212" t="s">
        <v>147</v>
      </c>
      <c r="C26" s="201">
        <f>E20</f>
        <v>8.8722539923858756E-4</v>
      </c>
      <c r="D26" s="219">
        <f>E21</f>
        <v>3.1052888973350564E-4</v>
      </c>
      <c r="E26" s="219">
        <f>E22</f>
        <v>4.7022946159645137E-5</v>
      </c>
      <c r="F26" s="141">
        <v>0</v>
      </c>
      <c r="G26" s="141">
        <v>0</v>
      </c>
      <c r="H26" s="141">
        <v>0</v>
      </c>
      <c r="I26" s="147">
        <v>0</v>
      </c>
    </row>
    <row r="27" spans="2:9" ht="13.8" thickBot="1" x14ac:dyDescent="0.3">
      <c r="B27" s="148"/>
      <c r="C27" s="145"/>
      <c r="D27" s="145"/>
      <c r="E27" s="145"/>
      <c r="F27" s="145"/>
      <c r="G27" s="145"/>
      <c r="H27" s="145"/>
      <c r="I27" s="149"/>
    </row>
    <row r="28" spans="2:9" ht="13.8" thickTop="1" x14ac:dyDescent="0.25">
      <c r="B28" s="77"/>
      <c r="C28" s="140"/>
      <c r="D28" s="140"/>
      <c r="E28" s="140"/>
      <c r="F28" s="140"/>
      <c r="G28" s="140"/>
      <c r="H28" s="140"/>
      <c r="I28" s="164"/>
    </row>
    <row r="29" spans="2:9" x14ac:dyDescent="0.25">
      <c r="B29" s="77" t="s">
        <v>24</v>
      </c>
      <c r="C29" s="220">
        <f>C26</f>
        <v>8.8722539923858756E-4</v>
      </c>
      <c r="D29" s="221">
        <f t="shared" ref="D29:E29" si="0">D26</f>
        <v>3.1052888973350564E-4</v>
      </c>
      <c r="E29" s="221">
        <f t="shared" si="0"/>
        <v>4.7022946159645137E-5</v>
      </c>
      <c r="F29" s="217">
        <v>0</v>
      </c>
      <c r="G29" s="217">
        <v>0</v>
      </c>
      <c r="H29" s="217">
        <v>0</v>
      </c>
      <c r="I29" s="218">
        <v>0</v>
      </c>
    </row>
    <row r="30" spans="2:9" ht="13.8" thickBot="1" x14ac:dyDescent="0.3">
      <c r="B30" s="214"/>
      <c r="C30" s="215"/>
      <c r="D30" s="215"/>
      <c r="E30" s="215"/>
      <c r="F30" s="215"/>
      <c r="G30" s="215"/>
      <c r="H30" s="215"/>
      <c r="I30" s="216"/>
    </row>
    <row r="32" spans="2:9" x14ac:dyDescent="0.25">
      <c r="B32" s="60" t="s">
        <v>9</v>
      </c>
    </row>
    <row r="33" spans="1:9" x14ac:dyDescent="0.25">
      <c r="B33" s="60" t="s">
        <v>145</v>
      </c>
    </row>
    <row r="36" spans="1:9" x14ac:dyDescent="0.25">
      <c r="A36" s="1" t="s">
        <v>203</v>
      </c>
      <c r="B36" s="181"/>
      <c r="C36" s="181"/>
      <c r="D36" s="181"/>
      <c r="E36" s="181"/>
      <c r="F36" s="181"/>
      <c r="G36" s="181"/>
      <c r="H36" s="181"/>
      <c r="I36" s="3"/>
    </row>
    <row r="37" spans="1:9" x14ac:dyDescent="0.25">
      <c r="A37" s="181"/>
      <c r="B37" s="181"/>
      <c r="C37" s="181"/>
      <c r="D37" s="181"/>
      <c r="E37" s="181"/>
      <c r="F37" s="181"/>
      <c r="G37" s="181"/>
      <c r="H37" s="181"/>
      <c r="I37" s="3"/>
    </row>
    <row r="38" spans="1:9" x14ac:dyDescent="0.25">
      <c r="A38" s="3" t="s">
        <v>100</v>
      </c>
      <c r="B38" s="3"/>
      <c r="C38" s="3"/>
      <c r="D38" s="3"/>
      <c r="E38" s="3"/>
      <c r="F38" s="3"/>
      <c r="G38" s="3"/>
      <c r="H38" s="3"/>
      <c r="I38" s="3"/>
    </row>
    <row r="39" spans="1:9" x14ac:dyDescent="0.25">
      <c r="A39" s="3"/>
      <c r="B39" s="199" t="s">
        <v>205</v>
      </c>
      <c r="C39" s="193">
        <v>0.5</v>
      </c>
      <c r="G39" s="3"/>
      <c r="H39" s="3"/>
      <c r="I39" s="3"/>
    </row>
    <row r="40" spans="1:9" x14ac:dyDescent="0.25">
      <c r="A40" s="3"/>
      <c r="B40" s="60" t="s">
        <v>202</v>
      </c>
      <c r="C40" s="3"/>
      <c r="D40" s="3"/>
      <c r="E40" s="3"/>
      <c r="F40" s="3"/>
      <c r="G40" s="3"/>
      <c r="H40" s="3"/>
      <c r="I40" s="3"/>
    </row>
    <row r="41" spans="1:9" x14ac:dyDescent="0.25">
      <c r="A41" s="3"/>
      <c r="B41" s="3"/>
      <c r="C41" s="3"/>
      <c r="D41" s="3"/>
      <c r="E41" s="3"/>
      <c r="F41" s="3"/>
      <c r="H41" s="199" t="s">
        <v>200</v>
      </c>
      <c r="I41" s="275">
        <f>C29*(1-C39)</f>
        <v>4.4361269961929378E-4</v>
      </c>
    </row>
    <row r="42" spans="1:9" x14ac:dyDescent="0.25">
      <c r="A42" s="3"/>
      <c r="B42" s="3"/>
      <c r="C42" s="3"/>
      <c r="D42" s="3"/>
      <c r="E42" s="3"/>
      <c r="F42" s="3"/>
      <c r="H42" s="199" t="s">
        <v>201</v>
      </c>
      <c r="I42" s="275">
        <f>D29*(1-C39)</f>
        <v>1.5526444486675282E-4</v>
      </c>
    </row>
  </sheetData>
  <mergeCells count="3">
    <mergeCell ref="A1:I1"/>
    <mergeCell ref="A2:I2"/>
    <mergeCell ref="A3:I3"/>
  </mergeCells>
  <pageMargins left="0.75" right="0.75" top="1" bottom="1" header="0.5" footer="0.5"/>
  <pageSetup orientation="portrait" r:id="rId1"/>
  <headerFooter alignWithMargins="0">
    <oddFooter>Page &amp;P of &amp;N</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Inputs</vt:lpstr>
      <vt:lpstr>Output</vt:lpstr>
      <vt:lpstr>Batch Mix Oper.</vt:lpstr>
      <vt:lpstr>Auxiliary Heater</vt:lpstr>
      <vt:lpstr>Non-Emergency Engine</vt:lpstr>
      <vt:lpstr>Emergency Generator</vt:lpstr>
      <vt:lpstr>Vehicle Traffic</vt:lpstr>
      <vt:lpstr>Storage Piles</vt:lpstr>
      <vt:lpstr>Solvent Degreaser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2013-04-16T19:19:21Z</cp:lastPrinted>
  <dcterms:created xsi:type="dcterms:W3CDTF">2007-09-11T16:38:45Z</dcterms:created>
  <dcterms:modified xsi:type="dcterms:W3CDTF">2016-06-14T13:31:33Z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