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final for web and docket\"/>
    </mc:Choice>
  </mc:AlternateContent>
  <bookViews>
    <workbookView xWindow="15960" yWindow="1335" windowWidth="23265" windowHeight="13185" tabRatio="852" activeTab="5"/>
  </bookViews>
  <sheets>
    <sheet name="Inputs" sheetId="8" r:id="rId1"/>
    <sheet name="Output" sheetId="13" r:id="rId2"/>
    <sheet name="DV-IDENTITY-0" sheetId="20" state="veryHidden" r:id="rId3"/>
    <sheet name="Printing" sheetId="32" r:id="rId4"/>
    <sheet name="Heaters" sheetId="4" r:id="rId5"/>
    <sheet name="Emergency Generator" sheetId="27" r:id="rId6"/>
  </sheets>
  <definedNames>
    <definedName name="_xlnm.Print_Area" localSheetId="0">Inputs!$A$1:$N$56</definedName>
    <definedName name="_xlnm.Print_Area" localSheetId="3">#REF!</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6" i="27" l="1"/>
  <c r="E44" i="27"/>
  <c r="F49" i="27" s="1"/>
  <c r="I49" i="27"/>
  <c r="E49" i="27"/>
  <c r="G32" i="32"/>
  <c r="J32" i="32"/>
  <c r="E32" i="32"/>
  <c r="F32" i="32"/>
  <c r="M32" i="32" s="1"/>
  <c r="H32" i="32"/>
  <c r="I32" i="32"/>
  <c r="N32" i="32"/>
  <c r="G14" i="32"/>
  <c r="J14" i="32"/>
  <c r="E14" i="32"/>
  <c r="N14" i="32" s="1"/>
  <c r="H14" i="32"/>
  <c r="I14" i="32"/>
  <c r="E15" i="32"/>
  <c r="J15" i="32"/>
  <c r="M15" i="32" s="1"/>
  <c r="G15" i="32"/>
  <c r="H15" i="32"/>
  <c r="I15" i="32"/>
  <c r="N15" i="32"/>
  <c r="E16" i="32"/>
  <c r="J16" i="32"/>
  <c r="G16" i="32"/>
  <c r="N16" i="32" s="1"/>
  <c r="H16" i="32"/>
  <c r="I16" i="32"/>
  <c r="E17" i="32"/>
  <c r="J17" i="32"/>
  <c r="M17" i="32" s="1"/>
  <c r="G17" i="32"/>
  <c r="H17" i="32"/>
  <c r="I17" i="32"/>
  <c r="N17" i="32"/>
  <c r="E18" i="32"/>
  <c r="J18" i="32"/>
  <c r="G18" i="32"/>
  <c r="N18" i="32" s="1"/>
  <c r="H18" i="32"/>
  <c r="I18" i="32"/>
  <c r="E19" i="32"/>
  <c r="J19" i="32"/>
  <c r="M19" i="32" s="1"/>
  <c r="G19" i="32"/>
  <c r="H19" i="32"/>
  <c r="I19" i="32"/>
  <c r="N19" i="32"/>
  <c r="E20" i="32"/>
  <c r="J20" i="32"/>
  <c r="G20" i="32"/>
  <c r="N20" i="32" s="1"/>
  <c r="H20" i="32"/>
  <c r="I20" i="32"/>
  <c r="E21" i="32"/>
  <c r="N21" i="32" s="1"/>
  <c r="K21" i="32"/>
  <c r="J21" i="32"/>
  <c r="G21" i="32"/>
  <c r="H21" i="32"/>
  <c r="I21" i="32"/>
  <c r="L21" i="32"/>
  <c r="E22" i="32"/>
  <c r="N22" i="32" s="1"/>
  <c r="K22" i="32"/>
  <c r="J22" i="32"/>
  <c r="G22" i="32"/>
  <c r="H22" i="32"/>
  <c r="I22" i="32"/>
  <c r="L22" i="32"/>
  <c r="E23" i="32"/>
  <c r="N23" i="32" s="1"/>
  <c r="K23" i="32"/>
  <c r="J23" i="32"/>
  <c r="G23" i="32"/>
  <c r="H23" i="32"/>
  <c r="I23" i="32"/>
  <c r="L23" i="32"/>
  <c r="E24" i="32"/>
  <c r="N24" i="32" s="1"/>
  <c r="K24" i="32"/>
  <c r="J24" i="32"/>
  <c r="G24" i="32"/>
  <c r="H24" i="32"/>
  <c r="I24" i="32"/>
  <c r="L24" i="32"/>
  <c r="E25" i="32"/>
  <c r="J25" i="32"/>
  <c r="M25" i="32" s="1"/>
  <c r="G25" i="32"/>
  <c r="H25" i="32"/>
  <c r="I25" i="32"/>
  <c r="N25" i="32"/>
  <c r="E26" i="32"/>
  <c r="K26" i="32"/>
  <c r="J26" i="32"/>
  <c r="G26" i="32"/>
  <c r="H26" i="32"/>
  <c r="I26" i="32"/>
  <c r="L26" i="32"/>
  <c r="N26" i="32"/>
  <c r="E27" i="32"/>
  <c r="K27" i="32"/>
  <c r="J27" i="32"/>
  <c r="M27" i="32" s="1"/>
  <c r="G27" i="32"/>
  <c r="H27" i="32"/>
  <c r="I27" i="32"/>
  <c r="L27" i="32"/>
  <c r="N27" i="32"/>
  <c r="E28" i="32"/>
  <c r="J28" i="32"/>
  <c r="G28" i="32"/>
  <c r="N28" i="32" s="1"/>
  <c r="H28" i="32"/>
  <c r="I28" i="32"/>
  <c r="E30" i="32"/>
  <c r="J30" i="32"/>
  <c r="G30" i="32"/>
  <c r="H30" i="32"/>
  <c r="I30" i="32"/>
  <c r="N30" i="32"/>
  <c r="E29" i="32"/>
  <c r="J29" i="32"/>
  <c r="G29" i="32"/>
  <c r="N29" i="32" s="1"/>
  <c r="H29" i="32"/>
  <c r="M29" i="32" s="1"/>
  <c r="I29" i="32"/>
  <c r="E31" i="32"/>
  <c r="J31" i="32"/>
  <c r="M31" i="32" s="1"/>
  <c r="G31" i="32"/>
  <c r="H31" i="32"/>
  <c r="I31" i="32"/>
  <c r="N31" i="32"/>
  <c r="F14" i="32"/>
  <c r="M14" i="32"/>
  <c r="F15" i="32"/>
  <c r="F16" i="32"/>
  <c r="M16" i="32"/>
  <c r="F17" i="32"/>
  <c r="F18" i="32"/>
  <c r="M18" i="32"/>
  <c r="F19" i="32"/>
  <c r="F20" i="32"/>
  <c r="M20" i="32"/>
  <c r="F21" i="32"/>
  <c r="F22" i="32"/>
  <c r="M22" i="32"/>
  <c r="F23" i="32"/>
  <c r="F24" i="32"/>
  <c r="M24" i="32"/>
  <c r="F25" i="32"/>
  <c r="F26" i="32"/>
  <c r="M26" i="32"/>
  <c r="F27" i="32"/>
  <c r="F28" i="32"/>
  <c r="M28" i="32"/>
  <c r="F29" i="32"/>
  <c r="F30" i="32"/>
  <c r="M30" i="32"/>
  <c r="F31" i="32"/>
  <c r="D4" i="4"/>
  <c r="E12" i="4"/>
  <c r="L17" i="4" s="1"/>
  <c r="D5" i="4"/>
  <c r="E27" i="4"/>
  <c r="H32" i="4" s="1"/>
  <c r="L32" i="4"/>
  <c r="I11" i="13" s="1"/>
  <c r="D6" i="4"/>
  <c r="E42" i="4"/>
  <c r="L47" i="4"/>
  <c r="I12" i="13"/>
  <c r="D5" i="27"/>
  <c r="E12" i="27"/>
  <c r="L17" i="27"/>
  <c r="E28" i="27"/>
  <c r="G33" i="27" s="1"/>
  <c r="L31" i="27"/>
  <c r="K17" i="4"/>
  <c r="H10" i="13" s="1"/>
  <c r="K47" i="4"/>
  <c r="H12" i="13" s="1"/>
  <c r="K17" i="27"/>
  <c r="G12" i="32"/>
  <c r="K15" i="32"/>
  <c r="L15" i="32"/>
  <c r="K16" i="32"/>
  <c r="L16" i="32"/>
  <c r="K17" i="32"/>
  <c r="L17" i="32"/>
  <c r="K18" i="32"/>
  <c r="L18" i="32"/>
  <c r="K19" i="32"/>
  <c r="L19" i="32"/>
  <c r="K20" i="32"/>
  <c r="L20" i="32"/>
  <c r="K25" i="32"/>
  <c r="L25" i="32"/>
  <c r="K28" i="32"/>
  <c r="L28" i="32"/>
  <c r="K29" i="32"/>
  <c r="L29" i="32"/>
  <c r="K30" i="32"/>
  <c r="L30" i="32"/>
  <c r="K31" i="32"/>
  <c r="L31" i="32"/>
  <c r="K32" i="32"/>
  <c r="L32" i="32"/>
  <c r="B22" i="32"/>
  <c r="B23" i="32"/>
  <c r="B24" i="32"/>
  <c r="B25" i="32"/>
  <c r="B26" i="32"/>
  <c r="B27" i="32"/>
  <c r="B28" i="32"/>
  <c r="B29" i="32"/>
  <c r="B30" i="32"/>
  <c r="B31" i="32"/>
  <c r="B32" i="32"/>
  <c r="B21" i="32"/>
  <c r="B20" i="32"/>
  <c r="B19" i="32"/>
  <c r="B18" i="32"/>
  <c r="B17" i="32"/>
  <c r="B16" i="32"/>
  <c r="B15" i="32"/>
  <c r="K14" i="32"/>
  <c r="L14" i="32"/>
  <c r="B14" i="32"/>
  <c r="F12" i="32"/>
  <c r="I12" i="32"/>
  <c r="E12" i="32"/>
  <c r="E33" i="32"/>
  <c r="F33" i="32"/>
  <c r="H33" i="32"/>
  <c r="B14" i="13"/>
  <c r="I27" i="4"/>
  <c r="H30" i="4"/>
  <c r="I42" i="4"/>
  <c r="H45" i="4"/>
  <c r="I28" i="27"/>
  <c r="H31" i="27"/>
  <c r="F14" i="13"/>
  <c r="L15" i="27"/>
  <c r="K47" i="27"/>
  <c r="H21" i="8"/>
  <c r="A1" i="32"/>
  <c r="A1" i="27"/>
  <c r="A1" i="4"/>
  <c r="A1" i="13"/>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F9"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HV42" i="20"/>
  <c r="AA32" i="20"/>
  <c r="AL34" i="20"/>
  <c r="HU42" i="20"/>
  <c r="M76" i="20"/>
  <c r="AM34" i="20"/>
  <c r="AS25" i="20"/>
  <c r="HW42" i="20"/>
  <c r="GI68" i="20"/>
  <c r="GC68" i="20"/>
  <c r="GB68" i="20"/>
  <c r="FY68" i="20"/>
  <c r="O17" i="20"/>
  <c r="AT25" i="20"/>
  <c r="FZ68" i="20"/>
  <c r="GE68" i="20"/>
  <c r="GD68" i="20"/>
  <c r="J10" i="20"/>
  <c r="F40" i="20"/>
  <c r="K18" i="20"/>
  <c r="J11" i="20"/>
  <c r="J12" i="20"/>
  <c r="BY18" i="20"/>
  <c r="BZ18" i="20"/>
  <c r="J13" i="20"/>
  <c r="CC18" i="20"/>
  <c r="CB18" i="20"/>
  <c r="CD18" i="20"/>
  <c r="Q32" i="20"/>
  <c r="L27" i="20"/>
  <c r="CA18" i="20"/>
  <c r="AQ25" i="20"/>
  <c r="AR25" i="20"/>
  <c r="FI13" i="20"/>
  <c r="FE13" i="20"/>
  <c r="HR42" i="20"/>
  <c r="HQ42" i="20"/>
  <c r="FH13" i="20"/>
  <c r="HS42" i="20"/>
  <c r="HT42" i="20"/>
  <c r="AG34" i="20"/>
  <c r="AH34" i="20"/>
  <c r="A9" i="20"/>
  <c r="AI34" i="20"/>
  <c r="B9" i="20"/>
  <c r="D9" i="20"/>
  <c r="C9" i="20"/>
  <c r="Z32" i="20"/>
  <c r="F17" i="27"/>
  <c r="J17" i="27"/>
  <c r="I17" i="27"/>
  <c r="H17" i="27"/>
  <c r="G17" i="27"/>
  <c r="D13" i="13" s="1"/>
  <c r="J47" i="4"/>
  <c r="G12" i="13"/>
  <c r="I47" i="4"/>
  <c r="F12" i="13"/>
  <c r="H47" i="4"/>
  <c r="E12" i="13"/>
  <c r="G47" i="4"/>
  <c r="D12" i="13"/>
  <c r="F47" i="4"/>
  <c r="C12" i="13"/>
  <c r="J32" i="4"/>
  <c r="I32" i="4"/>
  <c r="W32" i="20" s="1"/>
  <c r="F32" i="4"/>
  <c r="J17" i="4"/>
  <c r="G10" i="13" s="1"/>
  <c r="F17" i="4"/>
  <c r="C10" i="13" s="1"/>
  <c r="E17" i="27"/>
  <c r="E47" i="4"/>
  <c r="B12" i="13"/>
  <c r="F9" i="4"/>
  <c r="J9" i="4"/>
  <c r="F11" i="13"/>
  <c r="T32" i="20"/>
  <c r="C11" i="13"/>
  <c r="X32" i="20"/>
  <c r="G11" i="13"/>
  <c r="E11" i="13" l="1"/>
  <c r="V32" i="20"/>
  <c r="L9" i="4"/>
  <c r="I10" i="13"/>
  <c r="N36" i="32"/>
  <c r="I9" i="13" s="1"/>
  <c r="E9" i="20" s="1"/>
  <c r="C14" i="13"/>
  <c r="I33" i="27"/>
  <c r="I9" i="27" s="1"/>
  <c r="E33" i="27"/>
  <c r="B13" i="13" s="1"/>
  <c r="K32" i="4"/>
  <c r="L33" i="27"/>
  <c r="M23" i="32"/>
  <c r="M21" i="32"/>
  <c r="M36" i="32" s="1"/>
  <c r="H9" i="13" s="1"/>
  <c r="K49" i="27"/>
  <c r="G49" i="27"/>
  <c r="K33" i="27"/>
  <c r="H13" i="13" s="1"/>
  <c r="G17" i="4"/>
  <c r="F33" i="27"/>
  <c r="C13" i="13" s="1"/>
  <c r="C16" i="13" s="1"/>
  <c r="L49" i="27"/>
  <c r="I14" i="13" s="1"/>
  <c r="H49" i="27"/>
  <c r="E17" i="4"/>
  <c r="H17" i="4"/>
  <c r="G32" i="4"/>
  <c r="E32" i="4"/>
  <c r="I17" i="4"/>
  <c r="J33" i="27"/>
  <c r="G13" i="13" s="1"/>
  <c r="H33" i="27"/>
  <c r="E13" i="13" s="1"/>
  <c r="J49" i="27"/>
  <c r="G16" i="13" l="1"/>
  <c r="I9" i="4"/>
  <c r="F10" i="13"/>
  <c r="B10" i="13"/>
  <c r="E9" i="4"/>
  <c r="G9" i="4"/>
  <c r="D10" i="13"/>
  <c r="H14" i="13"/>
  <c r="K9" i="27"/>
  <c r="H11" i="13"/>
  <c r="H16" i="13" s="1"/>
  <c r="Y32" i="20"/>
  <c r="K9" i="4"/>
  <c r="F13" i="13"/>
  <c r="E9" i="27"/>
  <c r="J9" i="27"/>
  <c r="G14" i="13"/>
  <c r="S32" i="20"/>
  <c r="B11" i="13"/>
  <c r="H9" i="27"/>
  <c r="E14" i="13"/>
  <c r="F9" i="27"/>
  <c r="U32" i="20"/>
  <c r="D11" i="13"/>
  <c r="E10" i="13"/>
  <c r="E16" i="13" s="1"/>
  <c r="H9" i="4"/>
  <c r="G9" i="27"/>
  <c r="D14" i="13"/>
  <c r="L9" i="27"/>
  <c r="I13" i="13"/>
  <c r="I16" i="13" s="1"/>
  <c r="F16" i="13" l="1"/>
  <c r="D16" i="13"/>
  <c r="B16" i="13"/>
</calcChain>
</file>

<file path=xl/sharedStrings.xml><?xml version="1.0" encoding="utf-8"?>
<sst xmlns="http://schemas.openxmlformats.org/spreadsheetml/2006/main" count="316" uniqueCount="143">
  <si>
    <t>%</t>
  </si>
  <si>
    <t>Purple values are pulled from other worksheet</t>
  </si>
  <si>
    <t>Y</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</si>
  <si>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</si>
  <si>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</si>
  <si>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</si>
  <si>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</si>
  <si>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</si>
  <si>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</si>
  <si>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(hp)</t>
  </si>
  <si>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</si>
  <si>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</si>
  <si>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</si>
  <si>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</si>
  <si>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</si>
  <si>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</si>
  <si>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</si>
  <si>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</si>
  <si>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</si>
  <si>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</si>
  <si>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</si>
  <si>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</si>
  <si>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</si>
  <si>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</si>
  <si>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</si>
  <si>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</si>
  <si>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</si>
  <si>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</si>
  <si>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</si>
  <si>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</si>
  <si>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</si>
  <si>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</si>
  <si>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</si>
  <si>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</si>
  <si>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</si>
  <si>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</si>
  <si>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</si>
  <si>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</si>
  <si>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</si>
  <si>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</si>
  <si>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</si>
  <si>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</si>
  <si>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t xml:space="preserve">Enter the facility's information below. 
Write the letter "Y" or "N" next to each fuel type to indicate that the facility does or does not burn that type of fuel. </t>
  </si>
  <si>
    <r>
      <t>Emission Factor</t>
    </r>
    <r>
      <rPr>
        <vertAlign val="superscript"/>
        <sz val="10"/>
        <rFont val="Arial"/>
        <family val="2"/>
      </rPr>
      <t>1</t>
    </r>
    <r>
      <rPr>
        <sz val="10"/>
        <rFont val="Arial"/>
        <family val="2"/>
      </rPr>
      <t xml:space="preserve"> (lbs/hp-hr)</t>
    </r>
  </si>
  <si>
    <t>Default = 0.0015</t>
    <phoneticPr fontId="2" type="noConversion"/>
  </si>
  <si>
    <t>Process</t>
  </si>
  <si>
    <t>N</t>
  </si>
  <si>
    <t>2. Assume PM emissions are equal to PM10 emissions</t>
  </si>
  <si>
    <t>4. Assume 500 hours/yr of operation for an emergency engine</t>
  </si>
  <si>
    <t>MMBtu = million British thermal units</t>
  </si>
  <si>
    <t>Default = 0.0015</t>
  </si>
  <si>
    <t>Fuel Sulfur %</t>
  </si>
  <si>
    <t>Natural Gas-fired Auxiliary Heater(s) Capacity -</t>
  </si>
  <si>
    <t>Propane-fired Auxiliary Heater(s) Capacity -</t>
  </si>
  <si>
    <t>Distillate/Diesel-fired Auxiliary Heater(s) Capacity -</t>
  </si>
  <si>
    <t>This calculator does not calculate non-emergency engines. Contact your reviewing authority if you use non-emergency engines to power your operations.</t>
  </si>
  <si>
    <t>Diesel-fired Emergency Generator Engine Size:</t>
  </si>
  <si>
    <t>Gasoline-fired Emergency Generator Engine Size:</t>
  </si>
  <si>
    <t>Diesel-fired Emergency Generator(s) Size -</t>
  </si>
  <si>
    <t>Gasoline-fired Emergency Generator(s) Size -</t>
  </si>
  <si>
    <t>Natural Gas-fired Auxiliary Heater(s)</t>
  </si>
  <si>
    <t>Propane-fired Auxiliary Heater(s)</t>
  </si>
  <si>
    <t>Distillate/Diesel-fired Auxiliary Heater(s)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</si>
  <si>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</si>
  <si>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</si>
  <si>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</si>
  <si>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</si>
  <si>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</si>
  <si>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</si>
  <si>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Emissions from Emergency Generator Engine - Criteria Pollutants and Hazardous Air Pollutants</t>
  </si>
  <si>
    <t>Liquid Fuel</t>
  </si>
  <si>
    <r>
      <t>Emission Factor</t>
    </r>
    <r>
      <rPr>
        <vertAlign val="superscript"/>
        <sz val="10"/>
        <rFont val="Arial"/>
        <family val="2"/>
      </rPr>
      <t>1</t>
    </r>
    <r>
      <rPr>
        <sz val="10"/>
        <rFont val="Arial"/>
        <family val="2"/>
      </rPr>
      <t xml:space="preserve"> (lb/MMSCF)</t>
    </r>
  </si>
  <si>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</si>
  <si>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</si>
  <si>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</si>
  <si>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Used</t>
  </si>
  <si>
    <t>-</t>
  </si>
  <si>
    <t>1. Emission factors are from AP-42, Chapter 1.3, Tables 1.3-1, 1.3-2, 1.3-3, 1.3-9, and 1.3-10 for Fuel Oil Combustion (updated 05/10).</t>
  </si>
  <si>
    <t>1. Emission factors are from AP-42, Chapter 1.4, Tables 1.4-1, 1.4-2, 1.4-3, and 1.4-4 (updated 07/98).</t>
  </si>
  <si>
    <t>Emissions from Auxiliary Heaters - Criteria Pollutants and Hazardous Air Pollutants</t>
  </si>
  <si>
    <t>Summary - Total Potential to Emit</t>
  </si>
  <si>
    <t>Total PTE (ton/yr)</t>
  </si>
  <si>
    <t>If you have emergency engines on-site, enter the type of engine, the type of fuel used, and the power rating.</t>
  </si>
  <si>
    <t>Materials Usage Profile</t>
  </si>
  <si>
    <t>Digital Press(es)</t>
  </si>
  <si>
    <t>Varnish</t>
  </si>
  <si>
    <t>Coating</t>
  </si>
  <si>
    <t>Blanket Wash</t>
  </si>
  <si>
    <t>Solvent</t>
  </si>
  <si>
    <t>Fountain Solution</t>
  </si>
  <si>
    <t>[Other: specify]</t>
  </si>
  <si>
    <t>% VOC</t>
  </si>
  <si>
    <t>Actual Usage (lb/yr)</t>
  </si>
  <si>
    <t>Operating Hours (hr/yr)</t>
  </si>
  <si>
    <t>#</t>
  </si>
  <si>
    <r>
      <t>Material Used</t>
    </r>
    <r>
      <rPr>
        <b/>
        <vertAlign val="superscript"/>
        <sz val="10"/>
        <rFont val="Arial"/>
        <family val="2"/>
      </rPr>
      <t>1</t>
    </r>
  </si>
  <si>
    <t>Other Press(es)</t>
  </si>
  <si>
    <t>Control Efficiency (%)</t>
  </si>
  <si>
    <t>VOC Emissions From Printing Operations</t>
  </si>
  <si>
    <t>Materials Used</t>
  </si>
  <si>
    <t>PTE VOC (ton/yr)</t>
  </si>
  <si>
    <t>Control?</t>
  </si>
  <si>
    <t>% Usage Controlled</t>
  </si>
  <si>
    <t>Control Eff. (%)</t>
  </si>
  <si>
    <r>
      <rPr>
        <vertAlign val="superscript"/>
        <sz val="10"/>
        <rFont val="Arial"/>
        <family val="2"/>
      </rPr>
      <t>2</t>
    </r>
    <r>
      <rPr>
        <sz val="10"/>
        <rFont val="Arial"/>
        <family val="2"/>
      </rPr>
      <t xml:space="preserve"> 95% of the ink VOC content is retained in offset lithographic printing operations using non-heatset inks. Therefore, flash-off is 5%.  (U.S. EPA "Control Techniques Guidelines for Offset Lithographic Printing and Letterpress Printing" EPA 453/R-06-002 (10/06))</t>
    </r>
  </si>
  <si>
    <r>
      <rPr>
        <vertAlign val="superscript"/>
        <sz val="10"/>
        <rFont val="Arial"/>
        <family val="2"/>
      </rPr>
      <t>4</t>
    </r>
    <r>
      <rPr>
        <sz val="10"/>
        <rFont val="Arial"/>
        <family val="2"/>
      </rPr>
      <t xml:space="preserve"> For each material type, indicate the approximate percent of total usage in presses whose emissions are controlled. Example: if VOC emissions from all heatset inks used in  presses are controlled, indicate 100%. If 50% of solvents are used in presses whose emissions are controlled, indicate 50%.</t>
    </r>
  </si>
  <si>
    <r>
      <t xml:space="preserve">% Flash-Off </t>
    </r>
    <r>
      <rPr>
        <b/>
        <vertAlign val="superscript"/>
        <sz val="10"/>
        <rFont val="Arial"/>
        <family val="2"/>
      </rPr>
      <t>2</t>
    </r>
  </si>
  <si>
    <r>
      <t xml:space="preserve">Are VOC Emissions Controlled? (Y or N) </t>
    </r>
    <r>
      <rPr>
        <b/>
        <vertAlign val="superscript"/>
        <sz val="10"/>
        <rFont val="Arial"/>
        <family val="2"/>
      </rPr>
      <t>3</t>
    </r>
  </si>
  <si>
    <r>
      <t xml:space="preserve">If Yes, Indicate % of Total VOC Usage Controlled (%) </t>
    </r>
    <r>
      <rPr>
        <b/>
        <vertAlign val="superscript"/>
        <sz val="10"/>
        <rFont val="Arial"/>
        <family val="2"/>
      </rPr>
      <t>4</t>
    </r>
  </si>
  <si>
    <t>Printing Operations</t>
  </si>
  <si>
    <t>If you have space heating, enter the fuel type used, and the total heat capacity of the heaters. Include any heaters used for heatset presses here.</t>
  </si>
  <si>
    <t>The potential emissions of criteria pollutants for the facility will be displayed under the "Output" tab.</t>
  </si>
  <si>
    <t xml:space="preserve">Enter the amounts and types of materials used, their VOC content, their % flash-off, the number of actual hours of operation, and information on controls, if any. </t>
  </si>
  <si>
    <t>hp = horsepower</t>
  </si>
  <si>
    <t>PTE VOC (ton/yr) = Actual Usage (lb/yr) x % VOC x % Flash-Off x 8760 hr/yr / Operating Hours (hr/yr) x (1 - (% Usage Controlled/100 x Control Efficiency/100)) x 1 ton/2000 lb</t>
  </si>
  <si>
    <t>1.  95% of the ink VOC content is retained in offset lithographic printing operations using non-heatset inks. Therefore, flash-off is 5%.  (U.S. EPA "Control Techniques Guidelines for Offset Lithographic Printing and Letterpress Printing" EPA 453/R-06-002 (10/06))</t>
  </si>
  <si>
    <t xml:space="preserve">Notes: </t>
  </si>
  <si>
    <t>Enter percents as whole numbers ('5' for five percent, '50' for 50 percent).</t>
  </si>
  <si>
    <t>Emissions from Printing Operations - Criteria Pollutants</t>
  </si>
  <si>
    <t>Lithographic Press(es)</t>
  </si>
  <si>
    <t>Gravure Press(es)</t>
  </si>
  <si>
    <t>Flexographic Press(es)</t>
  </si>
  <si>
    <t>Letterpress Press(es)</t>
  </si>
  <si>
    <t>Screen Printing Press(es)</t>
  </si>
  <si>
    <t xml:space="preserve"> Ink #1 (specify)</t>
  </si>
  <si>
    <t xml:space="preserve"> Ink #2 (specify)</t>
  </si>
  <si>
    <t xml:space="preserve"> Ink #3 (specify)</t>
  </si>
  <si>
    <t xml:space="preserve"> Ink #4 (specify)</t>
  </si>
  <si>
    <t xml:space="preserve"> Ink #5 (specify)</t>
  </si>
  <si>
    <t xml:space="preserve"> Ink #6 (specify)</t>
  </si>
  <si>
    <t xml:space="preserve"> Ink #7 (specify)</t>
  </si>
  <si>
    <r>
      <rPr>
        <vertAlign val="superscript"/>
        <sz val="10"/>
        <rFont val="Arial"/>
        <family val="2"/>
      </rPr>
      <t>1</t>
    </r>
    <r>
      <rPr>
        <sz val="10"/>
        <rFont val="Arial"/>
        <family val="2"/>
      </rPr>
      <t xml:space="preserve"> EPA realizes that a printing operation may use dozens of different types of inks, varnishes, coatings,  fountain solutions, washes and solvents in their operations.  For each type of material (inks, washes solvents, etc) enter the specifications for each of the materials in use. If you need to add extra rows, insert rows on this page and on the "Printing" tab and copy down from the row above.</t>
    </r>
  </si>
  <si>
    <r>
      <t xml:space="preserve">% Flash-Off </t>
    </r>
    <r>
      <rPr>
        <b/>
        <vertAlign val="superscript"/>
        <sz val="10"/>
        <rFont val="Arial"/>
        <family val="2"/>
      </rPr>
      <t>1</t>
    </r>
  </si>
  <si>
    <t>% HAP</t>
  </si>
  <si>
    <t>HAP</t>
  </si>
  <si>
    <t>PTE HAP (ton/yr)</t>
  </si>
  <si>
    <t>Directions:</t>
  </si>
  <si>
    <t>Potential To Emit Calculator for Graphic Arts and Printing Operations</t>
  </si>
  <si>
    <r>
      <rPr>
        <vertAlign val="superscript"/>
        <sz val="10"/>
        <rFont val="Arial"/>
        <family val="2"/>
      </rPr>
      <t>3</t>
    </r>
    <r>
      <rPr>
        <sz val="10"/>
        <rFont val="Arial"/>
        <family val="2"/>
      </rPr>
      <t xml:space="preserve"> Control would be by thermal incinerator, vapor combustor, carbon adsorber, etc.  If VOC emissions from any of the presses are controlled, indicate "Y".</t>
    </r>
  </si>
  <si>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</si>
  <si>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Diesel-fired Emergency Generator(s)*</t>
  </si>
  <si>
    <t>Gasoline-fired Emergency Generator(s)*</t>
  </si>
  <si>
    <t>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</si>
</sst>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0.0000"/>
  </numFmts>
  <fonts count="27"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amily val="2"/>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indexed="10"/>
      <name val="Arial"/>
      <family val="2"/>
    </font>
    <font>
      <sz val="10"/>
      <color rgb="FF7030A0"/>
      <name val="Arial"/>
      <family val="2"/>
    </font>
    <font>
      <b/>
      <sz val="10"/>
      <color rgb="FF0070C0"/>
      <name val="Arial"/>
      <family val="2"/>
    </font>
    <font>
      <sz val="10"/>
      <color rgb="FF0070C0"/>
      <name val="Arial"/>
      <family val="2"/>
    </font>
    <font>
      <sz val="8"/>
      <name val="Verdana"/>
      <family val="2"/>
    </font>
    <font>
      <sz val="10"/>
      <name val="Arial"/>
      <family val="2"/>
    </font>
    <font>
      <u/>
      <sz val="10"/>
      <color theme="10"/>
      <name val="Arial"/>
      <family val="2"/>
    </font>
    <font>
      <u/>
      <sz val="10"/>
      <color theme="11"/>
      <name val="Arial"/>
      <family val="2"/>
    </font>
    <font>
      <sz val="10"/>
      <color rgb="FFFF0000"/>
      <name val="Arial"/>
      <family val="2"/>
    </font>
    <font>
      <sz val="12"/>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71">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thin">
        <color auto="1"/>
      </left>
      <right style="medium">
        <color auto="1"/>
      </right>
      <top/>
      <bottom/>
      <diagonal/>
    </border>
    <border>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n">
        <color auto="1"/>
      </bottom>
      <diagonal/>
    </border>
    <border>
      <left style="thin">
        <color auto="1"/>
      </left>
      <right/>
      <top/>
      <bottom style="double">
        <color auto="1"/>
      </bottom>
      <diagonal/>
    </border>
    <border>
      <left style="medium">
        <color auto="1"/>
      </left>
      <right/>
      <top/>
      <bottom style="double">
        <color auto="1"/>
      </bottom>
      <diagonal/>
    </border>
    <border>
      <left style="thin">
        <color auto="1"/>
      </left>
      <right style="medium">
        <color auto="1"/>
      </right>
      <top/>
      <bottom style="double">
        <color auto="1"/>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style="thin">
        <color auto="1"/>
      </bottom>
      <diagonal/>
    </border>
    <border>
      <left style="thin">
        <color auto="1"/>
      </left>
      <right style="medium">
        <color auto="1"/>
      </right>
      <top style="double">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style="thin">
        <color auto="1"/>
      </left>
      <right/>
      <top style="double">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bottom style="medium">
        <color auto="1"/>
      </bottom>
      <diagonal/>
    </border>
    <border>
      <left/>
      <right style="thick">
        <color auto="1"/>
      </right>
      <top/>
      <bottom/>
      <diagonal/>
    </border>
    <border>
      <left/>
      <right style="thick">
        <color auto="1"/>
      </right>
      <top/>
      <bottom style="thick">
        <color auto="1"/>
      </bottom>
      <diagonal/>
    </border>
    <border>
      <left style="thin">
        <color auto="1"/>
      </left>
      <right style="thick">
        <color auto="1"/>
      </right>
      <top/>
      <bottom/>
      <diagonal/>
    </border>
  </borders>
  <cellStyleXfs count="21">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52">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7" fillId="0" borderId="0" xfId="0" applyFont="1"/>
    <xf numFmtId="0" fontId="0" fillId="0" borderId="0" xfId="0" applyNumberFormat="1" applyAlignment="1">
      <alignment horizontal="left" vertical="top" wrapText="1"/>
    </xf>
    <xf numFmtId="0" fontId="5" fillId="0" borderId="0" xfId="0" applyFont="1" applyBorder="1"/>
    <xf numFmtId="0" fontId="9" fillId="0" borderId="0" xfId="0" applyFont="1" applyAlignment="1"/>
    <xf numFmtId="14" fontId="0" fillId="0" borderId="0" xfId="0" applyNumberFormat="1" applyAlignment="1"/>
    <xf numFmtId="0" fontId="17" fillId="0" borderId="0" xfId="0" applyFont="1"/>
    <xf numFmtId="0" fontId="5" fillId="0" borderId="2" xfId="0" applyFont="1" applyBorder="1"/>
    <xf numFmtId="14" fontId="16" fillId="0" borderId="0" xfId="0" applyNumberFormat="1" applyFont="1" applyAlignment="1">
      <alignment horizontal="left" vertical="top" wrapText="1"/>
    </xf>
    <xf numFmtId="0" fontId="11" fillId="0" borderId="0" xfId="0" applyFont="1"/>
    <xf numFmtId="0" fontId="12" fillId="0" borderId="0" xfId="0" applyFont="1"/>
    <xf numFmtId="0" fontId="13" fillId="0" borderId="0" xfId="0" applyFont="1"/>
    <xf numFmtId="0" fontId="5" fillId="0" borderId="6" xfId="0" applyFont="1" applyBorder="1" applyAlignment="1">
      <alignment horizontal="center"/>
    </xf>
    <xf numFmtId="0" fontId="5" fillId="0" borderId="3" xfId="0" applyFont="1" applyBorder="1"/>
    <xf numFmtId="14" fontId="17" fillId="0" borderId="0" xfId="0" applyNumberFormat="1" applyFont="1" applyAlignment="1">
      <alignment horizontal="left" vertical="top" wrapText="1"/>
    </xf>
    <xf numFmtId="14" fontId="5" fillId="0" borderId="0" xfId="0" applyNumberFormat="1" applyFont="1" applyAlignment="1">
      <alignment horizontal="left" vertical="top" wrapText="1"/>
    </xf>
    <xf numFmtId="0" fontId="5" fillId="0" borderId="5" xfId="0" applyFont="1" applyBorder="1"/>
    <xf numFmtId="0" fontId="13" fillId="0" borderId="0" xfId="0" applyFont="1" applyBorder="1"/>
    <xf numFmtId="0" fontId="12" fillId="0" borderId="0" xfId="0" applyFont="1" applyBorder="1"/>
    <xf numFmtId="0" fontId="0" fillId="0" borderId="0" xfId="0" applyFont="1" applyFill="1" applyBorder="1" applyAlignment="1">
      <alignment horizontal="center"/>
    </xf>
    <xf numFmtId="166" fontId="13" fillId="0" borderId="0" xfId="0" applyNumberFormat="1" applyFont="1" applyBorder="1" applyAlignment="1">
      <alignment horizontal="center"/>
    </xf>
    <xf numFmtId="0" fontId="13" fillId="0" borderId="0"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0" borderId="0" xfId="0" applyFont="1" applyBorder="1"/>
    <xf numFmtId="0" fontId="5" fillId="2" borderId="8" xfId="0" applyFont="1"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5" fillId="0" borderId="13" xfId="0" applyFont="1" applyBorder="1" applyAlignment="1">
      <alignment horizontal="center"/>
    </xf>
    <xf numFmtId="166" fontId="5" fillId="0" borderId="14" xfId="0" applyNumberFormat="1" applyFont="1" applyBorder="1" applyAlignment="1">
      <alignment horizontal="center"/>
    </xf>
    <xf numFmtId="0" fontId="5" fillId="2" borderId="7" xfId="0" applyFont="1" applyFill="1" applyBorder="1" applyAlignment="1">
      <alignment horizontal="center"/>
    </xf>
    <xf numFmtId="0" fontId="5" fillId="0" borderId="15" xfId="0" applyFont="1" applyBorder="1"/>
    <xf numFmtId="0" fontId="5" fillId="0" borderId="6" xfId="0" applyFont="1" applyBorder="1"/>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166" fontId="5" fillId="0" borderId="16" xfId="0" applyNumberFormat="1" applyFont="1" applyBorder="1" applyAlignment="1">
      <alignment horizontal="center"/>
    </xf>
    <xf numFmtId="2" fontId="18" fillId="0" borderId="13" xfId="0" applyNumberFormat="1" applyFont="1" applyBorder="1" applyAlignment="1">
      <alignment horizontal="center"/>
    </xf>
    <xf numFmtId="2" fontId="18" fillId="0" borderId="9" xfId="0" applyNumberFormat="1" applyFont="1" applyBorder="1" applyAlignment="1">
      <alignment horizontal="center"/>
    </xf>
    <xf numFmtId="3" fontId="17" fillId="0" borderId="0" xfId="0" applyNumberFormat="1" applyFont="1"/>
    <xf numFmtId="0" fontId="19" fillId="0" borderId="0" xfId="0" applyFont="1"/>
    <xf numFmtId="0" fontId="5" fillId="0" borderId="0" xfId="0" applyFont="1" applyFill="1" applyBorder="1" applyAlignment="1">
      <alignment horizontal="center"/>
    </xf>
    <xf numFmtId="0" fontId="16" fillId="0" borderId="0" xfId="0" applyFont="1"/>
    <xf numFmtId="11" fontId="5" fillId="0" borderId="18" xfId="0" applyNumberFormat="1" applyFont="1" applyBorder="1" applyAlignment="1">
      <alignment horizontal="center"/>
    </xf>
    <xf numFmtId="11" fontId="5" fillId="0" borderId="16" xfId="0" applyNumberFormat="1" applyFont="1" applyBorder="1" applyAlignment="1">
      <alignment horizontal="center"/>
    </xf>
    <xf numFmtId="11" fontId="5" fillId="0" borderId="17" xfId="0" applyNumberFormat="1" applyFont="1" applyBorder="1" applyAlignment="1">
      <alignment horizontal="center"/>
    </xf>
    <xf numFmtId="11" fontId="5" fillId="0" borderId="6" xfId="0" applyNumberFormat="1" applyFont="1" applyBorder="1" applyAlignment="1">
      <alignment horizontal="center"/>
    </xf>
    <xf numFmtId="0" fontId="9" fillId="0" borderId="0" xfId="0" applyFont="1" applyAlignment="1">
      <alignment horizontal="center"/>
    </xf>
    <xf numFmtId="0" fontId="0" fillId="0" borderId="0" xfId="0" applyAlignment="1"/>
    <xf numFmtId="0" fontId="9" fillId="0" borderId="0" xfId="0" applyFont="1" applyAlignment="1">
      <alignment horizontal="center"/>
    </xf>
    <xf numFmtId="0" fontId="21" fillId="0" borderId="0" xfId="0" applyFont="1" applyBorder="1"/>
    <xf numFmtId="0" fontId="21" fillId="0" borderId="0" xfId="0" applyFont="1"/>
    <xf numFmtId="0" fontId="0" fillId="0" borderId="0" xfId="0" applyFont="1" applyBorder="1" applyAlignment="1">
      <alignment vertical="top" wrapText="1"/>
    </xf>
    <xf numFmtId="0" fontId="0" fillId="0" borderId="0" xfId="0" applyAlignment="1">
      <alignment vertical="top" wrapText="1"/>
    </xf>
    <xf numFmtId="0" fontId="17" fillId="0" borderId="0" xfId="0" applyFont="1" applyAlignment="1">
      <alignment horizontal="center"/>
    </xf>
    <xf numFmtId="167" fontId="17" fillId="0" borderId="0" xfId="0" applyNumberFormat="1" applyFont="1"/>
    <xf numFmtId="0" fontId="21" fillId="2" borderId="8" xfId="0" applyFont="1" applyFill="1" applyBorder="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21" xfId="0" applyFont="1" applyBorder="1" applyAlignment="1">
      <alignment horizontal="center"/>
    </xf>
    <xf numFmtId="2" fontId="18" fillId="0" borderId="21" xfId="0" applyNumberFormat="1" applyFont="1" applyBorder="1" applyAlignment="1">
      <alignment horizontal="center"/>
    </xf>
    <xf numFmtId="11" fontId="5" fillId="0" borderId="22" xfId="0" applyNumberFormat="1" applyFont="1" applyBorder="1" applyAlignment="1">
      <alignment horizontal="center"/>
    </xf>
    <xf numFmtId="0" fontId="5"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25" xfId="0" applyFont="1" applyBorder="1"/>
    <xf numFmtId="0" fontId="13" fillId="0" borderId="26" xfId="0" applyFont="1" applyBorder="1"/>
    <xf numFmtId="0" fontId="5" fillId="0" borderId="27" xfId="0" applyFont="1" applyBorder="1"/>
    <xf numFmtId="0" fontId="5" fillId="0" borderId="29" xfId="0" applyFont="1" applyBorder="1"/>
    <xf numFmtId="0" fontId="13" fillId="0" borderId="31" xfId="0" applyFont="1" applyBorder="1"/>
    <xf numFmtId="164" fontId="18" fillId="0" borderId="32" xfId="0" applyNumberFormat="1" applyFont="1" applyBorder="1" applyAlignment="1">
      <alignment horizontal="center"/>
    </xf>
    <xf numFmtId="0" fontId="13" fillId="0" borderId="33" xfId="0" applyFont="1" applyBorder="1"/>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2" fontId="18" fillId="0" borderId="37" xfId="0" applyNumberFormat="1" applyFont="1" applyBorder="1" applyAlignment="1">
      <alignment horizontal="center"/>
    </xf>
    <xf numFmtId="2" fontId="18" fillId="0" borderId="22" xfId="0" applyNumberFormat="1" applyFont="1" applyBorder="1" applyAlignment="1">
      <alignment horizontal="center"/>
    </xf>
    <xf numFmtId="0" fontId="21" fillId="0" borderId="28"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13" fillId="0" borderId="38" xfId="0" applyFont="1" applyBorder="1"/>
    <xf numFmtId="0" fontId="5" fillId="0" borderId="20" xfId="0" applyFont="1" applyBorder="1" applyAlignment="1">
      <alignment horizontal="center"/>
    </xf>
    <xf numFmtId="0" fontId="13" fillId="0" borderId="39" xfId="0" applyFont="1" applyBorder="1"/>
    <xf numFmtId="0" fontId="0" fillId="0" borderId="0" xfId="0" applyAlignment="1">
      <alignment vertical="center"/>
    </xf>
    <xf numFmtId="0" fontId="0" fillId="0" borderId="0" xfId="0" applyAlignment="1">
      <alignment horizontal="right"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21"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1" fillId="0" borderId="0" xfId="0" applyFont="1" applyFill="1" applyBorder="1" applyAlignment="1">
      <alignment vertical="center"/>
    </xf>
    <xf numFmtId="0" fontId="8" fillId="0" borderId="0" xfId="0" applyFont="1" applyBorder="1" applyAlignment="1">
      <alignment vertical="center"/>
    </xf>
    <xf numFmtId="0" fontId="5" fillId="0" borderId="0" xfId="0" applyFont="1" applyAlignment="1">
      <alignment vertical="center"/>
    </xf>
    <xf numFmtId="164" fontId="3" fillId="0" borderId="0" xfId="0" applyNumberFormat="1" applyFont="1" applyBorder="1" applyAlignment="1">
      <alignment horizontal="center" vertical="center"/>
    </xf>
    <xf numFmtId="0" fontId="21"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0" fontId="17" fillId="0" borderId="0" xfId="0" applyFont="1" applyAlignment="1">
      <alignment horizontal="left"/>
    </xf>
    <xf numFmtId="0" fontId="1" fillId="0" borderId="8" xfId="0" applyFont="1" applyBorder="1" applyAlignment="1">
      <alignment horizontal="center" vertical="center"/>
    </xf>
    <xf numFmtId="0" fontId="21" fillId="0" borderId="27" xfId="0" applyFont="1" applyBorder="1"/>
    <xf numFmtId="2" fontId="18" fillId="0" borderId="32" xfId="0" applyNumberFormat="1" applyFont="1" applyBorder="1" applyAlignment="1">
      <alignment horizontal="center"/>
    </xf>
    <xf numFmtId="164" fontId="21" fillId="0" borderId="32" xfId="0" applyNumberFormat="1" applyFont="1" applyBorder="1" applyAlignment="1">
      <alignment horizontal="center"/>
    </xf>
    <xf numFmtId="0" fontId="21" fillId="0" borderId="46" xfId="0" applyFont="1" applyBorder="1" applyAlignment="1">
      <alignment horizontal="center"/>
    </xf>
    <xf numFmtId="165" fontId="21" fillId="0" borderId="9" xfId="0" applyNumberFormat="1" applyFont="1" applyBorder="1" applyAlignment="1">
      <alignment horizontal="center"/>
    </xf>
    <xf numFmtId="2" fontId="21" fillId="0" borderId="0" xfId="0" applyNumberFormat="1" applyFont="1" applyBorder="1" applyAlignment="1">
      <alignment horizontal="center"/>
    </xf>
    <xf numFmtId="2" fontId="21" fillId="0" borderId="9" xfId="0" applyNumberFormat="1" applyFont="1" applyBorder="1" applyAlignment="1">
      <alignment horizontal="center"/>
    </xf>
    <xf numFmtId="165" fontId="21" fillId="0" borderId="21" xfId="0" applyNumberFormat="1" applyFont="1" applyBorder="1" applyAlignment="1">
      <alignment horizontal="center"/>
    </xf>
    <xf numFmtId="0" fontId="21" fillId="0" borderId="25" xfId="0" applyFont="1" applyBorder="1" applyAlignment="1">
      <alignment horizontal="center"/>
    </xf>
    <xf numFmtId="0" fontId="21" fillId="0" borderId="4" xfId="0" applyFont="1" applyBorder="1"/>
    <xf numFmtId="0" fontId="21" fillId="0" borderId="0" xfId="0" applyFont="1" applyFill="1" applyBorder="1" applyAlignment="1">
      <alignment horizontal="center"/>
    </xf>
    <xf numFmtId="165" fontId="21" fillId="0" borderId="10" xfId="0" applyNumberFormat="1" applyFont="1" applyBorder="1" applyAlignment="1">
      <alignment horizontal="center"/>
    </xf>
    <xf numFmtId="0" fontId="21" fillId="0" borderId="45" xfId="0" applyFont="1" applyBorder="1"/>
    <xf numFmtId="0" fontId="21" fillId="0" borderId="40" xfId="0" applyFont="1" applyBorder="1"/>
    <xf numFmtId="0" fontId="21" fillId="0" borderId="42" xfId="0" applyFont="1" applyBorder="1" applyAlignment="1">
      <alignment horizontal="center"/>
    </xf>
    <xf numFmtId="0" fontId="21" fillId="0" borderId="41" xfId="0" applyFont="1" applyBorder="1" applyAlignment="1">
      <alignment horizontal="center"/>
    </xf>
    <xf numFmtId="0" fontId="21" fillId="0" borderId="44" xfId="0" applyFont="1" applyBorder="1" applyAlignment="1">
      <alignment horizontal="center"/>
    </xf>
    <xf numFmtId="0" fontId="21" fillId="0" borderId="29" xfId="0" applyFont="1" applyBorder="1"/>
    <xf numFmtId="0" fontId="21" fillId="0" borderId="6" xfId="0" applyFont="1" applyBorder="1"/>
    <xf numFmtId="166" fontId="21" fillId="0" borderId="18" xfId="0" applyNumberFormat="1"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4" xfId="0" applyFont="1" applyBorder="1" applyAlignment="1">
      <alignment horizontal="center"/>
    </xf>
    <xf numFmtId="0" fontId="21" fillId="0" borderId="39" xfId="0" applyFont="1" applyBorder="1"/>
    <xf numFmtId="166" fontId="21" fillId="0" borderId="0" xfId="0" applyNumberFormat="1"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right" vertical="center"/>
    </xf>
    <xf numFmtId="0" fontId="17" fillId="0" borderId="0" xfId="0" applyFont="1" applyAlignment="1">
      <alignment horizontal="center" vertical="center"/>
    </xf>
    <xf numFmtId="0" fontId="21" fillId="0" borderId="9" xfId="0" applyFont="1" applyBorder="1" applyAlignment="1">
      <alignment horizontal="center"/>
    </xf>
    <xf numFmtId="0" fontId="21" fillId="2" borderId="8" xfId="0" applyFont="1" applyFill="1" applyBorder="1" applyAlignment="1">
      <alignment horizontal="center" vertical="center"/>
    </xf>
    <xf numFmtId="0" fontId="21" fillId="0" borderId="8" xfId="0" applyFont="1" applyBorder="1" applyAlignment="1">
      <alignment horizontal="center" vertical="center"/>
    </xf>
    <xf numFmtId="0" fontId="21" fillId="2" borderId="35" xfId="0" applyFont="1" applyFill="1" applyBorder="1" applyAlignment="1">
      <alignment horizontal="center"/>
    </xf>
    <xf numFmtId="0" fontId="21" fillId="2" borderId="36" xfId="0" applyFont="1" applyFill="1" applyBorder="1" applyAlignment="1">
      <alignment horizontal="center"/>
    </xf>
    <xf numFmtId="0" fontId="21" fillId="0" borderId="34" xfId="0" applyFont="1" applyBorder="1" applyAlignment="1">
      <alignment horizontal="center"/>
    </xf>
    <xf numFmtId="2" fontId="18" fillId="0" borderId="30" xfId="0" applyNumberFormat="1" applyFont="1" applyBorder="1" applyAlignment="1">
      <alignment horizontal="center"/>
    </xf>
    <xf numFmtId="0" fontId="21" fillId="0" borderId="21" xfId="0" applyFont="1" applyBorder="1" applyAlignment="1">
      <alignment horizontal="center"/>
    </xf>
    <xf numFmtId="0" fontId="21" fillId="0" borderId="25" xfId="0" applyFont="1" applyBorder="1"/>
    <xf numFmtId="0" fontId="21" fillId="0" borderId="26" xfId="0" applyFont="1" applyBorder="1"/>
    <xf numFmtId="166" fontId="21" fillId="0" borderId="20" xfId="0" applyNumberFormat="1" applyFont="1" applyBorder="1" applyAlignment="1">
      <alignment horizontal="center"/>
    </xf>
    <xf numFmtId="0" fontId="21" fillId="0" borderId="28" xfId="0" applyFont="1" applyBorder="1" applyAlignment="1">
      <alignment horizontal="center"/>
    </xf>
    <xf numFmtId="2" fontId="0" fillId="0" borderId="8" xfId="0" applyNumberFormat="1" applyBorder="1" applyAlignment="1">
      <alignment horizontal="center" vertical="center"/>
    </xf>
    <xf numFmtId="164" fontId="17" fillId="0" borderId="0" xfId="0" applyNumberFormat="1" applyFont="1" applyAlignment="1">
      <alignment horizontal="center"/>
    </xf>
    <xf numFmtId="0" fontId="1" fillId="0" borderId="0" xfId="0" applyFont="1" applyAlignment="1"/>
    <xf numFmtId="0" fontId="21" fillId="0" borderId="8" xfId="0" applyFont="1" applyBorder="1" applyAlignment="1">
      <alignment horizontal="center" vertical="center"/>
    </xf>
    <xf numFmtId="0" fontId="24" fillId="0" borderId="0" xfId="0" applyFont="1" applyBorder="1" applyAlignment="1">
      <alignment horizontal="center"/>
    </xf>
    <xf numFmtId="0" fontId="21" fillId="0" borderId="8" xfId="0" quotePrefix="1" applyFont="1" applyBorder="1" applyAlignment="1">
      <alignment horizontal="center" vertical="center"/>
    </xf>
    <xf numFmtId="0" fontId="21" fillId="0" borderId="32" xfId="0" applyFont="1" applyBorder="1"/>
    <xf numFmtId="0" fontId="21" fillId="0" borderId="41" xfId="0" applyFont="1" applyBorder="1"/>
    <xf numFmtId="0" fontId="21" fillId="0" borderId="48" xfId="0" applyFont="1" applyBorder="1" applyAlignment="1">
      <alignment horizontal="center"/>
    </xf>
    <xf numFmtId="166" fontId="21" fillId="0" borderId="48" xfId="0" applyNumberFormat="1" applyFont="1" applyBorder="1" applyAlignment="1">
      <alignment horizontal="center"/>
    </xf>
    <xf numFmtId="2" fontId="21" fillId="0" borderId="49" xfId="0" applyNumberFormat="1" applyFont="1" applyBorder="1" applyAlignment="1">
      <alignment horizontal="center"/>
    </xf>
    <xf numFmtId="166"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2" fontId="21" fillId="0" borderId="48"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2" xfId="0" applyFont="1" applyBorder="1" applyAlignment="1">
      <alignment horizontal="center"/>
    </xf>
    <xf numFmtId="0" fontId="7" fillId="0" borderId="24" xfId="0" applyFont="1" applyBorder="1"/>
    <xf numFmtId="0" fontId="1" fillId="0" borderId="7" xfId="0" applyFont="1" applyBorder="1"/>
    <xf numFmtId="0" fontId="21" fillId="0" borderId="7" xfId="0" applyFont="1" applyFill="1" applyBorder="1"/>
    <xf numFmtId="0" fontId="21" fillId="0" borderId="7" xfId="0" applyFont="1" applyBorder="1"/>
    <xf numFmtId="2" fontId="0" fillId="0" borderId="28" xfId="0" applyNumberFormat="1" applyBorder="1" applyAlignment="1">
      <alignment horizontal="center" vertical="center"/>
    </xf>
    <xf numFmtId="0" fontId="0" fillId="0" borderId="27" xfId="0" applyBorder="1"/>
    <xf numFmtId="0" fontId="0" fillId="0" borderId="31" xfId="0" applyBorder="1"/>
    <xf numFmtId="0" fontId="21" fillId="0" borderId="50" xfId="0" applyFont="1" applyFill="1" applyBorder="1"/>
    <xf numFmtId="2" fontId="1" fillId="0" borderId="51" xfId="0" applyNumberFormat="1" applyFont="1" applyBorder="1" applyAlignment="1">
      <alignment horizontal="center"/>
    </xf>
    <xf numFmtId="2" fontId="1" fillId="0" borderId="52" xfId="0" applyNumberFormat="1" applyFont="1" applyBorder="1" applyAlignment="1">
      <alignment horizontal="center"/>
    </xf>
    <xf numFmtId="0" fontId="24" fillId="0" borderId="0" xfId="0" applyFont="1" applyBorder="1" applyAlignment="1">
      <alignment horizontal="center" vertical="center"/>
    </xf>
    <xf numFmtId="0" fontId="1" fillId="0" borderId="0" xfId="0" applyFont="1" applyBorder="1" applyAlignment="1">
      <alignment vertical="center"/>
    </xf>
    <xf numFmtId="0" fontId="1" fillId="0" borderId="43" xfId="0" applyFont="1" applyBorder="1" applyAlignment="1">
      <alignment horizontal="center" vertical="center" wrapText="1"/>
    </xf>
    <xf numFmtId="0" fontId="3" fillId="0" borderId="43" xfId="0" applyFont="1" applyBorder="1" applyAlignment="1">
      <alignment horizontal="center"/>
    </xf>
    <xf numFmtId="164" fontId="1" fillId="0" borderId="43"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0" fontId="21" fillId="0" borderId="0" xfId="0" applyFont="1" applyFill="1" applyBorder="1" applyAlignment="1">
      <alignment horizontal="left" vertical="center"/>
    </xf>
    <xf numFmtId="3" fontId="3" fillId="0" borderId="43" xfId="0" applyNumberFormat="1" applyFont="1" applyBorder="1" applyAlignment="1">
      <alignment horizontal="center"/>
    </xf>
    <xf numFmtId="2" fontId="1" fillId="0" borderId="54" xfId="0" applyNumberFormat="1" applyFont="1" applyBorder="1" applyAlignment="1">
      <alignment horizontal="center"/>
    </xf>
    <xf numFmtId="164" fontId="21" fillId="0" borderId="28" xfId="0" applyNumberFormat="1" applyFont="1" applyBorder="1" applyAlignment="1">
      <alignment horizontal="center"/>
    </xf>
    <xf numFmtId="0" fontId="1" fillId="0" borderId="47" xfId="0" applyFont="1" applyFill="1" applyBorder="1" applyAlignment="1">
      <alignment horizontal="left" vertical="center"/>
    </xf>
    <xf numFmtId="0" fontId="21" fillId="0" borderId="8" xfId="0" applyFont="1" applyBorder="1" applyAlignment="1">
      <alignment horizontal="center"/>
    </xf>
    <xf numFmtId="0" fontId="21" fillId="0" borderId="0" xfId="0" applyFont="1" applyBorder="1" applyAlignment="1">
      <alignment horizontal="center"/>
    </xf>
    <xf numFmtId="2" fontId="1" fillId="0" borderId="58" xfId="0" applyNumberFormat="1" applyFont="1" applyBorder="1" applyAlignment="1">
      <alignment horizontal="center"/>
    </xf>
    <xf numFmtId="2" fontId="21" fillId="0" borderId="8" xfId="0" quotePrefix="1" applyNumberFormat="1" applyFont="1" applyBorder="1" applyAlignment="1">
      <alignment horizontal="center" vertical="center"/>
    </xf>
    <xf numFmtId="0" fontId="0" fillId="2" borderId="59" xfId="0" applyFill="1" applyBorder="1" applyAlignment="1">
      <alignment horizontal="center" vertical="center"/>
    </xf>
    <xf numFmtId="164" fontId="21" fillId="0" borderId="8" xfId="0" applyNumberFormat="1" applyFont="1" applyBorder="1" applyAlignment="1">
      <alignment horizontal="center"/>
    </xf>
    <xf numFmtId="2" fontId="18" fillId="0" borderId="31" xfId="0" applyNumberFormat="1" applyFont="1" applyBorder="1" applyAlignment="1">
      <alignment horizontal="center"/>
    </xf>
    <xf numFmtId="2" fontId="0" fillId="0" borderId="28" xfId="0" applyNumberFormat="1" applyBorder="1" applyAlignment="1">
      <alignment horizontal="center"/>
    </xf>
    <xf numFmtId="11" fontId="21" fillId="0" borderId="30" xfId="0" applyNumberFormat="1" applyFont="1" applyBorder="1" applyAlignment="1">
      <alignment horizontal="center"/>
    </xf>
    <xf numFmtId="165" fontId="18" fillId="0" borderId="30" xfId="0" applyNumberFormat="1" applyFont="1" applyBorder="1" applyAlignment="1">
      <alignment horizontal="center"/>
    </xf>
    <xf numFmtId="165" fontId="0" fillId="0" borderId="28" xfId="0" applyNumberFormat="1" applyBorder="1" applyAlignment="1">
      <alignment horizontal="center" vertical="center"/>
    </xf>
    <xf numFmtId="0" fontId="21" fillId="0" borderId="49" xfId="0" quotePrefix="1" applyFont="1" applyBorder="1" applyAlignment="1"/>
    <xf numFmtId="11" fontId="5" fillId="0" borderId="67" xfId="0" applyNumberFormat="1" applyFont="1" applyBorder="1" applyAlignment="1">
      <alignment horizontal="center"/>
    </xf>
    <xf numFmtId="0" fontId="5" fillId="0" borderId="68" xfId="0" applyFont="1" applyBorder="1" applyAlignment="1">
      <alignment horizontal="center"/>
    </xf>
    <xf numFmtId="0" fontId="5" fillId="0" borderId="69" xfId="0" applyFont="1" applyBorder="1" applyAlignment="1">
      <alignment horizontal="center"/>
    </xf>
    <xf numFmtId="0" fontId="0" fillId="2" borderId="66" xfId="0" applyFill="1" applyBorder="1" applyAlignment="1">
      <alignment horizontal="center"/>
    </xf>
    <xf numFmtId="0" fontId="0" fillId="0" borderId="0" xfId="0" applyFont="1" applyBorder="1" applyAlignment="1">
      <alignment vertical="center"/>
    </xf>
    <xf numFmtId="2" fontId="18" fillId="0" borderId="70" xfId="0" applyNumberFormat="1" applyFont="1" applyBorder="1" applyAlignment="1">
      <alignment horizontal="center"/>
    </xf>
    <xf numFmtId="0" fontId="3" fillId="0" borderId="8" xfId="0" applyFont="1" applyBorder="1" applyAlignment="1">
      <alignment horizontal="center"/>
    </xf>
    <xf numFmtId="0" fontId="24" fillId="0" borderId="8" xfId="0" applyFont="1" applyBorder="1" applyAlignment="1">
      <alignment horizontal="center"/>
    </xf>
    <xf numFmtId="0" fontId="24" fillId="0" borderId="43" xfId="0" applyFont="1" applyBorder="1" applyAlignment="1">
      <alignment horizontal="center"/>
    </xf>
    <xf numFmtId="0" fontId="24" fillId="0" borderId="53" xfId="0" applyFont="1" applyBorder="1" applyAlignment="1">
      <alignment horizontal="center"/>
    </xf>
    <xf numFmtId="0" fontId="9"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left" vertical="center"/>
    </xf>
    <xf numFmtId="0" fontId="24" fillId="0" borderId="0" xfId="0" applyFont="1" applyAlignment="1">
      <alignment horizontal="left" wrapText="1"/>
    </xf>
    <xf numFmtId="0" fontId="21" fillId="0" borderId="0" xfId="0" applyNumberFormat="1" applyFont="1" applyAlignment="1">
      <alignment horizontal="left"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xf>
    <xf numFmtId="164" fontId="1" fillId="0" borderId="8" xfId="0" applyNumberFormat="1" applyFont="1" applyBorder="1" applyAlignment="1">
      <alignment horizontal="center" vertical="center" wrapText="1"/>
    </xf>
    <xf numFmtId="0" fontId="1" fillId="0" borderId="8" xfId="0" applyFont="1" applyBorder="1" applyAlignment="1">
      <alignment horizontal="center" wrapText="1"/>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36" xfId="0" applyFont="1" applyBorder="1" applyAlignment="1">
      <alignment horizontal="center"/>
    </xf>
    <xf numFmtId="0" fontId="0" fillId="0" borderId="36" xfId="0" applyBorder="1" applyAlignment="1">
      <alignment horizontal="center"/>
    </xf>
    <xf numFmtId="0" fontId="0" fillId="0" borderId="57" xfId="0" applyBorder="1" applyAlignment="1">
      <alignment horizontal="center"/>
    </xf>
    <xf numFmtId="0" fontId="0" fillId="0" borderId="34" xfId="0" applyBorder="1" applyAlignment="1">
      <alignment horizontal="center"/>
    </xf>
    <xf numFmtId="14" fontId="25" fillId="0" borderId="0" xfId="0" applyNumberFormat="1" applyFont="1" applyAlignment="1">
      <alignment horizontal="center" vertical="top" wrapText="1"/>
    </xf>
    <xf numFmtId="0" fontId="21" fillId="0" borderId="7" xfId="0" applyFont="1" applyBorder="1" applyAlignment="1">
      <alignment horizontal="center"/>
    </xf>
    <xf numFmtId="0" fontId="21" fillId="0" borderId="8" xfId="0" applyFont="1" applyBorder="1" applyAlignment="1">
      <alignment horizontal="center"/>
    </xf>
    <xf numFmtId="0" fontId="1" fillId="0" borderId="27" xfId="0" applyFont="1" applyBorder="1" applyAlignment="1">
      <alignment horizontal="left"/>
    </xf>
    <xf numFmtId="0" fontId="1" fillId="0" borderId="0" xfId="0" applyFont="1" applyBorder="1" applyAlignment="1">
      <alignment horizontal="left"/>
    </xf>
    <xf numFmtId="0" fontId="21" fillId="0" borderId="27" xfId="0" applyFont="1" applyBorder="1" applyAlignment="1">
      <alignment horizontal="center"/>
    </xf>
    <xf numFmtId="0" fontId="21" fillId="0" borderId="0" xfId="0" applyFont="1" applyBorder="1" applyAlignment="1">
      <alignment horizontal="center"/>
    </xf>
    <xf numFmtId="0" fontId="1" fillId="0" borderId="8" xfId="0" applyFont="1" applyBorder="1" applyAlignment="1">
      <alignment horizontal="center" vertical="center" wrapText="1"/>
    </xf>
    <xf numFmtId="0" fontId="21" fillId="0" borderId="0" xfId="0" applyFont="1" applyAlignment="1">
      <alignment horizontal="left" wrapText="1"/>
    </xf>
    <xf numFmtId="0" fontId="11" fillId="0" borderId="0" xfId="0" applyFont="1" applyAlignment="1">
      <alignment horizontal="center"/>
    </xf>
    <xf numFmtId="0" fontId="21" fillId="0" borderId="0" xfId="0" applyFont="1" applyAlignment="1">
      <alignment horizontal="right"/>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21" fillId="0" borderId="55" xfId="0" applyFont="1" applyBorder="1" applyAlignment="1">
      <alignment horizontal="center"/>
    </xf>
    <xf numFmtId="0" fontId="21" fillId="0" borderId="47" xfId="0" applyFont="1" applyBorder="1" applyAlignment="1">
      <alignment horizontal="center"/>
    </xf>
    <xf numFmtId="0" fontId="21" fillId="0" borderId="56" xfId="0" applyFont="1" applyBorder="1" applyAlignment="1">
      <alignment horizontal="center"/>
    </xf>
    <xf numFmtId="0" fontId="13" fillId="0" borderId="60" xfId="0" applyFont="1" applyBorder="1" applyAlignment="1">
      <alignment horizontal="center"/>
    </xf>
    <xf numFmtId="0" fontId="13" fillId="0" borderId="61" xfId="0" applyFont="1" applyBorder="1" applyAlignment="1">
      <alignment horizontal="center"/>
    </xf>
    <xf numFmtId="0" fontId="13" fillId="0" borderId="62" xfId="0" applyFont="1" applyBorder="1" applyAlignment="1">
      <alignment horizontal="center"/>
    </xf>
    <xf numFmtId="0" fontId="13" fillId="0" borderId="63"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21" fillId="0" borderId="0" xfId="0" applyFont="1" applyAlignment="1">
      <alignment horizontal="right" vertical="top"/>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O56"/>
  <sheetViews>
    <sheetView workbookViewId="0">
      <selection activeCell="A3" sqref="A3:N3"/>
    </sheetView>
  </sheetViews>
  <sheetFormatPr defaultColWidth="8.7109375" defaultRowHeight="12.75" x14ac:dyDescent="0.2"/>
  <cols>
    <col min="1" max="1" width="4.7109375" customWidth="1"/>
    <col min="2" max="2" width="12" customWidth="1"/>
    <col min="3" max="3" width="33.42578125" customWidth="1"/>
    <col min="4" max="4" width="12.140625" bestFit="1" customWidth="1"/>
    <col min="5" max="6" width="12.140625" customWidth="1"/>
    <col min="7" max="8" width="12.42578125" customWidth="1"/>
    <col min="9" max="9" width="9.42578125" customWidth="1"/>
    <col min="10" max="10" width="15" customWidth="1"/>
    <col min="11" max="11" width="12.42578125" customWidth="1"/>
    <col min="12" max="12" width="13.140625" customWidth="1"/>
    <col min="13" max="13" width="13.28515625" customWidth="1"/>
    <col min="14" max="14" width="1" customWidth="1"/>
  </cols>
  <sheetData>
    <row r="1" spans="1:15" ht="20.25" x14ac:dyDescent="0.3">
      <c r="A1" s="209" t="s">
        <v>137</v>
      </c>
      <c r="B1" s="209"/>
      <c r="C1" s="209"/>
      <c r="D1" s="209"/>
      <c r="E1" s="209"/>
      <c r="F1" s="209"/>
      <c r="G1" s="209"/>
      <c r="H1" s="209"/>
      <c r="I1" s="209"/>
      <c r="J1" s="209"/>
      <c r="K1" s="209"/>
      <c r="L1" s="209"/>
      <c r="M1" s="209"/>
      <c r="N1" s="209"/>
    </row>
    <row r="2" spans="1:15" x14ac:dyDescent="0.2">
      <c r="A2" s="210">
        <v>42552</v>
      </c>
      <c r="B2" s="210"/>
      <c r="C2" s="210"/>
      <c r="D2" s="210"/>
      <c r="E2" s="210"/>
      <c r="F2" s="210"/>
      <c r="G2" s="210"/>
      <c r="H2" s="210"/>
      <c r="I2" s="210"/>
      <c r="J2" s="210"/>
      <c r="K2" s="210"/>
      <c r="L2" s="210"/>
      <c r="M2" s="210"/>
      <c r="N2" s="210"/>
    </row>
    <row r="3" spans="1:15" ht="32.25" customHeight="1" x14ac:dyDescent="0.2">
      <c r="A3" s="211" t="s">
        <v>139</v>
      </c>
      <c r="B3" s="212"/>
      <c r="C3" s="212"/>
      <c r="D3" s="212"/>
      <c r="E3" s="212"/>
      <c r="F3" s="212"/>
      <c r="G3" s="212"/>
      <c r="H3" s="212"/>
      <c r="I3" s="212"/>
      <c r="J3" s="212"/>
      <c r="K3" s="212"/>
      <c r="L3" s="212"/>
      <c r="M3" s="212"/>
      <c r="N3" s="212"/>
    </row>
    <row r="5" spans="1:15" ht="81" customHeight="1" x14ac:dyDescent="0.2">
      <c r="A5" s="215" t="s">
        <v>142</v>
      </c>
      <c r="B5" s="215"/>
      <c r="C5" s="215"/>
      <c r="D5" s="215"/>
      <c r="E5" s="215"/>
      <c r="F5" s="215"/>
      <c r="G5" s="215"/>
      <c r="H5" s="215"/>
      <c r="I5" s="215"/>
      <c r="J5" s="215"/>
      <c r="K5" s="215"/>
      <c r="L5" s="215"/>
      <c r="M5" s="215"/>
      <c r="N5" s="215"/>
    </row>
    <row r="6" spans="1:15" s="90" customFormat="1" ht="31.5" customHeight="1" x14ac:dyDescent="0.2">
      <c r="B6" s="91" t="s">
        <v>136</v>
      </c>
      <c r="C6" s="213" t="s">
        <v>42</v>
      </c>
      <c r="D6" s="213"/>
      <c r="E6" s="213"/>
      <c r="F6" s="213"/>
      <c r="G6" s="213"/>
      <c r="H6" s="213"/>
      <c r="I6" s="213"/>
      <c r="J6" s="213"/>
      <c r="K6" s="213"/>
      <c r="L6" s="213"/>
      <c r="M6" s="213"/>
      <c r="N6" s="213"/>
    </row>
    <row r="7" spans="1:15" s="90" customFormat="1" ht="15" customHeight="1" x14ac:dyDescent="0.2">
      <c r="C7" s="214" t="s">
        <v>112</v>
      </c>
      <c r="D7" s="214"/>
      <c r="E7" s="214"/>
      <c r="F7" s="214"/>
      <c r="G7" s="214"/>
      <c r="H7" s="214"/>
      <c r="I7" s="214"/>
      <c r="J7" s="214"/>
      <c r="K7" s="214"/>
      <c r="L7" s="214"/>
      <c r="M7" s="214"/>
      <c r="N7" s="214"/>
    </row>
    <row r="8" spans="1:15" s="90" customFormat="1" ht="15" customHeight="1" x14ac:dyDescent="0.2">
      <c r="C8" s="214" t="s">
        <v>110</v>
      </c>
      <c r="D8" s="214"/>
      <c r="E8" s="214"/>
      <c r="F8" s="214"/>
      <c r="G8" s="214"/>
      <c r="H8" s="214"/>
      <c r="I8" s="214"/>
      <c r="J8" s="214"/>
      <c r="K8" s="214"/>
      <c r="L8" s="214"/>
      <c r="M8" s="214"/>
      <c r="N8" s="214"/>
    </row>
    <row r="9" spans="1:15" s="90" customFormat="1" ht="15" customHeight="1" x14ac:dyDescent="0.2">
      <c r="C9" s="214" t="s">
        <v>82</v>
      </c>
      <c r="D9" s="214"/>
      <c r="E9" s="214"/>
      <c r="F9" s="214"/>
      <c r="G9" s="214"/>
      <c r="H9" s="214"/>
      <c r="I9" s="214"/>
      <c r="J9" s="214"/>
      <c r="K9" s="214"/>
      <c r="L9" s="214"/>
      <c r="M9" s="214"/>
      <c r="N9" s="214"/>
    </row>
    <row r="10" spans="1:15" s="90" customFormat="1" ht="15" customHeight="1" x14ac:dyDescent="0.2">
      <c r="C10" s="216" t="s">
        <v>111</v>
      </c>
      <c r="D10" s="216"/>
      <c r="E10" s="216"/>
      <c r="F10" s="216"/>
      <c r="G10" s="216"/>
      <c r="H10" s="216"/>
      <c r="I10" s="216"/>
      <c r="J10" s="216"/>
      <c r="K10" s="216"/>
      <c r="L10" s="216"/>
      <c r="M10" s="216"/>
      <c r="N10" s="216"/>
    </row>
    <row r="11" spans="1:15" s="90" customFormat="1" ht="15" customHeight="1" x14ac:dyDescent="0.2">
      <c r="C11" s="216" t="s">
        <v>55</v>
      </c>
      <c r="D11" s="217"/>
      <c r="E11" s="217"/>
      <c r="F11" s="217"/>
      <c r="G11" s="217"/>
      <c r="H11" s="217"/>
      <c r="I11" s="217"/>
      <c r="J11" s="217"/>
      <c r="K11" s="217"/>
      <c r="L11" s="217"/>
      <c r="M11" s="217"/>
      <c r="N11" s="217"/>
    </row>
    <row r="12" spans="1:15" x14ac:dyDescent="0.2">
      <c r="C12" s="50"/>
      <c r="D12" s="8"/>
      <c r="E12" s="8"/>
      <c r="F12" s="8"/>
      <c r="G12" s="8"/>
      <c r="H12" s="219"/>
      <c r="I12" s="219"/>
      <c r="J12" s="219"/>
      <c r="K12" s="177"/>
      <c r="L12" s="177"/>
      <c r="M12" s="177"/>
      <c r="N12" s="8"/>
      <c r="O12" s="8"/>
    </row>
    <row r="13" spans="1:15" x14ac:dyDescent="0.2">
      <c r="B13" s="218" t="s">
        <v>3</v>
      </c>
      <c r="C13" s="218"/>
      <c r="D13" s="106"/>
      <c r="E13" s="106"/>
      <c r="F13" s="106"/>
      <c r="G13" s="106"/>
      <c r="H13" s="86"/>
      <c r="I13" s="86"/>
      <c r="J13" s="86"/>
      <c r="K13" s="86"/>
      <c r="L13" s="86"/>
      <c r="M13" s="135"/>
    </row>
    <row r="14" spans="1:15" x14ac:dyDescent="0.2">
      <c r="B14" s="90"/>
      <c r="C14" s="92" t="s">
        <v>119</v>
      </c>
      <c r="D14" s="93">
        <v>1</v>
      </c>
      <c r="E14" s="94" t="s">
        <v>94</v>
      </c>
      <c r="F14" s="94"/>
      <c r="G14" s="95"/>
      <c r="H14" s="176"/>
      <c r="I14" s="176"/>
      <c r="J14" s="176"/>
      <c r="K14" s="176"/>
      <c r="L14" s="176"/>
      <c r="M14" s="154"/>
    </row>
    <row r="15" spans="1:15" x14ac:dyDescent="0.2">
      <c r="B15" s="90"/>
      <c r="C15" s="92" t="s">
        <v>120</v>
      </c>
      <c r="D15" s="93">
        <v>1</v>
      </c>
      <c r="E15" s="94" t="s">
        <v>94</v>
      </c>
      <c r="F15" s="94"/>
      <c r="G15" s="95"/>
      <c r="H15" s="176"/>
      <c r="I15" s="176"/>
      <c r="J15" s="176"/>
      <c r="K15" s="176"/>
      <c r="L15" s="176"/>
      <c r="M15" s="154"/>
    </row>
    <row r="16" spans="1:15" x14ac:dyDescent="0.2">
      <c r="B16" s="90"/>
      <c r="C16" s="92" t="s">
        <v>121</v>
      </c>
      <c r="D16" s="93">
        <v>1</v>
      </c>
      <c r="E16" s="94" t="s">
        <v>94</v>
      </c>
      <c r="F16" s="94"/>
      <c r="G16" s="95"/>
      <c r="H16" s="176"/>
      <c r="I16" s="176"/>
      <c r="J16" s="176"/>
      <c r="K16" s="176"/>
      <c r="L16" s="176"/>
      <c r="M16" s="154"/>
    </row>
    <row r="17" spans="2:15" x14ac:dyDescent="0.2">
      <c r="B17" s="90"/>
      <c r="C17" s="92" t="s">
        <v>122</v>
      </c>
      <c r="D17" s="93">
        <v>1</v>
      </c>
      <c r="E17" s="94" t="s">
        <v>94</v>
      </c>
      <c r="F17" s="94"/>
      <c r="G17" s="95"/>
      <c r="H17" s="176"/>
      <c r="I17" s="176"/>
      <c r="J17" s="176"/>
      <c r="K17" s="176"/>
      <c r="L17" s="176"/>
      <c r="M17" s="154"/>
    </row>
    <row r="18" spans="2:15" x14ac:dyDescent="0.2">
      <c r="B18" s="90"/>
      <c r="C18" s="92" t="s">
        <v>123</v>
      </c>
      <c r="D18" s="93">
        <v>1</v>
      </c>
      <c r="E18" s="94" t="s">
        <v>94</v>
      </c>
      <c r="F18" s="94"/>
      <c r="G18" s="95"/>
      <c r="H18" s="176"/>
      <c r="I18" s="176"/>
      <c r="J18" s="176"/>
      <c r="K18" s="176"/>
      <c r="L18" s="176"/>
      <c r="M18" s="154"/>
    </row>
    <row r="19" spans="2:15" x14ac:dyDescent="0.2">
      <c r="B19" s="90"/>
      <c r="C19" s="92" t="s">
        <v>84</v>
      </c>
      <c r="D19" s="93">
        <v>1</v>
      </c>
      <c r="E19" s="94" t="s">
        <v>94</v>
      </c>
      <c r="F19" s="94"/>
      <c r="G19" s="95"/>
      <c r="H19" s="176"/>
      <c r="I19" s="176"/>
      <c r="J19" s="176"/>
      <c r="K19" s="176"/>
      <c r="L19" s="176"/>
      <c r="M19" s="154"/>
    </row>
    <row r="20" spans="2:15" x14ac:dyDescent="0.2">
      <c r="B20" s="90"/>
      <c r="C20" s="92" t="s">
        <v>96</v>
      </c>
      <c r="D20" s="93">
        <v>1</v>
      </c>
      <c r="E20" s="94" t="s">
        <v>94</v>
      </c>
      <c r="F20" s="94"/>
      <c r="G20" s="95"/>
      <c r="H20" s="176"/>
      <c r="I20" s="176"/>
      <c r="J20" s="176"/>
      <c r="K20" s="176"/>
      <c r="L20" s="176"/>
      <c r="M20" s="154"/>
    </row>
    <row r="21" spans="2:15" x14ac:dyDescent="0.2">
      <c r="B21" s="90"/>
      <c r="C21" s="92" t="s">
        <v>52</v>
      </c>
      <c r="D21" s="93">
        <v>10</v>
      </c>
      <c r="E21" s="96" t="s">
        <v>32</v>
      </c>
      <c r="F21" s="96"/>
      <c r="G21" s="95"/>
      <c r="H21" s="98" t="str">
        <f t="shared" ref="H21" si="0">IF(D21&gt;=0,"","ERROR!")</f>
        <v/>
      </c>
      <c r="I21" s="99" t="s">
        <v>10</v>
      </c>
      <c r="J21" s="95"/>
      <c r="K21" s="90"/>
      <c r="L21" s="90"/>
      <c r="N21" s="6"/>
    </row>
    <row r="22" spans="2:15" x14ac:dyDescent="0.2">
      <c r="B22" s="90"/>
      <c r="C22" s="92" t="s">
        <v>53</v>
      </c>
      <c r="D22" s="93"/>
      <c r="E22" s="96" t="s">
        <v>32</v>
      </c>
      <c r="F22" s="96"/>
      <c r="G22" s="95"/>
      <c r="H22" s="86" t="s">
        <v>51</v>
      </c>
      <c r="I22" s="100">
        <v>1.5E-3</v>
      </c>
      <c r="J22" s="203" t="s">
        <v>50</v>
      </c>
      <c r="K22" s="90"/>
      <c r="L22" s="90"/>
    </row>
    <row r="23" spans="2:15" x14ac:dyDescent="0.2">
      <c r="B23" s="90"/>
      <c r="C23" s="92" t="s">
        <v>54</v>
      </c>
      <c r="D23" s="93"/>
      <c r="E23" s="96" t="s">
        <v>32</v>
      </c>
      <c r="F23" s="96"/>
      <c r="G23" s="95"/>
      <c r="H23" s="86" t="s">
        <v>51</v>
      </c>
      <c r="I23" s="100">
        <v>1.5E-3</v>
      </c>
      <c r="J23" s="96" t="s">
        <v>44</v>
      </c>
      <c r="K23" s="90"/>
      <c r="L23" s="90"/>
    </row>
    <row r="24" spans="2:15" x14ac:dyDescent="0.2">
      <c r="B24" s="90"/>
      <c r="C24" s="92" t="s">
        <v>58</v>
      </c>
      <c r="D24" s="93">
        <v>1000</v>
      </c>
      <c r="E24" s="96" t="s">
        <v>9</v>
      </c>
      <c r="F24" s="96"/>
      <c r="G24" s="95"/>
      <c r="H24" s="86" t="s">
        <v>51</v>
      </c>
      <c r="I24" s="100">
        <v>1.5E-3</v>
      </c>
      <c r="J24" s="94" t="s">
        <v>50</v>
      </c>
      <c r="K24" s="90"/>
      <c r="L24" s="90"/>
    </row>
    <row r="25" spans="2:15" x14ac:dyDescent="0.2">
      <c r="B25" s="90"/>
      <c r="C25" s="92" t="s">
        <v>59</v>
      </c>
      <c r="D25" s="93"/>
      <c r="E25" s="96" t="s">
        <v>9</v>
      </c>
      <c r="F25" s="96"/>
      <c r="G25" s="95"/>
      <c r="H25" s="86"/>
      <c r="I25" s="90"/>
      <c r="J25" s="90"/>
      <c r="K25" s="90"/>
      <c r="L25" s="90"/>
    </row>
    <row r="26" spans="2:15" ht="13.35" customHeight="1" x14ac:dyDescent="0.2">
      <c r="B26" s="90"/>
      <c r="C26" s="92"/>
      <c r="D26" s="93"/>
      <c r="E26" s="96"/>
      <c r="F26" s="96"/>
      <c r="G26" s="95"/>
      <c r="H26" s="95"/>
      <c r="I26" s="101"/>
      <c r="J26" s="102"/>
      <c r="K26" s="102"/>
      <c r="L26" s="102"/>
      <c r="M26" s="60"/>
      <c r="N26" s="60"/>
      <c r="O26" s="61"/>
    </row>
    <row r="27" spans="2:15" x14ac:dyDescent="0.2">
      <c r="B27" s="90"/>
      <c r="C27" s="103"/>
      <c r="D27" s="93"/>
      <c r="E27" s="105" t="s">
        <v>49</v>
      </c>
      <c r="F27" s="105"/>
      <c r="G27" s="103"/>
      <c r="H27" s="95"/>
      <c r="I27" s="102"/>
      <c r="J27" s="102"/>
      <c r="K27" s="102"/>
      <c r="L27" s="102"/>
      <c r="M27" s="60"/>
      <c r="N27" s="60"/>
      <c r="O27" s="61"/>
    </row>
    <row r="28" spans="2:15" x14ac:dyDescent="0.2">
      <c r="B28" s="90"/>
      <c r="C28" s="104"/>
      <c r="D28" s="93"/>
      <c r="E28" s="97" t="s">
        <v>113</v>
      </c>
      <c r="F28" s="97"/>
      <c r="G28" s="100"/>
      <c r="H28" s="96"/>
      <c r="I28" s="102"/>
      <c r="J28" s="102"/>
      <c r="K28" s="102"/>
      <c r="L28" s="102"/>
      <c r="M28" s="60"/>
      <c r="N28" s="60"/>
    </row>
    <row r="29" spans="2:15" x14ac:dyDescent="0.2">
      <c r="B29" s="90"/>
      <c r="C29" s="104"/>
      <c r="D29" s="93"/>
      <c r="E29" s="105"/>
      <c r="F29" s="105"/>
      <c r="G29" s="100"/>
      <c r="H29" s="96"/>
      <c r="I29" s="102"/>
      <c r="J29" s="102"/>
      <c r="K29" s="102"/>
      <c r="L29" s="102"/>
      <c r="M29" s="60"/>
      <c r="N29" s="60"/>
    </row>
    <row r="30" spans="2:15" x14ac:dyDescent="0.2">
      <c r="B30" s="220" t="s">
        <v>83</v>
      </c>
      <c r="C30" s="220"/>
      <c r="D30" s="93"/>
      <c r="E30" s="105"/>
      <c r="F30" s="105"/>
      <c r="G30" s="100"/>
      <c r="H30" s="96"/>
      <c r="I30" s="102"/>
      <c r="J30" s="102"/>
      <c r="K30" s="102"/>
      <c r="L30" s="102"/>
      <c r="M30" s="60"/>
      <c r="N30" s="60"/>
    </row>
    <row r="31" spans="2:15" ht="29.1" customHeight="1" x14ac:dyDescent="0.2">
      <c r="B31" s="152"/>
      <c r="C31" s="108" t="s">
        <v>95</v>
      </c>
      <c r="D31" s="178" t="s">
        <v>92</v>
      </c>
      <c r="E31" s="178" t="s">
        <v>91</v>
      </c>
      <c r="F31" s="178" t="s">
        <v>133</v>
      </c>
      <c r="G31" s="180" t="s">
        <v>106</v>
      </c>
      <c r="H31" s="181" t="s">
        <v>93</v>
      </c>
      <c r="I31" s="221" t="s">
        <v>107</v>
      </c>
      <c r="J31" s="221"/>
      <c r="K31" s="222" t="s">
        <v>108</v>
      </c>
      <c r="L31" s="222"/>
      <c r="M31" s="222" t="s">
        <v>97</v>
      </c>
      <c r="N31" s="222"/>
    </row>
    <row r="32" spans="2:15" x14ac:dyDescent="0.2">
      <c r="C32" s="153" t="s">
        <v>124</v>
      </c>
      <c r="D32" s="179"/>
      <c r="E32" s="179">
        <v>10</v>
      </c>
      <c r="F32" s="179">
        <v>1</v>
      </c>
      <c r="G32" s="179">
        <v>5</v>
      </c>
      <c r="H32" s="183">
        <v>8760</v>
      </c>
      <c r="I32" s="205" t="s">
        <v>46</v>
      </c>
      <c r="J32" s="205"/>
      <c r="K32" s="206">
        <v>0</v>
      </c>
      <c r="L32" s="206"/>
      <c r="M32" s="207">
        <v>95</v>
      </c>
      <c r="N32" s="208"/>
    </row>
    <row r="33" spans="2:14" x14ac:dyDescent="0.2">
      <c r="C33" s="153" t="s">
        <v>125</v>
      </c>
      <c r="D33" s="179"/>
      <c r="E33" s="179">
        <v>10</v>
      </c>
      <c r="F33" s="179">
        <v>1</v>
      </c>
      <c r="G33" s="179">
        <v>5</v>
      </c>
      <c r="H33" s="183">
        <v>8760</v>
      </c>
      <c r="I33" s="205" t="s">
        <v>46</v>
      </c>
      <c r="J33" s="205"/>
      <c r="K33" s="206">
        <v>0</v>
      </c>
      <c r="L33" s="206"/>
      <c r="M33" s="207">
        <v>95</v>
      </c>
      <c r="N33" s="208"/>
    </row>
    <row r="34" spans="2:14" x14ac:dyDescent="0.2">
      <c r="C34" s="153" t="s">
        <v>126</v>
      </c>
      <c r="D34" s="179"/>
      <c r="E34" s="179">
        <v>10</v>
      </c>
      <c r="F34" s="179">
        <v>1</v>
      </c>
      <c r="G34" s="179">
        <v>5</v>
      </c>
      <c r="H34" s="183">
        <v>8760</v>
      </c>
      <c r="I34" s="205" t="s">
        <v>46</v>
      </c>
      <c r="J34" s="205"/>
      <c r="K34" s="206">
        <v>0</v>
      </c>
      <c r="L34" s="206"/>
      <c r="M34" s="207">
        <v>95</v>
      </c>
      <c r="N34" s="208"/>
    </row>
    <row r="35" spans="2:14" x14ac:dyDescent="0.2">
      <c r="C35" s="153" t="s">
        <v>127</v>
      </c>
      <c r="D35" s="179"/>
      <c r="E35" s="179">
        <v>10</v>
      </c>
      <c r="F35" s="179">
        <v>1</v>
      </c>
      <c r="G35" s="179">
        <v>5</v>
      </c>
      <c r="H35" s="183">
        <v>8760</v>
      </c>
      <c r="I35" s="205" t="s">
        <v>46</v>
      </c>
      <c r="J35" s="205"/>
      <c r="K35" s="206">
        <v>0</v>
      </c>
      <c r="L35" s="206"/>
      <c r="M35" s="207">
        <v>95</v>
      </c>
      <c r="N35" s="208"/>
    </row>
    <row r="36" spans="2:14" x14ac:dyDescent="0.2">
      <c r="C36" s="153" t="s">
        <v>128</v>
      </c>
      <c r="D36" s="179"/>
      <c r="E36" s="179">
        <v>10</v>
      </c>
      <c r="F36" s="179">
        <v>1</v>
      </c>
      <c r="G36" s="179">
        <v>5</v>
      </c>
      <c r="H36" s="183">
        <v>8760</v>
      </c>
      <c r="I36" s="205" t="s">
        <v>46</v>
      </c>
      <c r="J36" s="205"/>
      <c r="K36" s="206">
        <v>0</v>
      </c>
      <c r="L36" s="206"/>
      <c r="M36" s="207">
        <v>95</v>
      </c>
      <c r="N36" s="208"/>
    </row>
    <row r="37" spans="2:14" x14ac:dyDescent="0.2">
      <c r="C37" s="153" t="s">
        <v>129</v>
      </c>
      <c r="D37" s="179"/>
      <c r="E37" s="179">
        <v>10</v>
      </c>
      <c r="F37" s="179">
        <v>1</v>
      </c>
      <c r="G37" s="179">
        <v>5</v>
      </c>
      <c r="H37" s="183">
        <v>8760</v>
      </c>
      <c r="I37" s="205" t="s">
        <v>46</v>
      </c>
      <c r="J37" s="205"/>
      <c r="K37" s="206">
        <v>0</v>
      </c>
      <c r="L37" s="206"/>
      <c r="M37" s="207">
        <v>95</v>
      </c>
      <c r="N37" s="208"/>
    </row>
    <row r="38" spans="2:14" x14ac:dyDescent="0.2">
      <c r="B38" s="6"/>
      <c r="C38" s="153" t="s">
        <v>130</v>
      </c>
      <c r="D38" s="179"/>
      <c r="E38" s="179">
        <v>10</v>
      </c>
      <c r="F38" s="179">
        <v>1</v>
      </c>
      <c r="G38" s="179">
        <v>5</v>
      </c>
      <c r="H38" s="183">
        <v>8760</v>
      </c>
      <c r="I38" s="205" t="s">
        <v>46</v>
      </c>
      <c r="J38" s="205"/>
      <c r="K38" s="206">
        <v>0</v>
      </c>
      <c r="L38" s="206"/>
      <c r="M38" s="207">
        <v>95</v>
      </c>
      <c r="N38" s="208"/>
    </row>
    <row r="39" spans="2:14" x14ac:dyDescent="0.2">
      <c r="B39" s="6"/>
      <c r="C39" s="140" t="s">
        <v>85</v>
      </c>
      <c r="D39" s="179"/>
      <c r="E39" s="179">
        <v>10</v>
      </c>
      <c r="F39" s="179">
        <v>1</v>
      </c>
      <c r="G39" s="179">
        <v>5</v>
      </c>
      <c r="H39" s="183">
        <v>8760</v>
      </c>
      <c r="I39" s="205" t="s">
        <v>2</v>
      </c>
      <c r="J39" s="205"/>
      <c r="K39" s="206">
        <v>0</v>
      </c>
      <c r="L39" s="206"/>
      <c r="M39" s="207">
        <v>95</v>
      </c>
      <c r="N39" s="208"/>
    </row>
    <row r="40" spans="2:14" x14ac:dyDescent="0.2">
      <c r="C40" s="140" t="s">
        <v>86</v>
      </c>
      <c r="D40" s="179"/>
      <c r="E40" s="179">
        <v>10</v>
      </c>
      <c r="F40" s="179">
        <v>1</v>
      </c>
      <c r="G40" s="179">
        <v>5</v>
      </c>
      <c r="H40" s="183">
        <v>8760</v>
      </c>
      <c r="I40" s="205" t="s">
        <v>2</v>
      </c>
      <c r="J40" s="205"/>
      <c r="K40" s="206">
        <v>0</v>
      </c>
      <c r="L40" s="206"/>
      <c r="M40" s="207">
        <v>95</v>
      </c>
      <c r="N40" s="208"/>
    </row>
    <row r="41" spans="2:14" x14ac:dyDescent="0.2">
      <c r="C41" s="153" t="s">
        <v>89</v>
      </c>
      <c r="D41" s="179"/>
      <c r="E41" s="179">
        <v>10</v>
      </c>
      <c r="F41" s="179">
        <v>1</v>
      </c>
      <c r="G41" s="179">
        <v>100</v>
      </c>
      <c r="H41" s="183">
        <v>8760</v>
      </c>
      <c r="I41" s="205" t="s">
        <v>2</v>
      </c>
      <c r="J41" s="205"/>
      <c r="K41" s="206">
        <v>0</v>
      </c>
      <c r="L41" s="206"/>
      <c r="M41" s="207">
        <v>95</v>
      </c>
      <c r="N41" s="208"/>
    </row>
    <row r="42" spans="2:14" x14ac:dyDescent="0.2">
      <c r="C42" s="153" t="s">
        <v>87</v>
      </c>
      <c r="D42" s="179"/>
      <c r="E42" s="179">
        <v>10</v>
      </c>
      <c r="F42" s="179">
        <v>1</v>
      </c>
      <c r="G42" s="179">
        <v>100</v>
      </c>
      <c r="H42" s="183">
        <v>8760</v>
      </c>
      <c r="I42" s="205" t="s">
        <v>2</v>
      </c>
      <c r="J42" s="205"/>
      <c r="K42" s="206">
        <v>0</v>
      </c>
      <c r="L42" s="206"/>
      <c r="M42" s="207">
        <v>95</v>
      </c>
      <c r="N42" s="208"/>
    </row>
    <row r="43" spans="2:14" x14ac:dyDescent="0.2">
      <c r="C43" s="153" t="s">
        <v>88</v>
      </c>
      <c r="D43" s="179"/>
      <c r="E43" s="179">
        <v>10</v>
      </c>
      <c r="F43" s="179">
        <v>1</v>
      </c>
      <c r="G43" s="179">
        <v>100</v>
      </c>
      <c r="H43" s="183">
        <v>8760</v>
      </c>
      <c r="I43" s="205" t="s">
        <v>46</v>
      </c>
      <c r="J43" s="205"/>
      <c r="K43" s="206">
        <v>0</v>
      </c>
      <c r="L43" s="206"/>
      <c r="M43" s="207">
        <v>95</v>
      </c>
      <c r="N43" s="208"/>
    </row>
    <row r="44" spans="2:14" ht="14.25" customHeight="1" x14ac:dyDescent="0.2">
      <c r="C44" s="153" t="s">
        <v>90</v>
      </c>
      <c r="D44" s="179"/>
      <c r="E44" s="179">
        <v>10</v>
      </c>
      <c r="F44" s="179">
        <v>1</v>
      </c>
      <c r="G44" s="179">
        <v>100</v>
      </c>
      <c r="H44" s="183">
        <v>8760</v>
      </c>
      <c r="I44" s="205" t="s">
        <v>2</v>
      </c>
      <c r="J44" s="205"/>
      <c r="K44" s="206">
        <v>0</v>
      </c>
      <c r="L44" s="206"/>
      <c r="M44" s="207">
        <v>95</v>
      </c>
      <c r="N44" s="208"/>
    </row>
    <row r="45" spans="2:14" ht="14.25" customHeight="1" x14ac:dyDescent="0.2">
      <c r="C45" s="153" t="s">
        <v>90</v>
      </c>
      <c r="D45" s="179"/>
      <c r="E45" s="179">
        <v>10</v>
      </c>
      <c r="F45" s="179">
        <v>1</v>
      </c>
      <c r="G45" s="179">
        <v>100</v>
      </c>
      <c r="H45" s="183">
        <v>8760</v>
      </c>
      <c r="I45" s="205" t="s">
        <v>2</v>
      </c>
      <c r="J45" s="205"/>
      <c r="K45" s="206">
        <v>0</v>
      </c>
      <c r="L45" s="206"/>
      <c r="M45" s="207">
        <v>95</v>
      </c>
      <c r="N45" s="208"/>
    </row>
    <row r="46" spans="2:14" ht="14.25" customHeight="1" x14ac:dyDescent="0.2">
      <c r="C46" s="153" t="s">
        <v>90</v>
      </c>
      <c r="D46" s="179"/>
      <c r="E46" s="179">
        <v>10</v>
      </c>
      <c r="F46" s="179">
        <v>1</v>
      </c>
      <c r="G46" s="179">
        <v>100</v>
      </c>
      <c r="H46" s="183">
        <v>8760</v>
      </c>
      <c r="I46" s="205" t="s">
        <v>46</v>
      </c>
      <c r="J46" s="205"/>
      <c r="K46" s="206">
        <v>0</v>
      </c>
      <c r="L46" s="206"/>
      <c r="M46" s="207">
        <v>95</v>
      </c>
      <c r="N46" s="208"/>
    </row>
    <row r="47" spans="2:14" ht="14.25" customHeight="1" x14ac:dyDescent="0.2">
      <c r="C47" s="153" t="s">
        <v>90</v>
      </c>
      <c r="D47" s="179"/>
      <c r="E47" s="179">
        <v>10</v>
      </c>
      <c r="F47" s="179">
        <v>1</v>
      </c>
      <c r="G47" s="179">
        <v>100</v>
      </c>
      <c r="H47" s="183">
        <v>8760</v>
      </c>
      <c r="I47" s="205" t="s">
        <v>46</v>
      </c>
      <c r="J47" s="205"/>
      <c r="K47" s="206">
        <v>0</v>
      </c>
      <c r="L47" s="206"/>
      <c r="M47" s="207">
        <v>95</v>
      </c>
      <c r="N47" s="208"/>
    </row>
    <row r="48" spans="2:14" ht="14.25" customHeight="1" x14ac:dyDescent="0.2">
      <c r="C48" s="153" t="s">
        <v>90</v>
      </c>
      <c r="D48" s="179"/>
      <c r="E48" s="179">
        <v>10</v>
      </c>
      <c r="F48" s="179">
        <v>1</v>
      </c>
      <c r="G48" s="179">
        <v>100</v>
      </c>
      <c r="H48" s="183">
        <v>8760</v>
      </c>
      <c r="I48" s="205" t="s">
        <v>46</v>
      </c>
      <c r="J48" s="205"/>
      <c r="K48" s="206">
        <v>0</v>
      </c>
      <c r="L48" s="206"/>
      <c r="M48" s="207">
        <v>95</v>
      </c>
      <c r="N48" s="208"/>
    </row>
    <row r="49" spans="2:14" x14ac:dyDescent="0.2">
      <c r="C49" s="153" t="s">
        <v>90</v>
      </c>
      <c r="D49" s="179"/>
      <c r="E49" s="179">
        <v>10</v>
      </c>
      <c r="F49" s="179">
        <v>1</v>
      </c>
      <c r="G49" s="179">
        <v>100</v>
      </c>
      <c r="H49" s="183">
        <v>8760</v>
      </c>
      <c r="I49" s="205" t="s">
        <v>46</v>
      </c>
      <c r="J49" s="205"/>
      <c r="K49" s="206">
        <v>0</v>
      </c>
      <c r="L49" s="206"/>
      <c r="M49" s="207">
        <v>95</v>
      </c>
      <c r="N49" s="208"/>
    </row>
    <row r="50" spans="2:14" x14ac:dyDescent="0.2">
      <c r="C50" s="153" t="s">
        <v>90</v>
      </c>
      <c r="D50" s="179"/>
      <c r="E50" s="179">
        <v>10</v>
      </c>
      <c r="F50" s="179">
        <v>1</v>
      </c>
      <c r="G50" s="179">
        <v>100</v>
      </c>
      <c r="H50" s="183">
        <v>8760</v>
      </c>
      <c r="I50" s="205" t="s">
        <v>46</v>
      </c>
      <c r="J50" s="205"/>
      <c r="K50" s="206">
        <v>0</v>
      </c>
      <c r="L50" s="206"/>
      <c r="M50" s="207">
        <v>95</v>
      </c>
      <c r="N50" s="208"/>
    </row>
    <row r="51" spans="2:14" x14ac:dyDescent="0.2">
      <c r="B51" s="6"/>
      <c r="C51" s="186" t="s">
        <v>116</v>
      </c>
    </row>
    <row r="52" spans="2:14" x14ac:dyDescent="0.2">
      <c r="B52" s="6"/>
      <c r="C52" s="182" t="s">
        <v>117</v>
      </c>
    </row>
    <row r="53" spans="2:14" ht="39" customHeight="1" x14ac:dyDescent="0.2">
      <c r="C53" s="224" t="s">
        <v>131</v>
      </c>
      <c r="D53" s="224"/>
      <c r="E53" s="224"/>
      <c r="F53" s="224"/>
      <c r="G53" s="224"/>
      <c r="H53" s="224"/>
      <c r="I53" s="224"/>
      <c r="J53" s="224"/>
      <c r="K53" s="224"/>
      <c r="L53" s="224"/>
      <c r="M53" s="224"/>
      <c r="N53" s="224"/>
    </row>
    <row r="54" spans="2:14" ht="30" customHeight="1" x14ac:dyDescent="0.2">
      <c r="C54" s="224" t="s">
        <v>104</v>
      </c>
      <c r="D54" s="224"/>
      <c r="E54" s="224"/>
      <c r="F54" s="224"/>
      <c r="G54" s="224"/>
      <c r="H54" s="224"/>
      <c r="I54" s="224"/>
      <c r="J54" s="224"/>
      <c r="K54" s="224"/>
      <c r="L54" s="224"/>
      <c r="M54" s="224"/>
      <c r="N54" s="224"/>
    </row>
    <row r="55" spans="2:14" ht="14.25" x14ac:dyDescent="0.2">
      <c r="C55" s="223" t="s">
        <v>138</v>
      </c>
      <c r="D55" s="223"/>
      <c r="E55" s="223"/>
      <c r="F55" s="223"/>
      <c r="G55" s="223"/>
      <c r="H55" s="223"/>
      <c r="I55" s="223"/>
      <c r="J55" s="223"/>
      <c r="K55" s="223"/>
      <c r="L55" s="223"/>
      <c r="M55" s="223"/>
      <c r="N55" s="223"/>
    </row>
    <row r="56" spans="2:14" ht="27" customHeight="1" x14ac:dyDescent="0.2">
      <c r="C56" s="224" t="s">
        <v>105</v>
      </c>
      <c r="D56" s="224"/>
      <c r="E56" s="224"/>
      <c r="F56" s="224"/>
      <c r="G56" s="224"/>
      <c r="H56" s="224"/>
      <c r="I56" s="224"/>
      <c r="J56" s="224"/>
      <c r="K56" s="224"/>
      <c r="L56" s="224"/>
      <c r="M56" s="224"/>
      <c r="N56" s="224"/>
    </row>
  </sheetData>
  <mergeCells count="77">
    <mergeCell ref="C55:N55"/>
    <mergeCell ref="C56:N56"/>
    <mergeCell ref="C54:N54"/>
    <mergeCell ref="K49:L49"/>
    <mergeCell ref="K50:L50"/>
    <mergeCell ref="M49:N49"/>
    <mergeCell ref="M50:N50"/>
    <mergeCell ref="I49:J49"/>
    <mergeCell ref="I50:J50"/>
    <mergeCell ref="C53:N53"/>
    <mergeCell ref="M31:N31"/>
    <mergeCell ref="M32:N32"/>
    <mergeCell ref="M37:N37"/>
    <mergeCell ref="M38:N38"/>
    <mergeCell ref="M39:N39"/>
    <mergeCell ref="M33:N33"/>
    <mergeCell ref="M34:N34"/>
    <mergeCell ref="M35:N35"/>
    <mergeCell ref="M36:N36"/>
    <mergeCell ref="M40:N40"/>
    <mergeCell ref="M41:N41"/>
    <mergeCell ref="M42:N42"/>
    <mergeCell ref="M43:N43"/>
    <mergeCell ref="M44:N44"/>
    <mergeCell ref="I31:J31"/>
    <mergeCell ref="I32:J32"/>
    <mergeCell ref="I37:J37"/>
    <mergeCell ref="K31:L31"/>
    <mergeCell ref="K32:L32"/>
    <mergeCell ref="K37:L37"/>
    <mergeCell ref="I34:J34"/>
    <mergeCell ref="K34:L34"/>
    <mergeCell ref="I35:J35"/>
    <mergeCell ref="K35:L35"/>
    <mergeCell ref="I36:J36"/>
    <mergeCell ref="K36:L36"/>
    <mergeCell ref="K38:L38"/>
    <mergeCell ref="K39:L39"/>
    <mergeCell ref="K40:L40"/>
    <mergeCell ref="K41:L41"/>
    <mergeCell ref="K42:L42"/>
    <mergeCell ref="K43:L43"/>
    <mergeCell ref="K44:L44"/>
    <mergeCell ref="C10:N10"/>
    <mergeCell ref="C11:N11"/>
    <mergeCell ref="B13:C13"/>
    <mergeCell ref="H12:J12"/>
    <mergeCell ref="B30:C30"/>
    <mergeCell ref="I38:J38"/>
    <mergeCell ref="I39:J39"/>
    <mergeCell ref="I40:J40"/>
    <mergeCell ref="I41:J41"/>
    <mergeCell ref="I42:J42"/>
    <mergeCell ref="I43:J43"/>
    <mergeCell ref="I44:J44"/>
    <mergeCell ref="I33:J33"/>
    <mergeCell ref="K33:L33"/>
    <mergeCell ref="A1:N1"/>
    <mergeCell ref="A2:N2"/>
    <mergeCell ref="A3:N3"/>
    <mergeCell ref="C6:N6"/>
    <mergeCell ref="C9:N9"/>
    <mergeCell ref="C7:N7"/>
    <mergeCell ref="C8:N8"/>
    <mergeCell ref="A5:N5"/>
    <mergeCell ref="I45:J45"/>
    <mergeCell ref="K45:L45"/>
    <mergeCell ref="M45:N45"/>
    <mergeCell ref="I46:J46"/>
    <mergeCell ref="K46:L46"/>
    <mergeCell ref="M46:N46"/>
    <mergeCell ref="I47:J47"/>
    <mergeCell ref="K47:L47"/>
    <mergeCell ref="M47:N47"/>
    <mergeCell ref="I48:J48"/>
    <mergeCell ref="K48:L48"/>
    <mergeCell ref="M48:N48"/>
  </mergeCells>
  <phoneticPr fontId="2" type="noConversion"/>
  <pageMargins left="0.75" right="0.75" top="1" bottom="1" header="0.5" footer="0.5"/>
  <pageSetup scale="56" orientation="landscape" r:id="rId1"/>
  <headerFooter alignWithMargins="0">
    <oddFooter>Page &amp;P of &amp;N</oddFooter>
  </headerFooter>
  <colBreaks count="1" manualBreakCount="1">
    <brk id="15" max="1048575" man="1"/>
  </colBreaks>
  <customProperties>
    <customPr name="DVSECTION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L16"/>
  <sheetViews>
    <sheetView zoomScaleNormal="100" workbookViewId="0">
      <selection activeCell="A3" sqref="A3:I3"/>
    </sheetView>
  </sheetViews>
  <sheetFormatPr defaultColWidth="8.7109375" defaultRowHeight="12.75" x14ac:dyDescent="0.2"/>
  <cols>
    <col min="1" max="1" width="34" customWidth="1"/>
    <col min="2" max="9" width="13" customWidth="1"/>
    <col min="10" max="10" width="10.42578125" bestFit="1" customWidth="1"/>
    <col min="11" max="13" width="9.28515625" customWidth="1"/>
  </cols>
  <sheetData>
    <row r="1" spans="1:12" ht="20.25" x14ac:dyDescent="0.3">
      <c r="A1" s="209" t="str">
        <f>Inputs!A1</f>
        <v>Potential To Emit Calculator for Graphic Arts and Printing Operations</v>
      </c>
      <c r="B1" s="209"/>
      <c r="C1" s="209"/>
      <c r="D1" s="209"/>
      <c r="E1" s="209"/>
      <c r="F1" s="209"/>
      <c r="G1" s="209"/>
      <c r="H1" s="209"/>
      <c r="I1" s="209"/>
      <c r="J1" s="10"/>
      <c r="K1" s="10"/>
      <c r="L1" s="10"/>
    </row>
    <row r="2" spans="1:12" x14ac:dyDescent="0.2">
      <c r="A2" s="210">
        <v>42552</v>
      </c>
      <c r="B2" s="210"/>
      <c r="C2" s="210"/>
      <c r="D2" s="210"/>
      <c r="E2" s="210"/>
      <c r="F2" s="210"/>
      <c r="G2" s="210"/>
      <c r="H2" s="210"/>
      <c r="I2" s="210"/>
      <c r="J2" s="11"/>
      <c r="K2" s="11"/>
      <c r="L2" s="11"/>
    </row>
    <row r="3" spans="1:12" ht="17.25" customHeight="1" x14ac:dyDescent="0.2">
      <c r="A3" s="229" t="s">
        <v>80</v>
      </c>
      <c r="B3" s="229"/>
      <c r="C3" s="229"/>
      <c r="D3" s="229"/>
      <c r="E3" s="229"/>
      <c r="F3" s="229"/>
      <c r="G3" s="229"/>
      <c r="H3" s="229"/>
      <c r="I3" s="229"/>
      <c r="J3" s="11"/>
      <c r="K3" s="11"/>
      <c r="L3" s="11"/>
    </row>
    <row r="4" spans="1:12" ht="17.25" customHeight="1" x14ac:dyDescent="0.2">
      <c r="A4" s="21"/>
      <c r="B4" s="20"/>
      <c r="C4" s="20"/>
      <c r="D4" s="14"/>
      <c r="E4" s="14"/>
      <c r="F4" s="14"/>
      <c r="G4" s="14"/>
      <c r="H4" s="14"/>
      <c r="I4" s="14"/>
      <c r="J4" s="11"/>
      <c r="K4" s="11"/>
      <c r="L4" s="11"/>
    </row>
    <row r="6" spans="1:12" ht="13.5" thickBot="1" x14ac:dyDescent="0.25">
      <c r="A6" s="7" t="s">
        <v>25</v>
      </c>
    </row>
    <row r="7" spans="1:12" x14ac:dyDescent="0.2">
      <c r="A7" s="166"/>
      <c r="B7" s="225" t="s">
        <v>19</v>
      </c>
      <c r="C7" s="226"/>
      <c r="D7" s="226"/>
      <c r="E7" s="226"/>
      <c r="F7" s="226"/>
      <c r="G7" s="226"/>
      <c r="H7" s="227"/>
      <c r="I7" s="228"/>
    </row>
    <row r="8" spans="1:12" ht="15.75" x14ac:dyDescent="0.2">
      <c r="A8" s="167" t="s">
        <v>45</v>
      </c>
      <c r="B8" s="66" t="s">
        <v>17</v>
      </c>
      <c r="C8" s="66" t="s">
        <v>6</v>
      </c>
      <c r="D8" s="66" t="s">
        <v>5</v>
      </c>
      <c r="E8" s="66" t="s">
        <v>7</v>
      </c>
      <c r="F8" s="66" t="s">
        <v>8</v>
      </c>
      <c r="G8" s="66" t="s">
        <v>18</v>
      </c>
      <c r="H8" s="66" t="s">
        <v>20</v>
      </c>
      <c r="I8" s="191" t="s">
        <v>134</v>
      </c>
    </row>
    <row r="9" spans="1:12" x14ac:dyDescent="0.2">
      <c r="A9" s="168" t="s">
        <v>109</v>
      </c>
      <c r="B9" s="155" t="s">
        <v>76</v>
      </c>
      <c r="C9" s="155" t="s">
        <v>76</v>
      </c>
      <c r="D9" s="155" t="s">
        <v>76</v>
      </c>
      <c r="E9" s="155" t="s">
        <v>76</v>
      </c>
      <c r="F9" s="155" t="s">
        <v>76</v>
      </c>
      <c r="G9" s="155" t="s">
        <v>76</v>
      </c>
      <c r="H9" s="190">
        <f>Printing!M36</f>
        <v>0</v>
      </c>
      <c r="I9" s="170">
        <f>Printing!N36</f>
        <v>0</v>
      </c>
    </row>
    <row r="10" spans="1:12" x14ac:dyDescent="0.2">
      <c r="A10" s="169" t="s">
        <v>60</v>
      </c>
      <c r="B10" s="150">
        <f>Heaters!E17</f>
        <v>0.32635294117647062</v>
      </c>
      <c r="C10" s="150">
        <f>Heaters!F17</f>
        <v>0.32635294117647062</v>
      </c>
      <c r="D10" s="150">
        <f>Heaters!G17</f>
        <v>0.32635294117647062</v>
      </c>
      <c r="E10" s="150">
        <f>Heaters!H17</f>
        <v>2.5764705882352943E-2</v>
      </c>
      <c r="F10" s="150">
        <f>Heaters!I17</f>
        <v>4.2941176470588234</v>
      </c>
      <c r="G10" s="150">
        <f>Heaters!J17</f>
        <v>3.6070588235294117</v>
      </c>
      <c r="H10" s="150">
        <f>Heaters!K17</f>
        <v>0.23617647058823529</v>
      </c>
      <c r="I10" s="194">
        <f>Heaters!L17</f>
        <v>8.1025705882352958E-2</v>
      </c>
    </row>
    <row r="11" spans="1:12" x14ac:dyDescent="0.2">
      <c r="A11" s="169" t="s">
        <v>61</v>
      </c>
      <c r="B11" s="150">
        <f>Heaters!E32</f>
        <v>0</v>
      </c>
      <c r="C11" s="150">
        <f>Heaters!F32</f>
        <v>0</v>
      </c>
      <c r="D11" s="150">
        <f>Heaters!G32</f>
        <v>0</v>
      </c>
      <c r="E11" s="150">
        <f>Heaters!H32</f>
        <v>0</v>
      </c>
      <c r="F11" s="150">
        <f>Heaters!I32</f>
        <v>0</v>
      </c>
      <c r="G11" s="150">
        <f>Heaters!J32</f>
        <v>0</v>
      </c>
      <c r="H11" s="150">
        <f>Heaters!K32</f>
        <v>0</v>
      </c>
      <c r="I11" s="170">
        <f>Heaters!L32</f>
        <v>0</v>
      </c>
    </row>
    <row r="12" spans="1:12" x14ac:dyDescent="0.2">
      <c r="A12" s="169" t="s">
        <v>62</v>
      </c>
      <c r="B12" s="150">
        <f>Heaters!E47</f>
        <v>0</v>
      </c>
      <c r="C12" s="150">
        <f>Heaters!F47</f>
        <v>0</v>
      </c>
      <c r="D12" s="150">
        <f>Heaters!G47</f>
        <v>0</v>
      </c>
      <c r="E12" s="150">
        <f>Heaters!H47</f>
        <v>0</v>
      </c>
      <c r="F12" s="150">
        <f>Heaters!I47</f>
        <v>0</v>
      </c>
      <c r="G12" s="150">
        <f>Heaters!J47</f>
        <v>0</v>
      </c>
      <c r="H12" s="150">
        <f>Heaters!K47</f>
        <v>0</v>
      </c>
      <c r="I12" s="170">
        <f>Heaters!L47</f>
        <v>0</v>
      </c>
    </row>
    <row r="13" spans="1:12" x14ac:dyDescent="0.2">
      <c r="A13" s="169" t="s">
        <v>140</v>
      </c>
      <c r="B13" s="150">
        <f>'Emergency Generator'!E17+'Emergency Generator'!E33</f>
        <v>0.17499999999999999</v>
      </c>
      <c r="C13" s="150">
        <f>'Emergency Generator'!F17+'Emergency Generator'!F33</f>
        <v>0.17499999999999999</v>
      </c>
      <c r="D13" s="150">
        <f>'Emergency Generator'!G17+'Emergency Generator'!G33</f>
        <v>0.17499999999999999</v>
      </c>
      <c r="E13" s="150">
        <f>'Emergency Generator'!H17+'Emergency Generator'!H33</f>
        <v>3.03375E-3</v>
      </c>
      <c r="F13" s="150">
        <f>'Emergency Generator'!I17+'Emergency Generator'!I33</f>
        <v>6</v>
      </c>
      <c r="G13" s="150">
        <f>'Emergency Generator'!J17+'Emergency Generator'!J33</f>
        <v>1.375</v>
      </c>
      <c r="H13" s="150">
        <f>'Emergency Generator'!K17+'Emergency Generator'!K33</f>
        <v>0.17624999999999999</v>
      </c>
      <c r="I13" s="197">
        <f>'Emergency Generator'!L17+'Emergency Generator'!L33</f>
        <v>7.4934650000000004E-3</v>
      </c>
    </row>
    <row r="14" spans="1:12" x14ac:dyDescent="0.2">
      <c r="A14" s="169" t="s">
        <v>141</v>
      </c>
      <c r="B14" s="150">
        <f>'Emergency Generator'!E49</f>
        <v>0</v>
      </c>
      <c r="C14" s="150">
        <f>'Emergency Generator'!F49</f>
        <v>0</v>
      </c>
      <c r="D14" s="150">
        <f>'Emergency Generator'!G49</f>
        <v>0</v>
      </c>
      <c r="E14" s="150">
        <f>'Emergency Generator'!H49</f>
        <v>0</v>
      </c>
      <c r="F14" s="150">
        <f>'Emergency Generator'!I49</f>
        <v>0</v>
      </c>
      <c r="G14" s="150">
        <f>'Emergency Generator'!J49</f>
        <v>0</v>
      </c>
      <c r="H14" s="150">
        <f>'Emergency Generator'!K49</f>
        <v>0</v>
      </c>
      <c r="I14" s="197">
        <f>'Emergency Generator'!L49</f>
        <v>0</v>
      </c>
    </row>
    <row r="15" spans="1:12" ht="13.5" thickBot="1" x14ac:dyDescent="0.25">
      <c r="A15" s="171"/>
      <c r="B15" s="6"/>
      <c r="C15" s="6"/>
      <c r="D15" s="6"/>
      <c r="E15" s="6"/>
      <c r="F15" s="6"/>
      <c r="G15" s="6"/>
      <c r="H15" s="6"/>
      <c r="I15" s="172"/>
    </row>
    <row r="16" spans="1:12" ht="14.25" thickTop="1" thickBot="1" x14ac:dyDescent="0.25">
      <c r="A16" s="173" t="s">
        <v>81</v>
      </c>
      <c r="B16" s="174">
        <f>SUM(B9:B14)</f>
        <v>0.50135294117647056</v>
      </c>
      <c r="C16" s="175">
        <f>SUM(C9:C14)</f>
        <v>0.50135294117647056</v>
      </c>
      <c r="D16" s="175">
        <f t="shared" ref="D16:G16" si="0">SUM(D9:D14)</f>
        <v>0.50135294117647056</v>
      </c>
      <c r="E16" s="175">
        <f t="shared" si="0"/>
        <v>2.8798455882352941E-2</v>
      </c>
      <c r="F16" s="175">
        <f t="shared" si="0"/>
        <v>10.294117647058822</v>
      </c>
      <c r="G16" s="175">
        <f t="shared" si="0"/>
        <v>4.9820588235294121</v>
      </c>
      <c r="H16" s="189">
        <f>SUM(H9:H14)</f>
        <v>0.41242647058823528</v>
      </c>
      <c r="I16" s="184">
        <f>SUM(I9:I14)</f>
        <v>8.8519170882352963E-2</v>
      </c>
    </row>
  </sheetData>
  <mergeCells count="4">
    <mergeCell ref="A1:I1"/>
    <mergeCell ref="A2:I2"/>
    <mergeCell ref="B7:I7"/>
    <mergeCell ref="A3:I3"/>
  </mergeCells>
  <phoneticPr fontId="2" type="noConversion"/>
  <pageMargins left="0.75" right="0.75" top="1" bottom="1" header="0.5" footer="0.5"/>
  <pageSetup scale="88" orientation="landscape"/>
  <headerFooter alignWithMargins="0">
    <oddFooter>Page &amp;P of &amp;N</oddFooter>
  </headerFooter>
  <customProperties>
    <customPr name="DVSECTIONID" r:id="rId1"/>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7109375" defaultRowHeight="12.75" x14ac:dyDescent="0.2"/>
  <sheetData>
    <row r="1" spans="1:256" x14ac:dyDescent="0.2">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AND(Inputs!G1,"AAAAAH3zvQY=")</f>
        <v>#VALUE!</v>
      </c>
      <c r="H1" t="e">
        <f>AND(Inputs!H1,"AAAAAH3zvQc=")</f>
        <v>#VALUE!</v>
      </c>
      <c r="I1" t="e">
        <f>AND(Inputs!I1,"AAAAAH3zvQg=")</f>
        <v>#VALUE!</v>
      </c>
      <c r="J1" t="e">
        <f>AND(Inputs!J1,"AAAAAH3zvQk=")</f>
        <v>#VALUE!</v>
      </c>
      <c r="K1" t="e">
        <f>AND(Inputs!K1,"AAAAAH3zvQo=")</f>
        <v>#VALUE!</v>
      </c>
      <c r="L1" t="e">
        <f>AND(Inputs!M1,"AAAAAH3zvQs=")</f>
        <v>#VALUE!</v>
      </c>
      <c r="M1" t="e">
        <f>AND(Inputs!N1,"AAAAAH3zvQw=")</f>
        <v>#VALUE!</v>
      </c>
      <c r="N1" t="e">
        <f>AND(Inputs!O1,"AAAAAH3zvQ0=")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AND(Inputs!G2,"AAAAAH3zvRQ=")</f>
        <v>#VALUE!</v>
      </c>
      <c r="V1" t="e">
        <f>AND(Inputs!H2,"AAAAAH3zvRU=")</f>
        <v>#VALUE!</v>
      </c>
      <c r="W1" t="e">
        <f>AND(Inputs!I2,"AAAAAH3zvRY=")</f>
        <v>#VALUE!</v>
      </c>
      <c r="X1" t="e">
        <f>AND(Inputs!J2,"AAAAAH3zvRc=")</f>
        <v>#VALUE!</v>
      </c>
      <c r="Y1" t="e">
        <f>AND(Inputs!K2,"AAAAAH3zvRg=")</f>
        <v>#VALUE!</v>
      </c>
      <c r="Z1" t="e">
        <f>AND(Inputs!M2,"AAAAAH3zvRk=")</f>
        <v>#VALUE!</v>
      </c>
      <c r="AA1" t="e">
        <f>AND(Inputs!N2,"AAAAAH3zvRo=")</f>
        <v>#VALUE!</v>
      </c>
      <c r="AB1" t="e">
        <f>AND(Inputs!O2,"AAAAAH3zvRs=")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AND(Inputs!G3,"AAAAAH3zvSI=")</f>
        <v>#VALUE!</v>
      </c>
      <c r="AJ1" t="e">
        <f>AND(Inputs!H3,"AAAAAH3zvSM=")</f>
        <v>#VALUE!</v>
      </c>
      <c r="AK1" t="e">
        <f>AND(Inputs!I3,"AAAAAH3zvSQ=")</f>
        <v>#VALUE!</v>
      </c>
      <c r="AL1" t="e">
        <f>AND(Inputs!J3,"AAAAAH3zvSU=")</f>
        <v>#VALUE!</v>
      </c>
      <c r="AM1" t="e">
        <f>AND(Inputs!K3,"AAAAAH3zvSY=")</f>
        <v>#VALUE!</v>
      </c>
      <c r="AN1" t="e">
        <f>AND(Inputs!M3,"AAAAAH3zvSc=")</f>
        <v>#VALUE!</v>
      </c>
      <c r="AO1" t="e">
        <f>AND(Inputs!N3,"AAAAAH3zvSg=")</f>
        <v>#VALUE!</v>
      </c>
      <c r="AP1" t="e">
        <f>AND(Inputs!O3,"AAAAAH3zvSk=")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AND(Inputs!G4,"AAAAAH3zvTA=")</f>
        <v>#VALUE!</v>
      </c>
      <c r="AX1" t="e">
        <f>AND(Inputs!H4,"AAAAAH3zvTE=")</f>
        <v>#VALUE!</v>
      </c>
      <c r="AY1" t="e">
        <f>AND(Inputs!I4,"AAAAAH3zvTI=")</f>
        <v>#VALUE!</v>
      </c>
      <c r="AZ1" t="e">
        <f>AND(Inputs!J4,"AAAAAH3zvTM=")</f>
        <v>#VALUE!</v>
      </c>
      <c r="BA1" t="e">
        <f>AND(Inputs!K4,"AAAAAH3zvTQ=")</f>
        <v>#VALUE!</v>
      </c>
      <c r="BB1" t="e">
        <f>AND(Inputs!M4,"AAAAAH3zvTU=")</f>
        <v>#VALUE!</v>
      </c>
      <c r="BC1" t="e">
        <f>AND(Inputs!N4,"AAAAAH3zvTY=")</f>
        <v>#VALUE!</v>
      </c>
      <c r="BD1" t="e">
        <f>AND(Inputs!O4,"AAAAAH3zvTc=")</f>
        <v>#VALUE!</v>
      </c>
      <c r="BE1">
        <f>IF(Inputs!6:6,"AAAAAH3zvTg=",0)</f>
        <v>0</v>
      </c>
      <c r="BF1" t="e">
        <f>AND(Inputs!A6,"AAAAAH3zvTk=")</f>
        <v>#VALUE!</v>
      </c>
      <c r="BG1" t="e">
        <f>AND(Inputs!B6,"AAAAAH3zvTo=")</f>
        <v>#VALUE!</v>
      </c>
      <c r="BH1" t="e">
        <f>AND(Inputs!C6,"AAAAAH3zvTs=")</f>
        <v>#VALUE!</v>
      </c>
      <c r="BI1" t="e">
        <f>AND(Inputs!D6,"AAAAAH3zvTw=")</f>
        <v>#VALUE!</v>
      </c>
      <c r="BJ1" t="e">
        <f>AND(Inputs!E6,"AAAAAH3zvT0=")</f>
        <v>#VALUE!</v>
      </c>
      <c r="BK1" t="e">
        <f>AND(Inputs!G6,"AAAAAH3zvT4=")</f>
        <v>#VALUE!</v>
      </c>
      <c r="BL1" t="e">
        <f>AND(Inputs!H6,"AAAAAH3zvT8=")</f>
        <v>#VALUE!</v>
      </c>
      <c r="BM1" t="e">
        <f>AND(Inputs!I6,"AAAAAH3zvUA=")</f>
        <v>#VALUE!</v>
      </c>
      <c r="BN1" t="e">
        <f>AND(Inputs!J6,"AAAAAH3zvUE=")</f>
        <v>#VALUE!</v>
      </c>
      <c r="BO1" t="e">
        <f>AND(Inputs!K6,"AAAAAH3zvUI=")</f>
        <v>#VALUE!</v>
      </c>
      <c r="BP1" t="e">
        <f>AND(Inputs!M6,"AAAAAH3zvUM=")</f>
        <v>#VALUE!</v>
      </c>
      <c r="BQ1" t="e">
        <f>AND(Inputs!N6,"AAAAAH3zvUQ=")</f>
        <v>#VALUE!</v>
      </c>
      <c r="BR1" t="e">
        <f>AND(Inputs!O6,"AAAAAH3zvUU=")</f>
        <v>#VALUE!</v>
      </c>
      <c r="BS1">
        <f>IF(Inputs!7:7,"AAAAAH3zvUY=",0)</f>
        <v>0</v>
      </c>
      <c r="BT1" t="e">
        <f>AND(Inputs!A7,"AAAAAH3zvUc=")</f>
        <v>#VALUE!</v>
      </c>
      <c r="BU1" t="e">
        <f>AND(Inputs!B7,"AAAAAH3zvUg=")</f>
        <v>#VALUE!</v>
      </c>
      <c r="BV1" t="e">
        <f>AND(Inputs!C7,"AAAAAH3zvUk=")</f>
        <v>#VALUE!</v>
      </c>
      <c r="BW1" t="e">
        <f>AND(Inputs!D7,"AAAAAH3zvUo=")</f>
        <v>#VALUE!</v>
      </c>
      <c r="BX1" t="e">
        <f>AND(Inputs!E7,"AAAAAH3zvUs=")</f>
        <v>#VALUE!</v>
      </c>
      <c r="BY1" t="e">
        <f>AND(Inputs!G7,"AAAAAH3zvUw=")</f>
        <v>#VALUE!</v>
      </c>
      <c r="BZ1" t="e">
        <f>AND(Inputs!H7,"AAAAAH3zvU0=")</f>
        <v>#VALUE!</v>
      </c>
      <c r="CA1" t="e">
        <f>AND(Inputs!I7,"AAAAAH3zvU4=")</f>
        <v>#VALUE!</v>
      </c>
      <c r="CB1" t="e">
        <f>AND(Inputs!J7,"AAAAAH3zvU8=")</f>
        <v>#VALUE!</v>
      </c>
      <c r="CC1" t="e">
        <f>AND(Inputs!K7,"AAAAAH3zvVA=")</f>
        <v>#VALUE!</v>
      </c>
      <c r="CD1" t="e">
        <f>AND(Inputs!M7,"AAAAAH3zvVE=")</f>
        <v>#VALUE!</v>
      </c>
      <c r="CE1" t="e">
        <f>AND(Inputs!N7,"AAAAAH3zvVI=")</f>
        <v>#VALUE!</v>
      </c>
      <c r="CF1" t="e">
        <f>AND(Inputs!O7,"AAAAAH3zvVM=")</f>
        <v>#VALUE!</v>
      </c>
      <c r="CG1">
        <f>IF(Inputs!9:9,"AAAAAH3zvVQ=",0)</f>
        <v>0</v>
      </c>
      <c r="CH1" t="e">
        <f>AND(Inputs!A9,"AAAAAH3zvVU=")</f>
        <v>#VALUE!</v>
      </c>
      <c r="CI1" t="e">
        <f>AND(Inputs!B9,"AAAAAH3zvVY=")</f>
        <v>#VALUE!</v>
      </c>
      <c r="CJ1" t="e">
        <f>AND(Inputs!C9,"AAAAAH3zvVc=")</f>
        <v>#VALUE!</v>
      </c>
      <c r="CK1" t="e">
        <f>AND(Inputs!D9,"AAAAAH3zvVg=")</f>
        <v>#VALUE!</v>
      </c>
      <c r="CL1" t="e">
        <f>AND(Inputs!E9,"AAAAAH3zvVk=")</f>
        <v>#VALUE!</v>
      </c>
      <c r="CM1" t="e">
        <f>AND(Inputs!G9,"AAAAAH3zvVo=")</f>
        <v>#VALUE!</v>
      </c>
      <c r="CN1" t="e">
        <f>AND(Inputs!H9,"AAAAAH3zvVs=")</f>
        <v>#VALUE!</v>
      </c>
      <c r="CO1" t="e">
        <f>AND(Inputs!I9,"AAAAAH3zvVw=")</f>
        <v>#VALUE!</v>
      </c>
      <c r="CP1" t="e">
        <f>AND(Inputs!J9,"AAAAAH3zvV0=")</f>
        <v>#VALUE!</v>
      </c>
      <c r="CQ1" t="e">
        <f>AND(Inputs!K9,"AAAAAH3zvV4=")</f>
        <v>#VALUE!</v>
      </c>
      <c r="CR1" t="e">
        <f>AND(Inputs!M9,"AAAAAH3zvV8=")</f>
        <v>#VALUE!</v>
      </c>
      <c r="CS1" t="e">
        <f>AND(Inputs!N9,"AAAAAH3zvWA=")</f>
        <v>#VALUE!</v>
      </c>
      <c r="CT1" t="e">
        <f>AND(Inputs!O9,"AAAAAH3zvWE=")</f>
        <v>#VALUE!</v>
      </c>
      <c r="CU1">
        <f>IF(Inputs!10:10,"AAAAAH3zvWI=",0)</f>
        <v>0</v>
      </c>
      <c r="CV1" t="e">
        <f>AND(Inputs!A10,"AAAAAH3zvWM=")</f>
        <v>#VALUE!</v>
      </c>
      <c r="CW1" t="e">
        <f>AND(Inputs!B10,"AAAAAH3zvWQ=")</f>
        <v>#VALUE!</v>
      </c>
      <c r="CX1" t="e">
        <f>AND(Inputs!C10,"AAAAAH3zvWU=")</f>
        <v>#VALUE!</v>
      </c>
      <c r="CY1" t="e">
        <f>AND(Inputs!D10,"AAAAAH3zvWY=")</f>
        <v>#VALUE!</v>
      </c>
      <c r="CZ1" t="e">
        <f>AND(Inputs!E10,"AAAAAH3zvWc=")</f>
        <v>#VALUE!</v>
      </c>
      <c r="DA1" t="e">
        <f>AND(Inputs!G10,"AAAAAH3zvWg=")</f>
        <v>#VALUE!</v>
      </c>
      <c r="DB1" t="e">
        <f>AND(Inputs!H10,"AAAAAH3zvWk=")</f>
        <v>#VALUE!</v>
      </c>
      <c r="DC1" t="e">
        <f>AND(Inputs!I10,"AAAAAH3zvWo=")</f>
        <v>#VALUE!</v>
      </c>
      <c r="DD1" t="e">
        <f>AND(Inputs!J10,"AAAAAH3zvWs=")</f>
        <v>#VALUE!</v>
      </c>
      <c r="DE1" t="e">
        <f>AND(Inputs!K10,"AAAAAH3zvWw=")</f>
        <v>#VALUE!</v>
      </c>
      <c r="DF1" t="e">
        <f>AND(Inputs!M10,"AAAAAH3zvW0=")</f>
        <v>#VALUE!</v>
      </c>
      <c r="DG1" t="e">
        <f>AND(Inputs!N10,"AAAAAH3zvW4=")</f>
        <v>#VALUE!</v>
      </c>
      <c r="DH1" t="e">
        <f>AND(Inputs!O10,"AAAAAH3zvW8=")</f>
        <v>#VALUE!</v>
      </c>
      <c r="DI1">
        <f>IF(Inputs!11:11,"AAAAAH3zvXA=",0)</f>
        <v>0</v>
      </c>
      <c r="DJ1" t="e">
        <f>AND(Inputs!A11,"AAAAAH3zvXE=")</f>
        <v>#VALUE!</v>
      </c>
      <c r="DK1" t="e">
        <f>AND(Inputs!B11,"AAAAAH3zvXI=")</f>
        <v>#VALUE!</v>
      </c>
      <c r="DL1" t="e">
        <f>AND(Inputs!C11,"AAAAAH3zvXM=")</f>
        <v>#VALUE!</v>
      </c>
      <c r="DM1" t="e">
        <f>AND(Inputs!D11,"AAAAAH3zvXQ=")</f>
        <v>#VALUE!</v>
      </c>
      <c r="DN1" t="e">
        <f>AND(Inputs!E11,"AAAAAH3zvXU=")</f>
        <v>#VALUE!</v>
      </c>
      <c r="DO1" t="e">
        <f>AND(Inputs!G11,"AAAAAH3zvXY=")</f>
        <v>#VALUE!</v>
      </c>
      <c r="DP1" t="e">
        <f>AND(Inputs!H11,"AAAAAH3zvXc=")</f>
        <v>#VALUE!</v>
      </c>
      <c r="DQ1" t="e">
        <f>AND(Inputs!I11,"AAAAAH3zvXg=")</f>
        <v>#VALUE!</v>
      </c>
      <c r="DR1" t="e">
        <f>AND(Inputs!J11,"AAAAAH3zvXk=")</f>
        <v>#VALUE!</v>
      </c>
      <c r="DS1" t="e">
        <f>AND(Inputs!K11,"AAAAAH3zvXo=")</f>
        <v>#VALUE!</v>
      </c>
      <c r="DT1" t="e">
        <f>AND(Inputs!M11,"AAAAAH3zvXs=")</f>
        <v>#VALUE!</v>
      </c>
      <c r="DU1" t="e">
        <f>AND(Inputs!N11,"AAAAAH3zvXw=")</f>
        <v>#VALUE!</v>
      </c>
      <c r="DV1" t="e">
        <f>AND(Inputs!O11,"AAAAAH3zvX0=")</f>
        <v>#VALUE!</v>
      </c>
      <c r="DW1" t="e">
        <f>IF(Inputs!#REF!,"AAAAAH3zvX4=",0)</f>
        <v>#REF!</v>
      </c>
      <c r="DX1" t="e">
        <f>AND(Inputs!#REF!,"AAAAAH3zvX8=")</f>
        <v>#REF!</v>
      </c>
      <c r="DY1" t="e">
        <f>AND(Inputs!#REF!,"AAAAAH3zvYA=")</f>
        <v>#REF!</v>
      </c>
      <c r="DZ1" t="e">
        <f>AND(Inputs!#REF!,"AAAAAH3zvYE=")</f>
        <v>#REF!</v>
      </c>
      <c r="EA1" t="e">
        <f>AND(Inputs!#REF!,"AAAAAH3zvYI=")</f>
        <v>#REF!</v>
      </c>
      <c r="EB1" t="e">
        <f>AND(Inputs!#REF!,"AAAAAH3zvYM=")</f>
        <v>#REF!</v>
      </c>
      <c r="EC1" t="e">
        <f>AND(Inputs!#REF!,"AAAAAH3zvYQ=")</f>
        <v>#REF!</v>
      </c>
      <c r="ED1" t="e">
        <f>AND(Inputs!#REF!,"AAAAAH3zvYU=")</f>
        <v>#REF!</v>
      </c>
      <c r="EE1" t="e">
        <f>AND(Inputs!#REF!,"AAAAAH3zvYY=")</f>
        <v>#REF!</v>
      </c>
      <c r="EF1" t="e">
        <f>AND(Inputs!#REF!,"AAAAAH3zvYc=")</f>
        <v>#REF!</v>
      </c>
      <c r="EG1" t="e">
        <f>AND(Inputs!#REF!,"AAAAAH3zvYg=")</f>
        <v>#REF!</v>
      </c>
      <c r="EH1" t="e">
        <f>AND(Inputs!#REF!,"AAAAAH3zvYk=")</f>
        <v>#REF!</v>
      </c>
      <c r="EI1" t="e">
        <f>AND(Inputs!#REF!,"AAAAAH3zvYo=")</f>
        <v>#REF!</v>
      </c>
      <c r="EJ1" t="e">
        <f>AND(Inputs!#REF!,"AAAAAH3zvYs=")</f>
        <v>#REF!</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IF(Inputs!12:12,"AAAAAH3zvag=",0)</f>
        <v>0</v>
      </c>
      <c r="FN1" t="e">
        <f>AND(Inputs!A12,"AAAAAH3zvak=")</f>
        <v>#VALUE!</v>
      </c>
      <c r="FO1" t="e">
        <f>AND(Inputs!B12,"AAAAAH3zvao=")</f>
        <v>#VALUE!</v>
      </c>
      <c r="FP1" t="e">
        <f>AND(Inputs!C12,"AAAAAH3zvas=")</f>
        <v>#VALUE!</v>
      </c>
      <c r="FQ1" t="e">
        <f>AND(Inputs!D12,"AAAAAH3zvaw=")</f>
        <v>#VALUE!</v>
      </c>
      <c r="FR1" t="e">
        <f>AND(Inputs!E12,"AAAAAH3zva0=")</f>
        <v>#VALUE!</v>
      </c>
      <c r="FS1" t="e">
        <f>AND(Inputs!G12,"AAAAAH3zva4=")</f>
        <v>#VALUE!</v>
      </c>
      <c r="FT1" t="e">
        <f>AND(Inputs!H12,"AAAAAH3zva8=")</f>
        <v>#VALUE!</v>
      </c>
      <c r="FU1" t="e">
        <f>AND(Inputs!I12,"AAAAAH3zvbA=")</f>
        <v>#VALUE!</v>
      </c>
      <c r="FV1" t="e">
        <f>AND(Inputs!J12,"AAAAAH3zvbE=")</f>
        <v>#VALUE!</v>
      </c>
      <c r="FW1" t="e">
        <f>AND(Inputs!K12,"AAAAAH3zvbI=")</f>
        <v>#VALUE!</v>
      </c>
      <c r="FX1" t="e">
        <f>AND(Inputs!M12,"AAAAAH3zvbM=")</f>
        <v>#VALUE!</v>
      </c>
      <c r="FY1" t="e">
        <f>AND(Inputs!N12,"AAAAAH3zvbQ=")</f>
        <v>#VALUE!</v>
      </c>
      <c r="FZ1" t="e">
        <f>AND(Inputs!O12,"AAAAAH3zvbU=")</f>
        <v>#VALUE!</v>
      </c>
      <c r="GA1">
        <f>IF(Inputs!13:13,"AAAAAH3zvbY=",0)</f>
        <v>0</v>
      </c>
      <c r="GB1" t="e">
        <f>AND(Inputs!A13,"AAAAAH3zvbc=")</f>
        <v>#VALUE!</v>
      </c>
      <c r="GC1" t="e">
        <f>AND(Inputs!B13,"AAAAAH3zvbg=")</f>
        <v>#VALUE!</v>
      </c>
      <c r="GD1" t="e">
        <f>AND(Inputs!C13,"AAAAAH3zvbk=")</f>
        <v>#VALUE!</v>
      </c>
      <c r="GE1" t="e">
        <f>AND(Inputs!D13,"AAAAAH3zvbo=")</f>
        <v>#VALUE!</v>
      </c>
      <c r="GF1" t="e">
        <f>AND(Inputs!E13,"AAAAAH3zvbs=")</f>
        <v>#VALUE!</v>
      </c>
      <c r="GG1" t="e">
        <f>AND(Inputs!G13,"AAAAAH3zvbw=")</f>
        <v>#VALUE!</v>
      </c>
      <c r="GH1" t="e">
        <f>AND(Inputs!H13,"AAAAAH3zvb0=")</f>
        <v>#VALUE!</v>
      </c>
      <c r="GI1" t="e">
        <f>AND(Inputs!I13,"AAAAAH3zvb4=")</f>
        <v>#VALUE!</v>
      </c>
      <c r="GJ1" t="e">
        <f>AND(Inputs!J13,"AAAAAH3zvb8=")</f>
        <v>#VALUE!</v>
      </c>
      <c r="GK1" t="e">
        <f>AND(Inputs!K13,"AAAAAH3zvcA=")</f>
        <v>#VALUE!</v>
      </c>
      <c r="GL1" t="e">
        <f>AND(Inputs!M13,"AAAAAH3zvcE=")</f>
        <v>#VALUE!</v>
      </c>
      <c r="GM1" t="e">
        <f>AND(Inputs!N13,"AAAAAH3zvcI=")</f>
        <v>#VALUE!</v>
      </c>
      <c r="GN1" t="e">
        <f>AND(Inputs!O13,"AAAAAH3zvcM=")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AND(Inputs!#REF!,"AAAAADZv8zM=")</f>
        <v>#REF!</v>
      </c>
      <c r="BA3" t="e">
        <f>AND(Inputs!#REF!,"AAAAADZv8zQ=")</f>
        <v>#REF!</v>
      </c>
      <c r="BB3" t="e">
        <f>AND(Inputs!#REF!,"AAAAADZv8zU=")</f>
        <v>#REF!</v>
      </c>
      <c r="BC3" t="e">
        <f>AND(Inputs!#REF!,"AAAAADZv8zY=")</f>
        <v>#REF!</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f>IF(Inputs!21:21,"AAAAADZv8z4=",0)</f>
        <v>0</v>
      </c>
      <c r="BL3" t="e">
        <f>AND(Inputs!A21,"AAAAADZv8z8=")</f>
        <v>#VALUE!</v>
      </c>
      <c r="BM3" t="e">
        <f>AND(Inputs!B21,"AAAAADZv80A=")</f>
        <v>#VALUE!</v>
      </c>
      <c r="BN3" t="e">
        <f>AND(Inputs!C21,"AAAAADZv80E=")</f>
        <v>#VALUE!</v>
      </c>
      <c r="BO3" t="e">
        <f>AND(Inputs!D21,"AAAAADZv80I=")</f>
        <v>#VALUE!</v>
      </c>
      <c r="BP3" t="e">
        <f>AND(Inputs!E21,"AAAAADZv80M=")</f>
        <v>#VALUE!</v>
      </c>
      <c r="BQ3" t="e">
        <f>AND(Inputs!G21,"AAAAADZv80Q=")</f>
        <v>#VALUE!</v>
      </c>
      <c r="BR3" t="e">
        <f>AND(Inputs!H21,"AAAAADZv80U=")</f>
        <v>#VALUE!</v>
      </c>
      <c r="BS3" t="e">
        <f>AND(Inputs!I21,"AAAAADZv80Y=")</f>
        <v>#VALUE!</v>
      </c>
      <c r="BT3" t="e">
        <f>AND(Inputs!J21,"AAAAADZv80c=")</f>
        <v>#VALUE!</v>
      </c>
      <c r="BU3" t="e">
        <f>AND(Inputs!K21,"AAAAADZv80g=")</f>
        <v>#VALUE!</v>
      </c>
      <c r="BV3" t="e">
        <f>AND(Inputs!M21,"AAAAADZv80k=")</f>
        <v>#VALUE!</v>
      </c>
      <c r="BW3" t="e">
        <f>AND(Inputs!N21,"AAAAADZv80o=")</f>
        <v>#VALUE!</v>
      </c>
      <c r="BX3" t="e">
        <f>AND(Inputs!O21,"AAAAADZv80s=")</f>
        <v>#VALUE!</v>
      </c>
      <c r="BY3">
        <f>IF(Inputs!22:22,"AAAAADZv80w=",0)</f>
        <v>0</v>
      </c>
      <c r="BZ3" t="e">
        <f>AND(Inputs!A22,"AAAAADZv800=")</f>
        <v>#VALUE!</v>
      </c>
      <c r="CA3" t="e">
        <f>AND(Inputs!B22,"AAAAADZv804=")</f>
        <v>#VALUE!</v>
      </c>
      <c r="CB3" t="e">
        <f>AND(Inputs!C22,"AAAAADZv808=")</f>
        <v>#VALUE!</v>
      </c>
      <c r="CC3" t="e">
        <f>AND(Inputs!D22,"AAAAADZv81A=")</f>
        <v>#VALUE!</v>
      </c>
      <c r="CD3" t="e">
        <f>AND(Inputs!E22,"AAAAADZv81E=")</f>
        <v>#VALUE!</v>
      </c>
      <c r="CE3" t="e">
        <f>AND(Inputs!G22,"AAAAADZv81I=")</f>
        <v>#VALUE!</v>
      </c>
      <c r="CF3" t="e">
        <f>AND(Inputs!H22,"AAAAADZv81M=")</f>
        <v>#VALUE!</v>
      </c>
      <c r="CG3" t="e">
        <f>AND(Inputs!I22,"AAAAADZv81Q=")</f>
        <v>#VALUE!</v>
      </c>
      <c r="CH3" t="e">
        <f>AND(Inputs!J22,"AAAAADZv81U=")</f>
        <v>#VALUE!</v>
      </c>
      <c r="CI3" t="e">
        <f>AND(Inputs!K22,"AAAAADZv81Y=")</f>
        <v>#VALUE!</v>
      </c>
      <c r="CJ3" t="e">
        <f>AND(Inputs!M22,"AAAAADZv81c=")</f>
        <v>#VALUE!</v>
      </c>
      <c r="CK3" t="e">
        <f>AND(Inputs!N22,"AAAAADZv81g=")</f>
        <v>#VALUE!</v>
      </c>
      <c r="CL3" t="e">
        <f>AND(Inputs!O22,"AAAAADZv81k=")</f>
        <v>#VALUE!</v>
      </c>
      <c r="CM3">
        <f>IF(Inputs!23:23,"AAAAADZv81o=",0)</f>
        <v>0</v>
      </c>
      <c r="CN3" t="e">
        <f>AND(Inputs!A23,"AAAAADZv81s=")</f>
        <v>#VALUE!</v>
      </c>
      <c r="CO3" t="e">
        <f>AND(Inputs!B23,"AAAAADZv81w=")</f>
        <v>#VALUE!</v>
      </c>
      <c r="CP3" t="e">
        <f>AND(Inputs!C23,"AAAAADZv810=")</f>
        <v>#VALUE!</v>
      </c>
      <c r="CQ3" t="e">
        <f>AND(Inputs!D23,"AAAAADZv814=")</f>
        <v>#VALUE!</v>
      </c>
      <c r="CR3" t="e">
        <f>AND(Inputs!E23,"AAAAADZv818=")</f>
        <v>#VALUE!</v>
      </c>
      <c r="CS3" t="e">
        <f>AND(Inputs!H23,"AAAAADZv82A=")</f>
        <v>#VALUE!</v>
      </c>
      <c r="CT3" t="e">
        <f>AND(Inputs!#REF!,"AAAAADZv82E=")</f>
        <v>#REF!</v>
      </c>
      <c r="CU3" t="e">
        <f>AND(Inputs!#REF!,"AAAAADZv82I=")</f>
        <v>#REF!</v>
      </c>
      <c r="CV3" t="e">
        <f>AND(Inputs!#REF!,"AAAAADZv82M=")</f>
        <v>#REF!</v>
      </c>
      <c r="CW3" t="e">
        <f>AND(Inputs!K23,"AAAAADZv82Q=")</f>
        <v>#VALUE!</v>
      </c>
      <c r="CX3" t="e">
        <f>AND(Inputs!M23,"AAAAADZv82U=")</f>
        <v>#VALUE!</v>
      </c>
      <c r="CY3" t="e">
        <f>AND(Inputs!N23,"AAAAADZv82Y=")</f>
        <v>#VALUE!</v>
      </c>
      <c r="CZ3" t="e">
        <f>AND(Inputs!O23,"AAAAADZv82c=")</f>
        <v>#VALUE!</v>
      </c>
      <c r="DA3">
        <f>IF(Inputs!25:25,"AAAAADZv82g=",0)</f>
        <v>0</v>
      </c>
      <c r="DB3" t="e">
        <f>AND(Inputs!A25,"AAAAADZv82k=")</f>
        <v>#VALUE!</v>
      </c>
      <c r="DC3" t="e">
        <f>AND(Inputs!B25,"AAAAADZv82o=")</f>
        <v>#VALUE!</v>
      </c>
      <c r="DD3" t="e">
        <f>AND(Inputs!C25,"AAAAADZv82s=")</f>
        <v>#VALUE!</v>
      </c>
      <c r="DE3" t="e">
        <f>AND(Inputs!D25,"AAAAADZv82w=")</f>
        <v>#VALUE!</v>
      </c>
      <c r="DF3" t="e">
        <f>AND(Inputs!E25,"AAAAADZv820=")</f>
        <v>#VALUE!</v>
      </c>
      <c r="DG3" t="e">
        <f>AND(Inputs!I23,"AAAAADZv824=")</f>
        <v>#VALUE!</v>
      </c>
      <c r="DH3" t="e">
        <f>AND(Inputs!J23,"AAAAADZv828=")</f>
        <v>#VALUE!</v>
      </c>
      <c r="DI3" t="e">
        <f>AND(Inputs!I25,"AAAAADZv83A=")</f>
        <v>#VALUE!</v>
      </c>
      <c r="DJ3" t="e">
        <f>AND(Inputs!J25,"AAAAADZv83E=")</f>
        <v>#VALUE!</v>
      </c>
      <c r="DK3" t="e">
        <f>AND(Inputs!K25,"AAAAADZv83I=")</f>
        <v>#VALUE!</v>
      </c>
      <c r="DL3" t="e">
        <f>AND(Inputs!M25,"AAAAADZv83M=")</f>
        <v>#VALUE!</v>
      </c>
      <c r="DM3" t="e">
        <f>AND(Inputs!N25,"AAAAADZv83Q=")</f>
        <v>#VALUE!</v>
      </c>
      <c r="DN3" t="e">
        <f>AND(Inputs!O25,"AAAAADZv83U=")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f>IF(Inputs!37:37,"AAAAADZv864=",0)</f>
        <v>0</v>
      </c>
      <c r="FT3" t="e">
        <f>AND(Inputs!A37,"AAAAADZv868=")</f>
        <v>#VALUE!</v>
      </c>
      <c r="FU3" t="e">
        <f>AND(Inputs!B37,"AAAAADZv87A=")</f>
        <v>#VALUE!</v>
      </c>
      <c r="FV3" t="e">
        <f>AND(Inputs!C37,"AAAAADZv87E=")</f>
        <v>#VALUE!</v>
      </c>
      <c r="FW3" t="e">
        <f>AND(Inputs!D37,"AAAAADZv87I=")</f>
        <v>#VALUE!</v>
      </c>
      <c r="FX3" t="e">
        <f>AND(Inputs!E37,"AAAAADZv87M=")</f>
        <v>#VALUE!</v>
      </c>
      <c r="FY3" t="e">
        <f>AND(Inputs!G37,"AAAAADZv87Q=")</f>
        <v>#VALUE!</v>
      </c>
      <c r="FZ3" t="e">
        <f>AND(Inputs!H37,"AAAAADZv87U=")</f>
        <v>#VALUE!</v>
      </c>
      <c r="GA3" t="e">
        <f>AND(Inputs!I37,"AAAAADZv87Y=")</f>
        <v>#VALUE!</v>
      </c>
      <c r="GB3" t="e">
        <f>AND(Inputs!J37,"AAAAADZv87c=")</f>
        <v>#VALUE!</v>
      </c>
      <c r="GC3" t="e">
        <f>AND(Inputs!K37,"AAAAADZv87g=")</f>
        <v>#VALUE!</v>
      </c>
      <c r="GD3" t="e">
        <f>AND(Inputs!M37,"AAAAADZv87k=")</f>
        <v>#VALUE!</v>
      </c>
      <c r="GE3" t="e">
        <f>AND(Inputs!N37,"AAAAADZv87o=")</f>
        <v>#VALUE!</v>
      </c>
      <c r="GF3" t="e">
        <f>AND(Inputs!O37,"AAAAADZv87s=")</f>
        <v>#VALUE!</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f>IF(Inputs!38:38,"AAAAAHZt9sY=",0)</f>
        <v>0</v>
      </c>
      <c r="GR4" t="e">
        <f>AND(Inputs!A38,"AAAAAHZt9sc=")</f>
        <v>#VALUE!</v>
      </c>
      <c r="GS4" t="e">
        <f>AND(Inputs!B38,"AAAAAHZt9sg=")</f>
        <v>#VALUE!</v>
      </c>
      <c r="GT4" t="e">
        <f>AND(Inputs!C38,"AAAAAHZt9sk=")</f>
        <v>#VALUE!</v>
      </c>
      <c r="GU4" t="e">
        <f>AND(Inputs!D38,"AAAAAHZt9so=")</f>
        <v>#VALUE!</v>
      </c>
      <c r="GV4" t="e">
        <f>AND(Inputs!E38,"AAAAAHZt9ss=")</f>
        <v>#VALUE!</v>
      </c>
      <c r="GW4" t="e">
        <f>AND(Inputs!G38,"AAAAAHZt9sw=")</f>
        <v>#VALUE!</v>
      </c>
      <c r="GX4" t="e">
        <f>AND(Inputs!H38,"AAAAAHZt9s0=")</f>
        <v>#VALUE!</v>
      </c>
      <c r="GY4" t="e">
        <f>AND(Inputs!I38,"AAAAAHZt9s4=")</f>
        <v>#VALUE!</v>
      </c>
      <c r="GZ4" t="e">
        <f>AND(Inputs!J38,"AAAAAHZt9s8=")</f>
        <v>#VALUE!</v>
      </c>
      <c r="HA4" t="e">
        <f>AND(Inputs!K38,"AAAAAHZt9tA=")</f>
        <v>#VALUE!</v>
      </c>
      <c r="HB4" t="e">
        <f>AND(Inputs!M38,"AAAAAHZt9tE=")</f>
        <v>#VALUE!</v>
      </c>
      <c r="HC4" t="e">
        <f>AND(Inputs!N38,"AAAAAHZt9tI=")</f>
        <v>#VALUE!</v>
      </c>
      <c r="HD4" t="e">
        <f>AND(Inputs!O38,"AAAAAHZt9tM=")</f>
        <v>#VALUE!</v>
      </c>
      <c r="HE4">
        <f>IF(Inputs!39:39,"AAAAAHZt9tQ=",0)</f>
        <v>0</v>
      </c>
      <c r="HF4" t="e">
        <f>AND(Inputs!A39,"AAAAAHZt9tU=")</f>
        <v>#VALUE!</v>
      </c>
      <c r="HG4" t="e">
        <f>AND(Inputs!B39,"AAAAAHZt9tY=")</f>
        <v>#VALUE!</v>
      </c>
      <c r="HH4" t="e">
        <f>AND(Inputs!C39,"AAAAAHZt9tc=")</f>
        <v>#VALUE!</v>
      </c>
      <c r="HI4" t="e">
        <f>AND(Inputs!D39,"AAAAAHZt9tg=")</f>
        <v>#VALUE!</v>
      </c>
      <c r="HJ4" t="e">
        <f>AND(Inputs!E39,"AAAAAHZt9tk=")</f>
        <v>#VALUE!</v>
      </c>
      <c r="HK4" t="e">
        <f>AND(Inputs!G39,"AAAAAHZt9to=")</f>
        <v>#VALUE!</v>
      </c>
      <c r="HL4" t="e">
        <f>AND(Inputs!H39,"AAAAAHZt9ts=")</f>
        <v>#VALUE!</v>
      </c>
      <c r="HM4" t="e">
        <f>AND(Inputs!I39,"AAAAAHZt9tw=")</f>
        <v>#VALUE!</v>
      </c>
      <c r="HN4" t="e">
        <f>AND(Inputs!J39,"AAAAAHZt9t0=")</f>
        <v>#VALUE!</v>
      </c>
      <c r="HO4" t="e">
        <f>AND(Inputs!K39,"AAAAAHZt9t4=")</f>
        <v>#VALUE!</v>
      </c>
      <c r="HP4" t="e">
        <f>AND(Inputs!M39,"AAAAAHZt9t8=")</f>
        <v>#VALUE!</v>
      </c>
      <c r="HQ4" t="e">
        <f>AND(Inputs!N39,"AAAAAHZt9uA=")</f>
        <v>#VALUE!</v>
      </c>
      <c r="HR4" t="e">
        <f>AND(Inputs!O39,"AAAAAHZt9uE=")</f>
        <v>#VALUE!</v>
      </c>
      <c r="HS4">
        <f>IF(Inputs!40:40,"AAAAAHZt9uI=",0)</f>
        <v>0</v>
      </c>
      <c r="HT4" t="e">
        <f>AND(Inputs!A40,"AAAAAHZt9uM=")</f>
        <v>#VALUE!</v>
      </c>
      <c r="HU4" t="e">
        <f>AND(Inputs!B40,"AAAAAHZt9uQ=")</f>
        <v>#VALUE!</v>
      </c>
      <c r="HV4" t="e">
        <f>AND(Inputs!C40,"AAAAAHZt9uU=")</f>
        <v>#VALUE!</v>
      </c>
      <c r="HW4" t="e">
        <f>AND(Inputs!D40,"AAAAAHZt9uY=")</f>
        <v>#VALUE!</v>
      </c>
      <c r="HX4" t="e">
        <f>AND(Inputs!E40,"AAAAAHZt9uc=")</f>
        <v>#VALUE!</v>
      </c>
      <c r="HY4" t="e">
        <f>AND(Inputs!G40,"AAAAAHZt9ug=")</f>
        <v>#VALUE!</v>
      </c>
      <c r="HZ4" t="e">
        <f>AND(Inputs!H40,"AAAAAHZt9uk=")</f>
        <v>#VALUE!</v>
      </c>
      <c r="IA4" t="e">
        <f>AND(Inputs!I40,"AAAAAHZt9uo=")</f>
        <v>#VALUE!</v>
      </c>
      <c r="IB4" t="e">
        <f>AND(Inputs!J40,"AAAAAHZt9us=")</f>
        <v>#VALUE!</v>
      </c>
      <c r="IC4" t="e">
        <f>AND(Inputs!K40,"AAAAAHZt9uw=")</f>
        <v>#VALUE!</v>
      </c>
      <c r="ID4" t="e">
        <f>AND(Inputs!M40,"AAAAAHZt9u0=")</f>
        <v>#VALUE!</v>
      </c>
      <c r="IE4" t="e">
        <f>AND(Inputs!N40,"AAAAAHZt9u4=")</f>
        <v>#VALUE!</v>
      </c>
      <c r="IF4" t="e">
        <f>AND(Inputs!O40,"AAAAAHZt9u8=")</f>
        <v>#VALUE!</v>
      </c>
      <c r="IG4">
        <f>IF(Inputs!41:41,"AAAAAHZt9vA=",0)</f>
        <v>0</v>
      </c>
      <c r="IH4" t="e">
        <f>AND(Inputs!A41,"AAAAAHZt9vE=")</f>
        <v>#VALUE!</v>
      </c>
      <c r="II4" t="e">
        <f>AND(Inputs!B41,"AAAAAHZt9vI=")</f>
        <v>#VALUE!</v>
      </c>
      <c r="IJ4" t="e">
        <f>AND(Inputs!C41,"AAAAAHZt9vM=")</f>
        <v>#VALUE!</v>
      </c>
      <c r="IK4" t="e">
        <f>AND(Inputs!D41,"AAAAAHZt9vQ=")</f>
        <v>#VALUE!</v>
      </c>
      <c r="IL4" t="e">
        <f>AND(Inputs!E41,"AAAAAHZt9vU=")</f>
        <v>#VALUE!</v>
      </c>
      <c r="IM4" t="e">
        <f>AND(Inputs!G41,"AAAAAHZt9vY=")</f>
        <v>#VALUE!</v>
      </c>
      <c r="IN4" t="e">
        <f>AND(Inputs!H41,"AAAAAHZt9vc=")</f>
        <v>#VALUE!</v>
      </c>
      <c r="IO4" t="e">
        <f>AND(Inputs!I41,"AAAAAHZt9vg=")</f>
        <v>#VALUE!</v>
      </c>
      <c r="IP4" t="e">
        <f>AND(Inputs!J41,"AAAAAHZt9vk=")</f>
        <v>#VALUE!</v>
      </c>
      <c r="IQ4" t="e">
        <f>AND(Inputs!K41,"AAAAAHZt9vo=")</f>
        <v>#VALUE!</v>
      </c>
      <c r="IR4" t="e">
        <f>AND(Inputs!M41,"AAAAAHZt9vs=")</f>
        <v>#VALUE!</v>
      </c>
      <c r="IS4" t="e">
        <f>AND(Inputs!N41,"AAAAAHZt9vw=")</f>
        <v>#VALUE!</v>
      </c>
      <c r="IT4" t="e">
        <f>AND(Inputs!O41,"AAAAAHZt9v0=")</f>
        <v>#VALUE!</v>
      </c>
      <c r="IU4" t="e">
        <f>IF(Inputs!#REF!,"AAAAAHZt9v4=",0)</f>
        <v>#REF!</v>
      </c>
      <c r="IV4" t="e">
        <f>AND(Inputs!#REF!,"AAAAAHZt9v8=")</f>
        <v>#REF!</v>
      </c>
    </row>
    <row r="5" spans="1:256" x14ac:dyDescent="0.2">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str">
        <f>IF(Inputs!42:42,"AAAAAH9/rww=",0)</f>
        <v>AAAAAH9/rww=</v>
      </c>
      <c r="N5" t="e">
        <f>AND(Inputs!#REF!,"AAAAAH9/rw0=")</f>
        <v>#REF!</v>
      </c>
      <c r="O5" t="e">
        <f>AND(Inputs!#REF!,"AAAAAH9/rw4=")</f>
        <v>#REF!</v>
      </c>
      <c r="P5" t="e">
        <f>AND(Inputs!#REF!,"AAAAAH9/rw8=")</f>
        <v>#REF!</v>
      </c>
      <c r="Q5" t="e">
        <f>AND(Inputs!#REF!,"AAAAAH9/rxA=")</f>
        <v>#REF!</v>
      </c>
      <c r="R5" t="e">
        <f>AND(Inputs!#REF!,"AAAAAH9/rxE=")</f>
        <v>#REF!</v>
      </c>
      <c r="S5" t="e">
        <f>AND(Inputs!A42,"AAAAAH9/rxI=")</f>
        <v>#VALUE!</v>
      </c>
      <c r="T5" t="e">
        <f>AND(Inputs!B42,"AAAAAH9/rxM=")</f>
        <v>#VALUE!</v>
      </c>
      <c r="U5" t="e">
        <f>AND(Inputs!C42,"AAAAAH9/rxQ=")</f>
        <v>#VALUE!</v>
      </c>
      <c r="V5" t="e">
        <f>AND(Inputs!D42,"AAAAAH9/rxU=")</f>
        <v>#VALUE!</v>
      </c>
      <c r="W5" t="e">
        <f>AND(Inputs!E42,"AAAAAH9/rxY=")</f>
        <v>#VALUE!</v>
      </c>
      <c r="X5" t="e">
        <f>AND(Inputs!G42,"AAAAAH9/rxc=")</f>
        <v>#VALUE!</v>
      </c>
      <c r="Y5" t="e">
        <f>AND(Inputs!H42,"AAAAAH9/rxg=")</f>
        <v>#VALUE!</v>
      </c>
      <c r="Z5" t="e">
        <f>AND(Inputs!I42,"AAAAAH9/rxk=")</f>
        <v>#VALUE!</v>
      </c>
      <c r="AA5">
        <f>IF(Inputs!43:43,"AAAAAH9/rxo=",0)</f>
        <v>0</v>
      </c>
      <c r="AB5" t="e">
        <f>AND(Inputs!#REF!,"AAAAAH9/rxs=")</f>
        <v>#REF!</v>
      </c>
      <c r="AC5" t="e">
        <f>AND(Inputs!#REF!,"AAAAAH9/rxw=")</f>
        <v>#REF!</v>
      </c>
      <c r="AD5" t="e">
        <f>AND(Inputs!#REF!,"AAAAAH9/rx0=")</f>
        <v>#REF!</v>
      </c>
      <c r="AE5" t="e">
        <f>AND(Inputs!#REF!,"AAAAAH9/rx4=")</f>
        <v>#REF!</v>
      </c>
      <c r="AF5" t="e">
        <f>AND(Inputs!#REF!,"AAAAAH9/rx8=")</f>
        <v>#REF!</v>
      </c>
      <c r="AG5" t="e">
        <f>AND(Inputs!A43,"AAAAAH9/ryA=")</f>
        <v>#VALUE!</v>
      </c>
      <c r="AH5" t="e">
        <f>AND(Inputs!B43,"AAAAAH9/ryE=")</f>
        <v>#VALUE!</v>
      </c>
      <c r="AI5" t="e">
        <f>AND(Inputs!C43,"AAAAAH9/ryI=")</f>
        <v>#VALUE!</v>
      </c>
      <c r="AJ5" t="e">
        <f>AND(Inputs!D43,"AAAAAH9/ryM=")</f>
        <v>#VALUE!</v>
      </c>
      <c r="AK5" t="e">
        <f>AND(Inputs!E43,"AAAAAH9/ryQ=")</f>
        <v>#VALUE!</v>
      </c>
      <c r="AL5" t="e">
        <f>AND(Inputs!G43,"AAAAAH9/ryU=")</f>
        <v>#VALUE!</v>
      </c>
      <c r="AM5" t="e">
        <f>AND(Inputs!H43,"AAAAAH9/ryY=")</f>
        <v>#VALUE!</v>
      </c>
      <c r="AN5" t="e">
        <f>AND(Inputs!I43,"AAAAAH9/ryc=")</f>
        <v>#VALUE!</v>
      </c>
      <c r="AO5">
        <f>IF(Inputs!44:44,"AAAAAH9/ryg=",0)</f>
        <v>0</v>
      </c>
      <c r="AP5" t="e">
        <f>AND(Inputs!#REF!,"AAAAAH9/ryk=")</f>
        <v>#REF!</v>
      </c>
      <c r="AQ5" t="e">
        <f>AND(Inputs!#REF!,"AAAAAH9/ryo=")</f>
        <v>#REF!</v>
      </c>
      <c r="AR5" t="e">
        <f>AND(Inputs!#REF!,"AAAAAH9/rys=")</f>
        <v>#REF!</v>
      </c>
      <c r="AS5" t="e">
        <f>AND(Inputs!#REF!,"AAAAAH9/ryw=")</f>
        <v>#REF!</v>
      </c>
      <c r="AT5" t="e">
        <f>AND(Inputs!#REF!,"AAAAAH9/ry0=")</f>
        <v>#REF!</v>
      </c>
      <c r="AU5" t="e">
        <f>AND(Inputs!A44,"AAAAAH9/ry4=")</f>
        <v>#VALUE!</v>
      </c>
      <c r="AV5" t="e">
        <f>AND(Inputs!B44,"AAAAAH9/ry8=")</f>
        <v>#VALUE!</v>
      </c>
      <c r="AW5" t="e">
        <f>AND(Inputs!C44,"AAAAAH9/rzA=")</f>
        <v>#VALUE!</v>
      </c>
      <c r="AX5" t="e">
        <f>AND(Inputs!D44,"AAAAAH9/rzE=")</f>
        <v>#VALUE!</v>
      </c>
      <c r="AY5" t="e">
        <f>AND(Inputs!E44,"AAAAAH9/rzI=")</f>
        <v>#VALUE!</v>
      </c>
      <c r="AZ5" t="e">
        <f>AND(Inputs!G44,"AAAAAH9/rzM=")</f>
        <v>#VALUE!</v>
      </c>
      <c r="BA5" t="e">
        <f>AND(Inputs!H44,"AAAAAH9/rzQ=")</f>
        <v>#VALUE!</v>
      </c>
      <c r="BB5" t="e">
        <f>AND(Inputs!I44,"AAAAAH9/rzU=")</f>
        <v>#VALUE!</v>
      </c>
      <c r="BC5">
        <f>IF(Inputs!49:49,"AAAAAH9/rzY=",0)</f>
        <v>0</v>
      </c>
      <c r="BD5" t="e">
        <f>AND(Inputs!#REF!,"AAAAAH9/rzc=")</f>
        <v>#REF!</v>
      </c>
      <c r="BE5" t="e">
        <f>AND(Inputs!#REF!,"AAAAAH9/rzg=")</f>
        <v>#REF!</v>
      </c>
      <c r="BF5" t="e">
        <f>AND(Inputs!#REF!,"AAAAAH9/rzk=")</f>
        <v>#REF!</v>
      </c>
      <c r="BG5" t="e">
        <f>AND(Inputs!#REF!,"AAAAAH9/rzo=")</f>
        <v>#REF!</v>
      </c>
      <c r="BH5" t="e">
        <f>AND(Inputs!#REF!,"AAAAAH9/rzs=")</f>
        <v>#REF!</v>
      </c>
      <c r="BI5" t="e">
        <f>AND(Inputs!A49,"AAAAAH9/rzw=")</f>
        <v>#VALUE!</v>
      </c>
      <c r="BJ5" t="e">
        <f>AND(Inputs!B49,"AAAAAH9/rz0=")</f>
        <v>#VALUE!</v>
      </c>
      <c r="BK5" t="e">
        <f>AND(Inputs!C49,"AAAAAH9/rz4=")</f>
        <v>#VALUE!</v>
      </c>
      <c r="BL5" t="e">
        <f>AND(Inputs!D49,"AAAAAH9/rz8=")</f>
        <v>#VALUE!</v>
      </c>
      <c r="BM5" t="e">
        <f>AND(Inputs!E49,"AAAAAH9/r0A=")</f>
        <v>#VALUE!</v>
      </c>
      <c r="BN5" t="e">
        <f>AND(Inputs!G49,"AAAAAH9/r0E=")</f>
        <v>#VALUE!</v>
      </c>
      <c r="BO5" t="e">
        <f>AND(Inputs!H49,"AAAAAH9/r0I=")</f>
        <v>#VALUE!</v>
      </c>
      <c r="BP5" t="e">
        <f>AND(Inputs!I49,"AAAAAH9/r0M=")</f>
        <v>#VALUE!</v>
      </c>
      <c r="BQ5">
        <f>IF(Inputs!50:50,"AAAAAH9/r0Q=",0)</f>
        <v>0</v>
      </c>
      <c r="BR5" t="e">
        <f>AND(Inputs!#REF!,"AAAAAH9/r0U=")</f>
        <v>#REF!</v>
      </c>
      <c r="BS5" t="e">
        <f>AND(Inputs!#REF!,"AAAAAH9/r0Y=")</f>
        <v>#REF!</v>
      </c>
      <c r="BT5" t="e">
        <f>AND(Inputs!#REF!,"AAAAAH9/r0c=")</f>
        <v>#REF!</v>
      </c>
      <c r="BU5" t="e">
        <f>AND(Inputs!#REF!,"AAAAAH9/r0g=")</f>
        <v>#REF!</v>
      </c>
      <c r="BV5" t="e">
        <f>AND(Inputs!#REF!,"AAAAAH9/r0k=")</f>
        <v>#REF!</v>
      </c>
      <c r="BW5" t="e">
        <f>AND(Inputs!A50,"AAAAAH9/r0o=")</f>
        <v>#VALUE!</v>
      </c>
      <c r="BX5" t="e">
        <f>AND(Inputs!B50,"AAAAAH9/r0s=")</f>
        <v>#VALUE!</v>
      </c>
      <c r="BY5" t="e">
        <f>AND(Inputs!C50,"AAAAAH9/r0w=")</f>
        <v>#VALUE!</v>
      </c>
      <c r="BZ5" t="e">
        <f>AND(Inputs!D50,"AAAAAH9/r00=")</f>
        <v>#VALUE!</v>
      </c>
      <c r="CA5" t="e">
        <f>AND(Inputs!E50,"AAAAAH9/r04=")</f>
        <v>#VALUE!</v>
      </c>
      <c r="CB5" t="e">
        <f>AND(Inputs!G50,"AAAAAH9/r08=")</f>
        <v>#VALUE!</v>
      </c>
      <c r="CC5" t="e">
        <f>AND(Inputs!H50,"AAAAAH9/r1A=")</f>
        <v>#VALUE!</v>
      </c>
      <c r="CD5" t="e">
        <f>AND(Inputs!I50,"AAAAAH9/r1E=")</f>
        <v>#VALUE!</v>
      </c>
      <c r="CE5">
        <f>IF(Inputs!51:51,"AAAAAH9/r1I=",0)</f>
        <v>0</v>
      </c>
      <c r="CF5" t="e">
        <f>AND(Inputs!#REF!,"AAAAAH9/r1M=")</f>
        <v>#REF!</v>
      </c>
      <c r="CG5" t="e">
        <f>AND(Inputs!#REF!,"AAAAAH9/r1Q=")</f>
        <v>#REF!</v>
      </c>
      <c r="CH5" t="e">
        <f>AND(Inputs!#REF!,"AAAAAH9/r1U=")</f>
        <v>#REF!</v>
      </c>
      <c r="CI5" t="e">
        <f>AND(Inputs!#REF!,"AAAAAH9/r1Y=")</f>
        <v>#REF!</v>
      </c>
      <c r="CJ5" t="e">
        <f>AND(Inputs!#REF!,"AAAAAH9/r1c=")</f>
        <v>#REF!</v>
      </c>
      <c r="CK5" t="e">
        <f>AND(Inputs!A51,"AAAAAH9/r1g=")</f>
        <v>#VALUE!</v>
      </c>
      <c r="CL5" t="e">
        <f>AND(Inputs!B51,"AAAAAH9/r1k=")</f>
        <v>#VALUE!</v>
      </c>
      <c r="CM5" t="e">
        <f>AND(Inputs!C51,"AAAAAH9/r1o=")</f>
        <v>#VALUE!</v>
      </c>
      <c r="CN5" t="e">
        <f>AND(Inputs!D51,"AAAAAH9/r1s=")</f>
        <v>#VALUE!</v>
      </c>
      <c r="CO5" t="e">
        <f>AND(Inputs!E51,"AAAAAH9/r1w=")</f>
        <v>#VALUE!</v>
      </c>
      <c r="CP5" t="e">
        <f>AND(Inputs!G51,"AAAAAH9/r10=")</f>
        <v>#VALUE!</v>
      </c>
      <c r="CQ5" t="e">
        <f>AND(Inputs!H51,"AAAAAH9/r14=")</f>
        <v>#VALUE!</v>
      </c>
      <c r="CR5" t="e">
        <f>AND(Inputs!I51,"AAAAAH9/r18=")</f>
        <v>#VALUE!</v>
      </c>
      <c r="CS5">
        <f>IF(Inputs!53:53,"AAAAAH9/r2A=",0)</f>
        <v>0</v>
      </c>
      <c r="CT5" t="e">
        <f>IF(Inputs!A:A,"AAAAAH9/r2E=",0)</f>
        <v>#VALUE!</v>
      </c>
      <c r="CU5">
        <f>IF(Inputs!B:B,"AAAAAH9/r2I=",0)</f>
        <v>0</v>
      </c>
      <c r="CV5">
        <f>IF(Inputs!C:C,"AAAAAH9/r2M=",0)</f>
        <v>0</v>
      </c>
      <c r="CW5">
        <f>IF(Inputs!D:D,"AAAAAH9/r2Q=",0)</f>
        <v>0</v>
      </c>
      <c r="CX5">
        <f>IF(Inputs!E:E,"AAAAAH9/r2U=",0)</f>
        <v>0</v>
      </c>
      <c r="CY5">
        <f>IF(Inputs!G:G,"AAAAAH9/r2Y=",0)</f>
        <v>0</v>
      </c>
      <c r="CZ5">
        <f>IF(Inputs!H:H,"AAAAAH9/r2c=",0)</f>
        <v>0</v>
      </c>
      <c r="DA5">
        <f>IF(Inputs!I:I,"AAAAAH9/r2g=",0)</f>
        <v>0</v>
      </c>
      <c r="DB5">
        <f>IF(Inputs!J:J,"AAAAAH9/r2k=",0)</f>
        <v>0</v>
      </c>
      <c r="DC5">
        <f>IF(Inputs!K:K,"AAAAAH9/r2o=",0)</f>
        <v>0</v>
      </c>
      <c r="DD5">
        <f>IF(Inputs!M:M,"AAAAAH9/r2s=",0)</f>
        <v>0</v>
      </c>
      <c r="DE5">
        <f>IF(Inputs!N:N,"AAAAAH9/r2w=",0)</f>
        <v>0</v>
      </c>
      <c r="DF5">
        <f>IF(Inputs!O:O,"AAAAAH9/r20=",0)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AND(Output!I1,"AAAAAH9/r3Y=")</f>
        <v>#VALUE!</v>
      </c>
      <c r="DP5" t="e">
        <f>AND(Output!#REF!,"AAAAAH9/r3c=")</f>
        <v>#REF!</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AND(Output!I2,"AAAAAH9/r4M=")</f>
        <v>#VALUE!</v>
      </c>
      <c r="EC5" t="e">
        <f>AND(Output!#REF!,"AAAAAH9/r4Q=")</f>
        <v>#REF!</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IF(Output!5:5,"AAAAAH9/r5U=",0)</f>
        <v>0</v>
      </c>
      <c r="EU5" t="e">
        <f>AND(Output!A5,"AAAAAH9/r5Y=")</f>
        <v>#VALUE!</v>
      </c>
      <c r="EV5" t="e">
        <f>AND(Output!B5,"AAAAAH9/r5c=")</f>
        <v>#VALUE!</v>
      </c>
      <c r="EW5" t="e">
        <f>AND(Output!C5,"AAAAAH9/r5g=")</f>
        <v>#VALUE!</v>
      </c>
      <c r="EX5" t="e">
        <f>AND(Output!D5,"AAAAAH9/r5k=")</f>
        <v>#VALUE!</v>
      </c>
      <c r="EY5" t="e">
        <f>AND(Output!E5,"AAAAAH9/r5o=")</f>
        <v>#VALUE!</v>
      </c>
      <c r="EZ5" t="e">
        <f>AND(Output!F5,"AAAAAH9/r5s=")</f>
        <v>#VALUE!</v>
      </c>
      <c r="FA5" t="e">
        <f>AND(Output!G5,"AAAAAH9/r5w=")</f>
        <v>#VALUE!</v>
      </c>
      <c r="FB5" t="e">
        <f>AND(Output!I5,"AAAAAH9/r50=")</f>
        <v>#VALUE!</v>
      </c>
      <c r="FC5" t="e">
        <f>AND(Output!#REF!,"AAAAAH9/r54=")</f>
        <v>#REF!</v>
      </c>
      <c r="FD5" t="e">
        <f>AND(Output!J5,"AAAAAH9/r58=")</f>
        <v>#VALUE!</v>
      </c>
      <c r="FE5" t="e">
        <f>AND(Output!K5,"AAAAAH9/r6A=")</f>
        <v>#VALUE!</v>
      </c>
      <c r="FF5" t="e">
        <f>AND(Output!L5,"AAAAAH9/r6E=")</f>
        <v>#VALUE!</v>
      </c>
      <c r="FG5">
        <f>IF(Output!6:6,"AAAAAH9/r6I=",0)</f>
        <v>0</v>
      </c>
      <c r="FH5" t="e">
        <f>AND(Output!A6,"AAAAAH9/r6M=")</f>
        <v>#VALUE!</v>
      </c>
      <c r="FI5" t="e">
        <f>AND(Output!B6,"AAAAAH9/r6Q=")</f>
        <v>#VALUE!</v>
      </c>
      <c r="FJ5" t="e">
        <f>AND(Output!#REF!,"AAAAAH9/r6U=")</f>
        <v>#REF!</v>
      </c>
      <c r="FK5" t="e">
        <f>AND(Output!#REF!,"AAAAAH9/r6Y=")</f>
        <v>#REF!</v>
      </c>
      <c r="FL5" t="e">
        <f>AND(Output!C6,"AAAAAH9/r6c=")</f>
        <v>#VALUE!</v>
      </c>
      <c r="FM5" t="e">
        <f>AND(Output!D6,"AAAAAH9/r6g=")</f>
        <v>#VALUE!</v>
      </c>
      <c r="FN5" t="e">
        <f>AND(Output!E6,"AAAAAH9/r6k=")</f>
        <v>#VALUE!</v>
      </c>
      <c r="FO5" t="e">
        <f>AND(Output!F6,"AAAAAH9/r6o=")</f>
        <v>#VALUE!</v>
      </c>
      <c r="FP5" t="e">
        <f>AND(Output!G6,"AAAAAH9/r6s=")</f>
        <v>#VALUE!</v>
      </c>
      <c r="FQ5" t="e">
        <f>AND(Output!I6,"AAAAAH9/r6w=")</f>
        <v>#VALUE!</v>
      </c>
      <c r="FR5" t="e">
        <f>AND(Output!#REF!,"AAAAAH9/r60=")</f>
        <v>#REF!</v>
      </c>
      <c r="FS5" t="e">
        <f>AND(Output!J6,"AAAAAH9/r64=")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AND(Output!#REF!,"AAAAAH9/r7o=")</f>
        <v>#REF!</v>
      </c>
      <c r="GF5" t="e">
        <f>AND(Output!J9,"AAAAAH9/r7s=")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
      <c r="A9" t="e">
        <f>IF(Output!D:D,"AAAAAH3//wA=",0)</f>
        <v>#VALUE!</v>
      </c>
      <c r="B9" t="e">
        <f>IF(Output!E:E,"AAAAAH3//wE=",0)</f>
        <v>#VALUE!</v>
      </c>
      <c r="C9" t="e">
        <f>IF(Output!F:F,"AAAAAH3//wI=",0)</f>
        <v>#VALUE!</v>
      </c>
      <c r="D9" t="e">
        <f>IF(Output!G:G,"AAAAAH3//wM=",0)</f>
        <v>#VALUE!</v>
      </c>
      <c r="E9">
        <f>IF(Output!I:I,"AAAAAH3//wQ=",0)</f>
        <v>0</v>
      </c>
      <c r="F9" t="e">
        <f>IF(Output!#REF!,"AAAAAH3//wU=",0)</f>
        <v>#REF!</v>
      </c>
      <c r="G9">
        <f>IF(Output!J:J,"AAAAAH3//wY=",0)</f>
        <v>0</v>
      </c>
      <c r="H9">
        <f>IF(Output!K:K,"AAAAAH3//wc=",0)</f>
        <v>0</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IF(Heaters!1:1,"AAAAAGvv7js=",0)</f>
        <v>0</v>
      </c>
      <c r="BI25" t="e">
        <f>AND(Heaters!A1,"AAAAAGvv7jw=")</f>
        <v>#VALUE!</v>
      </c>
      <c r="BJ25" t="e">
        <f>AND(Heaters!B1,"AAAAAGvv7j0=")</f>
        <v>#VALUE!</v>
      </c>
      <c r="BK25" t="e">
        <f>AND(Heaters!C1,"AAAAAGvv7j4=")</f>
        <v>#VALUE!</v>
      </c>
      <c r="BL25" t="e">
        <f>AND(Heaters!D1,"AAAAAGvv7j8=")</f>
        <v>#VALUE!</v>
      </c>
      <c r="BM25" t="e">
        <f>AND(Heaters!E1,"AAAAAGvv7kA=")</f>
        <v>#VALUE!</v>
      </c>
      <c r="BN25" t="e">
        <f>AND(Heaters!F1,"AAAAAGvv7kE=")</f>
        <v>#VALUE!</v>
      </c>
      <c r="BO25" t="e">
        <f>AND(Heaters!G1,"AAAAAGvv7kI=")</f>
        <v>#VALUE!</v>
      </c>
      <c r="BP25" t="e">
        <f>AND(Heaters!H1,"AAAAAGvv7kM=")</f>
        <v>#VALUE!</v>
      </c>
      <c r="BQ25" t="e">
        <f>AND(Heaters!I1,"AAAAAGvv7kQ=")</f>
        <v>#VALUE!</v>
      </c>
      <c r="BR25" t="e">
        <f>AND(Heaters!J1,"AAAAAGvv7kU=")</f>
        <v>#VALUE!</v>
      </c>
      <c r="BS25" t="e">
        <f>AND(Heaters!K1,"AAAAAGvv7kY=")</f>
        <v>#VALUE!</v>
      </c>
      <c r="BT25" t="e">
        <f>AND(Heaters!L1,"AAAAAGvv7kc=")</f>
        <v>#VALUE!</v>
      </c>
      <c r="BU25" t="e">
        <f>AND(Heaters!M1,"AAAAAGvv7kg=")</f>
        <v>#VALUE!</v>
      </c>
      <c r="BV25" t="e">
        <f>AND(Heaters!N1,"AAAAAGvv7kk=")</f>
        <v>#VALUE!</v>
      </c>
      <c r="BW25" t="e">
        <f>AND(Heaters!O1,"AAAAAGvv7ko=")</f>
        <v>#VALUE!</v>
      </c>
      <c r="BX25">
        <f>IF(Heaters!2:2,"AAAAAGvv7ks=",0)</f>
        <v>0</v>
      </c>
      <c r="BY25" t="e">
        <f>AND(Heaters!A2,"AAAAAGvv7kw=")</f>
        <v>#VALUE!</v>
      </c>
      <c r="BZ25" t="e">
        <f>AND(Heaters!B2,"AAAAAGvv7k0=")</f>
        <v>#VALUE!</v>
      </c>
      <c r="CA25" t="e">
        <f>AND(Heaters!C2,"AAAAAGvv7k4=")</f>
        <v>#VALUE!</v>
      </c>
      <c r="CB25" t="e">
        <f>AND(Heaters!D2,"AAAAAGvv7k8=")</f>
        <v>#VALUE!</v>
      </c>
      <c r="CC25" t="e">
        <f>AND(Heaters!E2,"AAAAAGvv7lA=")</f>
        <v>#VALUE!</v>
      </c>
      <c r="CD25" t="e">
        <f>AND(Heaters!F2,"AAAAAGvv7lE=")</f>
        <v>#VALUE!</v>
      </c>
      <c r="CE25" t="e">
        <f>AND(Heaters!G2,"AAAAAGvv7lI=")</f>
        <v>#VALUE!</v>
      </c>
      <c r="CF25" t="e">
        <f>AND(Heaters!H2,"AAAAAGvv7lM=")</f>
        <v>#VALUE!</v>
      </c>
      <c r="CG25" t="e">
        <f>AND(Heaters!I2,"AAAAAGvv7lQ=")</f>
        <v>#VALUE!</v>
      </c>
      <c r="CH25" t="e">
        <f>AND(Heaters!J2,"AAAAAGvv7lU=")</f>
        <v>#VALUE!</v>
      </c>
      <c r="CI25" t="e">
        <f>AND(Heaters!K2,"AAAAAGvv7lY=")</f>
        <v>#VALUE!</v>
      </c>
      <c r="CJ25" t="e">
        <f>AND(Heaters!L2,"AAAAAGvv7lc=")</f>
        <v>#VALUE!</v>
      </c>
      <c r="CK25" t="e">
        <f>AND(Heaters!M2,"AAAAAGvv7lg=")</f>
        <v>#VALUE!</v>
      </c>
      <c r="CL25" t="e">
        <f>AND(Heaters!N2,"AAAAAGvv7lk=")</f>
        <v>#VALUE!</v>
      </c>
      <c r="CM25" t="e">
        <f>AND(Heaters!O2,"AAAAAGvv7lo=")</f>
        <v>#VALUE!</v>
      </c>
      <c r="CN25" t="e">
        <f>IF(Heaters!#REF!,"AAAAAGvv7ls=",0)</f>
        <v>#REF!</v>
      </c>
      <c r="CO25" t="e">
        <f>AND(Heaters!#REF!,"AAAAAGvv7lw=")</f>
        <v>#REF!</v>
      </c>
      <c r="CP25" t="e">
        <f>AND(Heaters!#REF!,"AAAAAGvv7l0=")</f>
        <v>#REF!</v>
      </c>
      <c r="CQ25" t="e">
        <f>AND(Heaters!#REF!,"AAAAAGvv7l4=")</f>
        <v>#REF!</v>
      </c>
      <c r="CR25" t="e">
        <f>AND(Heaters!#REF!,"AAAAAGvv7l8=")</f>
        <v>#REF!</v>
      </c>
      <c r="CS25" t="e">
        <f>AND(Heaters!#REF!,"AAAAAGvv7mA=")</f>
        <v>#REF!</v>
      </c>
      <c r="CT25" t="e">
        <f>AND(Heaters!#REF!,"AAAAAGvv7mE=")</f>
        <v>#REF!</v>
      </c>
      <c r="CU25" t="e">
        <f>AND(Heaters!#REF!,"AAAAAGvv7mI=")</f>
        <v>#REF!</v>
      </c>
      <c r="CV25" t="e">
        <f>AND(Heaters!#REF!,"AAAAAGvv7mM=")</f>
        <v>#REF!</v>
      </c>
      <c r="CW25" t="e">
        <f>AND(Heaters!#REF!,"AAAAAGvv7mQ=")</f>
        <v>#REF!</v>
      </c>
      <c r="CX25" t="e">
        <f>AND(Heaters!#REF!,"AAAAAGvv7mU=")</f>
        <v>#REF!</v>
      </c>
      <c r="CY25" t="e">
        <f>AND(Heaters!#REF!,"AAAAAGvv7mY=")</f>
        <v>#REF!</v>
      </c>
      <c r="CZ25" t="e">
        <f>AND(Heaters!#REF!,"AAAAAGvv7mc=")</f>
        <v>#REF!</v>
      </c>
      <c r="DA25" t="e">
        <f>AND(Heaters!#REF!,"AAAAAGvv7mg=")</f>
        <v>#REF!</v>
      </c>
      <c r="DB25" t="e">
        <f>AND(Heaters!#REF!,"AAAAAGvv7mk=")</f>
        <v>#REF!</v>
      </c>
      <c r="DC25" t="e">
        <f>AND(Heaters!#REF!,"AAAAAGvv7mo=")</f>
        <v>#REF!</v>
      </c>
      <c r="DD25">
        <f>IF(Heaters!3:3,"AAAAAGvv7ms=",0)</f>
        <v>0</v>
      </c>
      <c r="DE25" t="e">
        <f>AND(Heaters!#REF!,"AAAAAGvv7mw=")</f>
        <v>#REF!</v>
      </c>
      <c r="DF25" t="e">
        <f>AND(Heaters!A3,"AAAAAGvv7m0=")</f>
        <v>#VALUE!</v>
      </c>
      <c r="DG25" t="e">
        <f>AND(Heaters!C3,"AAAAAGvv7m4=")</f>
        <v>#VALUE!</v>
      </c>
      <c r="DH25" t="e">
        <f>AND(Heaters!D3,"AAAAAGvv7m8=")</f>
        <v>#VALUE!</v>
      </c>
      <c r="DI25" t="e">
        <f>AND(Heaters!E3,"AAAAAGvv7nA=")</f>
        <v>#VALUE!</v>
      </c>
      <c r="DJ25" t="e">
        <f>AND(Heaters!F3,"AAAAAGvv7nE=")</f>
        <v>#VALUE!</v>
      </c>
      <c r="DK25" t="e">
        <f>AND(Heaters!G3,"AAAAAGvv7nI=")</f>
        <v>#VALUE!</v>
      </c>
      <c r="DL25" t="e">
        <f>AND(Heaters!H3,"AAAAAGvv7nM=")</f>
        <v>#VALUE!</v>
      </c>
      <c r="DM25" t="e">
        <f>AND(Heaters!I3,"AAAAAGvv7nQ=")</f>
        <v>#VALUE!</v>
      </c>
      <c r="DN25" t="e">
        <f>AND(Heaters!J3,"AAAAAGvv7nU=")</f>
        <v>#VALUE!</v>
      </c>
      <c r="DO25" t="e">
        <f>AND(Heaters!K3,"AAAAAGvv7nY=")</f>
        <v>#VALUE!</v>
      </c>
      <c r="DP25" t="e">
        <f>AND(Heaters!L3,"AAAAAGvv7nc=")</f>
        <v>#VALUE!</v>
      </c>
      <c r="DQ25" t="e">
        <f>AND(Heaters!M3,"AAAAAGvv7ng=")</f>
        <v>#VALUE!</v>
      </c>
      <c r="DR25" t="e">
        <f>AND(Heaters!N3,"AAAAAGvv7nk=")</f>
        <v>#VALUE!</v>
      </c>
      <c r="DS25" t="e">
        <f>AND(Heaters!O3,"AAAAAGvv7no=")</f>
        <v>#VALUE!</v>
      </c>
      <c r="DT25">
        <f>IF(Heaters!4:4,"AAAAAGvv7ns=",0)</f>
        <v>0</v>
      </c>
      <c r="DU25" t="e">
        <f>AND(Heaters!A4,"AAAAAGvv7nw=")</f>
        <v>#VALUE!</v>
      </c>
      <c r="DV25" t="e">
        <f>AND(Heaters!B4,"AAAAAGvv7n0=")</f>
        <v>#VALUE!</v>
      </c>
      <c r="DW25" t="e">
        <f>AND(Heaters!C4,"AAAAAGvv7n4=")</f>
        <v>#VALUE!</v>
      </c>
      <c r="DX25" t="e">
        <f>AND(Heaters!D4,"AAAAAGvv7n8=")</f>
        <v>#VALUE!</v>
      </c>
      <c r="DY25" t="e">
        <f>AND(Heaters!E4,"AAAAAGvv7oA=")</f>
        <v>#VALUE!</v>
      </c>
      <c r="DZ25" t="e">
        <f>AND(Heaters!F4,"AAAAAGvv7oE=")</f>
        <v>#VALUE!</v>
      </c>
      <c r="EA25" t="e">
        <f>AND(Heaters!G4,"AAAAAGvv7oI=")</f>
        <v>#VALUE!</v>
      </c>
      <c r="EB25" t="e">
        <f>AND(Heaters!H4,"AAAAAGvv7oM=")</f>
        <v>#VALUE!</v>
      </c>
      <c r="EC25" t="e">
        <f>AND(Heaters!I5,"AAAAAGvv7oQ=")</f>
        <v>#VALUE!</v>
      </c>
      <c r="ED25" t="e">
        <f>AND(Heaters!J4,"AAAAAGvv7oU=")</f>
        <v>#VALUE!</v>
      </c>
      <c r="EE25" t="e">
        <f>AND(Heaters!K4,"AAAAAGvv7oY=")</f>
        <v>#VALUE!</v>
      </c>
      <c r="EF25" t="e">
        <f>AND(Heaters!L4,"AAAAAGvv7oc=")</f>
        <v>#VALUE!</v>
      </c>
      <c r="EG25" t="e">
        <f>AND(Heaters!M4,"AAAAAGvv7og=")</f>
        <v>#VALUE!</v>
      </c>
      <c r="EH25" t="e">
        <f>AND(Heaters!N4,"AAAAAGvv7ok=")</f>
        <v>#VALUE!</v>
      </c>
      <c r="EI25" t="e">
        <f>AND(Heaters!O4,"AAAAAGvv7oo=")</f>
        <v>#VALUE!</v>
      </c>
      <c r="EJ25">
        <f>IF(Heaters!5:5,"AAAAAGvv7os=",0)</f>
        <v>0</v>
      </c>
      <c r="EK25" t="e">
        <f>AND(Heaters!A5,"AAAAAGvv7ow=")</f>
        <v>#VALUE!</v>
      </c>
      <c r="EL25" t="e">
        <f>AND(Heaters!B5,"AAAAAGvv7o0=")</f>
        <v>#VALUE!</v>
      </c>
      <c r="EM25" t="e">
        <f>AND(Heaters!C5,"AAAAAGvv7o4=")</f>
        <v>#VALUE!</v>
      </c>
      <c r="EN25" t="e">
        <f>AND(Heaters!D5,"AAAAAGvv7o8=")</f>
        <v>#VALUE!</v>
      </c>
      <c r="EO25" t="e">
        <f>AND(Heaters!E5,"AAAAAGvv7pA=")</f>
        <v>#VALUE!</v>
      </c>
      <c r="EP25" t="e">
        <f>AND(Heaters!F5,"AAAAAGvv7pE=")</f>
        <v>#VALUE!</v>
      </c>
      <c r="EQ25" t="e">
        <f>AND(Heaters!G5,"AAAAAGvv7pI=")</f>
        <v>#VALUE!</v>
      </c>
      <c r="ER25" t="e">
        <f>AND(Heaters!H5,"AAAAAGvv7pM=")</f>
        <v>#VALUE!</v>
      </c>
      <c r="ES25" t="e">
        <f>AND(Heaters!I6,"AAAAAGvv7pQ=")</f>
        <v>#VALUE!</v>
      </c>
      <c r="ET25" t="e">
        <f>AND(Heaters!J5,"AAAAAGvv7pU=")</f>
        <v>#VALUE!</v>
      </c>
      <c r="EU25" t="e">
        <f>AND(Heaters!K5,"AAAAAGvv7pY=")</f>
        <v>#VALUE!</v>
      </c>
      <c r="EV25" t="e">
        <f>AND(Heaters!L5,"AAAAAGvv7pc=")</f>
        <v>#VALUE!</v>
      </c>
      <c r="EW25" t="e">
        <f>AND(Heaters!M5,"AAAAAGvv7pg=")</f>
        <v>#VALUE!</v>
      </c>
      <c r="EX25" t="e">
        <f>AND(Heaters!N5,"AAAAAGvv7pk=")</f>
        <v>#VALUE!</v>
      </c>
      <c r="EY25" t="e">
        <f>AND(Heaters!O5,"AAAAAGvv7po=")</f>
        <v>#VALUE!</v>
      </c>
      <c r="EZ25">
        <f>IF(Heaters!6:6,"AAAAAGvv7ps=",0)</f>
        <v>0</v>
      </c>
      <c r="FA25" t="e">
        <f>AND(Heaters!A6,"AAAAAGvv7pw=")</f>
        <v>#VALUE!</v>
      </c>
      <c r="FB25" t="e">
        <f>AND(Heaters!B6,"AAAAAGvv7p0=")</f>
        <v>#VALUE!</v>
      </c>
      <c r="FC25" t="e">
        <f>AND(Heaters!C6,"AAAAAGvv7p4=")</f>
        <v>#VALUE!</v>
      </c>
      <c r="FD25" t="e">
        <f>AND(Heaters!D6,"AAAAAGvv7p8=")</f>
        <v>#VALUE!</v>
      </c>
      <c r="FE25" t="e">
        <f>AND(Heaters!E6,"AAAAAGvv7qA=")</f>
        <v>#VALUE!</v>
      </c>
      <c r="FF25" t="e">
        <f>AND(Heaters!F6,"AAAAAGvv7qE=")</f>
        <v>#VALUE!</v>
      </c>
      <c r="FG25" t="e">
        <f>AND(Heaters!G6,"AAAAAGvv7qI=")</f>
        <v>#VALUE!</v>
      </c>
      <c r="FH25" t="e">
        <f>AND(Heaters!H6,"AAAAAGvv7qM=")</f>
        <v>#VALUE!</v>
      </c>
      <c r="FI25" t="e">
        <f>AND(Heaters!#REF!,"AAAAAGvv7qQ=")</f>
        <v>#REF!</v>
      </c>
      <c r="FJ25" t="e">
        <f>AND(Heaters!J6,"AAAAAGvv7qU=")</f>
        <v>#VALUE!</v>
      </c>
      <c r="FK25" t="e">
        <f>AND(Heaters!K6,"AAAAAGvv7qY=")</f>
        <v>#VALUE!</v>
      </c>
      <c r="FL25" t="e">
        <f>AND(Heaters!L6,"AAAAAGvv7qc=")</f>
        <v>#VALUE!</v>
      </c>
      <c r="FM25" t="e">
        <f>AND(Heaters!M6,"AAAAAGvv7qg=")</f>
        <v>#VALUE!</v>
      </c>
      <c r="FN25" t="e">
        <f>AND(Heaters!N6,"AAAAAGvv7qk=")</f>
        <v>#VALUE!</v>
      </c>
      <c r="FO25" t="e">
        <f>AND(Heaters!O6,"AAAAAGvv7qo=")</f>
        <v>#VALUE!</v>
      </c>
      <c r="FP25">
        <f>IF(Heaters!10:10,"AAAAAGvv7qs=",0)</f>
        <v>0</v>
      </c>
      <c r="FQ25" t="e">
        <f>AND(Heaters!A10,"AAAAAGvv7qw=")</f>
        <v>#VALUE!</v>
      </c>
      <c r="FR25" t="e">
        <f>AND(Heaters!B10,"AAAAAGvv7q0=")</f>
        <v>#VALUE!</v>
      </c>
      <c r="FS25" t="e">
        <f>AND(Heaters!C10,"AAAAAGvv7q4=")</f>
        <v>#VALUE!</v>
      </c>
      <c r="FT25" t="e">
        <f>AND(Heaters!D10,"AAAAAGvv7q8=")</f>
        <v>#VALUE!</v>
      </c>
      <c r="FU25" t="e">
        <f>AND(Heaters!E10,"AAAAAGvv7rA=")</f>
        <v>#VALUE!</v>
      </c>
      <c r="FV25" t="e">
        <f>AND(Heaters!F10,"AAAAAGvv7rE=")</f>
        <v>#VALUE!</v>
      </c>
      <c r="FW25" t="e">
        <f>AND(Heaters!G10,"AAAAAGvv7rI=")</f>
        <v>#VALUE!</v>
      </c>
      <c r="FX25" t="e">
        <f>AND(Heaters!H10,"AAAAAGvv7rM=")</f>
        <v>#VALUE!</v>
      </c>
      <c r="FY25" t="e">
        <f>AND(Heaters!I10,"AAAAAGvv7rQ=")</f>
        <v>#VALUE!</v>
      </c>
      <c r="FZ25" t="e">
        <f>AND(Heaters!J10,"AAAAAGvv7rU=")</f>
        <v>#VALUE!</v>
      </c>
      <c r="GA25" t="e">
        <f>AND(Heaters!K10,"AAAAAGvv7rY=")</f>
        <v>#VALUE!</v>
      </c>
      <c r="GB25" t="e">
        <f>AND(Heaters!L10,"AAAAAGvv7rc=")</f>
        <v>#VALUE!</v>
      </c>
      <c r="GC25" t="e">
        <f>AND(Heaters!M10,"AAAAAGvv7rg=")</f>
        <v>#VALUE!</v>
      </c>
      <c r="GD25" t="e">
        <f>AND(Heaters!N10,"AAAAAGvv7rk=")</f>
        <v>#VALUE!</v>
      </c>
      <c r="GE25" t="e">
        <f>AND(Heaters!O10,"AAAAAGvv7ro=")</f>
        <v>#VALUE!</v>
      </c>
      <c r="GF25" t="e">
        <f>IF(Heaters!#REF!,"AAAAAGvv7rs=",0)</f>
        <v>#REF!</v>
      </c>
      <c r="GG25" t="e">
        <f>AND(Heaters!#REF!,"AAAAAGvv7rw=")</f>
        <v>#REF!</v>
      </c>
      <c r="GH25" t="e">
        <f>AND(Heaters!#REF!,"AAAAAGvv7r0=")</f>
        <v>#REF!</v>
      </c>
      <c r="GI25" t="e">
        <f>AND(Heaters!#REF!,"AAAAAGvv7r4=")</f>
        <v>#REF!</v>
      </c>
      <c r="GJ25" t="e">
        <f>AND(Heaters!#REF!,"AAAAAGvv7r8=")</f>
        <v>#REF!</v>
      </c>
      <c r="GK25" t="e">
        <f>AND(Heaters!#REF!,"AAAAAGvv7sA=")</f>
        <v>#REF!</v>
      </c>
      <c r="GL25" t="e">
        <f>AND(Heaters!#REF!,"AAAAAGvv7sE=")</f>
        <v>#REF!</v>
      </c>
      <c r="GM25" t="e">
        <f>AND(Heaters!#REF!,"AAAAAGvv7sI=")</f>
        <v>#REF!</v>
      </c>
      <c r="GN25" t="e">
        <f>AND(Heaters!#REF!,"AAAAAGvv7sM=")</f>
        <v>#REF!</v>
      </c>
      <c r="GO25" t="e">
        <f>AND(Heaters!#REF!,"AAAAAGvv7sQ=")</f>
        <v>#REF!</v>
      </c>
      <c r="GP25" t="e">
        <f>AND(Heaters!#REF!,"AAAAAGvv7sU=")</f>
        <v>#REF!</v>
      </c>
      <c r="GQ25" t="e">
        <f>AND(Heaters!#REF!,"AAAAAGvv7sY=")</f>
        <v>#REF!</v>
      </c>
      <c r="GR25" t="e">
        <f>AND(Heaters!#REF!,"AAAAAGvv7sc=")</f>
        <v>#REF!</v>
      </c>
      <c r="GS25" t="e">
        <f>AND(Heaters!#REF!,"AAAAAGvv7sg=")</f>
        <v>#REF!</v>
      </c>
      <c r="GT25" t="e">
        <f>AND(Heaters!#REF!,"AAAAAGvv7sk=")</f>
        <v>#REF!</v>
      </c>
      <c r="GU25" t="e">
        <f>AND(Heaters!#REF!,"AAAAAGvv7so=")</f>
        <v>#REF!</v>
      </c>
      <c r="GV25" t="e">
        <f>IF(Heaters!#REF!,"AAAAAGvv7ss=",0)</f>
        <v>#REF!</v>
      </c>
      <c r="GW25" t="e">
        <f>AND(Heaters!#REF!,"AAAAAGvv7sw=")</f>
        <v>#REF!</v>
      </c>
      <c r="GX25" t="e">
        <f>AND(Heaters!#REF!,"AAAAAGvv7s0=")</f>
        <v>#REF!</v>
      </c>
      <c r="GY25" t="e">
        <f>AND(Heaters!#REF!,"AAAAAGvv7s4=")</f>
        <v>#REF!</v>
      </c>
      <c r="GZ25" t="e">
        <f>AND(Heaters!#REF!,"AAAAAGvv7s8=")</f>
        <v>#REF!</v>
      </c>
      <c r="HA25" t="e">
        <f>AND(Heaters!#REF!,"AAAAAGvv7tA=")</f>
        <v>#REF!</v>
      </c>
      <c r="HB25" t="e">
        <f>AND(Heaters!#REF!,"AAAAAGvv7tE=")</f>
        <v>#REF!</v>
      </c>
      <c r="HC25" t="e">
        <f>AND(Heaters!#REF!,"AAAAAGvv7tI=")</f>
        <v>#REF!</v>
      </c>
      <c r="HD25" t="e">
        <f>AND(Heaters!#REF!,"AAAAAGvv7tM=")</f>
        <v>#REF!</v>
      </c>
      <c r="HE25" t="e">
        <f>AND(Heaters!#REF!,"AAAAAGvv7tQ=")</f>
        <v>#REF!</v>
      </c>
      <c r="HF25" t="e">
        <f>AND(Heaters!#REF!,"AAAAAGvv7tU=")</f>
        <v>#REF!</v>
      </c>
      <c r="HG25" t="e">
        <f>AND(Heaters!#REF!,"AAAAAGvv7tY=")</f>
        <v>#REF!</v>
      </c>
      <c r="HH25" t="e">
        <f>AND(Heaters!#REF!,"AAAAAGvv7tc=")</f>
        <v>#REF!</v>
      </c>
      <c r="HI25" t="e">
        <f>AND(Heaters!#REF!,"AAAAAGvv7tg=")</f>
        <v>#REF!</v>
      </c>
      <c r="HJ25" t="e">
        <f>AND(Heaters!#REF!,"AAAAAGvv7tk=")</f>
        <v>#REF!</v>
      </c>
      <c r="HK25" t="e">
        <f>AND(Heaters!#REF!,"AAAAAGvv7to=")</f>
        <v>#REF!</v>
      </c>
      <c r="HL25" t="e">
        <f>IF(Heaters!#REF!,"AAAAAGvv7ts=",0)</f>
        <v>#REF!</v>
      </c>
      <c r="HM25" t="e">
        <f>AND(Heaters!#REF!,"AAAAAGvv7tw=")</f>
        <v>#REF!</v>
      </c>
      <c r="HN25" t="e">
        <f>AND(Heaters!#REF!,"AAAAAGvv7t0=")</f>
        <v>#REF!</v>
      </c>
      <c r="HO25" t="e">
        <f>AND(Heaters!#REF!,"AAAAAGvv7t4=")</f>
        <v>#REF!</v>
      </c>
      <c r="HP25" t="e">
        <f>AND(Heaters!#REF!,"AAAAAGvv7t8=")</f>
        <v>#REF!</v>
      </c>
      <c r="HQ25" t="e">
        <f>AND(Heaters!#REF!,"AAAAAGvv7uA=")</f>
        <v>#REF!</v>
      </c>
      <c r="HR25" t="e">
        <f>AND(Heaters!#REF!,"AAAAAGvv7uE=")</f>
        <v>#REF!</v>
      </c>
      <c r="HS25" t="e">
        <f>AND(Heaters!#REF!,"AAAAAGvv7uI=")</f>
        <v>#REF!</v>
      </c>
      <c r="HT25" t="e">
        <f>AND(Heaters!#REF!,"AAAAAGvv7uM=")</f>
        <v>#REF!</v>
      </c>
      <c r="HU25" t="e">
        <f>AND(Heaters!#REF!,"AAAAAGvv7uQ=")</f>
        <v>#REF!</v>
      </c>
      <c r="HV25" t="e">
        <f>AND(Heaters!#REF!,"AAAAAGvv7uU=")</f>
        <v>#REF!</v>
      </c>
      <c r="HW25" t="e">
        <f>AND(Heaters!#REF!,"AAAAAGvv7uY=")</f>
        <v>#REF!</v>
      </c>
      <c r="HX25" t="e">
        <f>AND(Heaters!#REF!,"AAAAAGvv7uc=")</f>
        <v>#REF!</v>
      </c>
      <c r="HY25" t="e">
        <f>AND(Heaters!#REF!,"AAAAAGvv7ug=")</f>
        <v>#REF!</v>
      </c>
      <c r="HZ25" t="e">
        <f>AND(Heaters!#REF!,"AAAAAGvv7uk=")</f>
        <v>#REF!</v>
      </c>
      <c r="IA25" t="e">
        <f>AND(Heaters!#REF!,"AAAAAGvv7uo=")</f>
        <v>#REF!</v>
      </c>
      <c r="IB25" t="e">
        <f>IF(Heaters!#REF!,"AAAAAGvv7us=",0)</f>
        <v>#REF!</v>
      </c>
      <c r="IC25" t="e">
        <f>AND(Heaters!#REF!,"AAAAAGvv7uw=")</f>
        <v>#REF!</v>
      </c>
      <c r="ID25" t="e">
        <f>AND(Heaters!#REF!,"AAAAAGvv7u0=")</f>
        <v>#REF!</v>
      </c>
      <c r="IE25" t="e">
        <f>AND(Heaters!#REF!,"AAAAAGvv7u4=")</f>
        <v>#REF!</v>
      </c>
      <c r="IF25" t="e">
        <f>AND(Heaters!#REF!,"AAAAAGvv7u8=")</f>
        <v>#REF!</v>
      </c>
      <c r="IG25" t="e">
        <f>AND(Heaters!#REF!,"AAAAAGvv7vA=")</f>
        <v>#REF!</v>
      </c>
      <c r="IH25" t="e">
        <f>AND(Heaters!#REF!,"AAAAAGvv7vE=")</f>
        <v>#REF!</v>
      </c>
      <c r="II25" t="e">
        <f>AND(Heaters!#REF!,"AAAAAGvv7vI=")</f>
        <v>#REF!</v>
      </c>
      <c r="IJ25" t="e">
        <f>AND(Heaters!#REF!,"AAAAAGvv7vM=")</f>
        <v>#REF!</v>
      </c>
      <c r="IK25" t="e">
        <f>AND(Heaters!#REF!,"AAAAAGvv7vQ=")</f>
        <v>#REF!</v>
      </c>
      <c r="IL25" t="e">
        <f>AND(Heaters!#REF!,"AAAAAGvv7vU=")</f>
        <v>#REF!</v>
      </c>
      <c r="IM25" t="e">
        <f>AND(Heaters!#REF!,"AAAAAGvv7vY=")</f>
        <v>#REF!</v>
      </c>
      <c r="IN25" t="e">
        <f>AND(Heaters!#REF!,"AAAAAGvv7vc=")</f>
        <v>#REF!</v>
      </c>
      <c r="IO25" t="e">
        <f>AND(Heaters!#REF!,"AAAAAGvv7vg=")</f>
        <v>#REF!</v>
      </c>
      <c r="IP25" t="e">
        <f>AND(Heaters!#REF!,"AAAAAGvv7vk=")</f>
        <v>#REF!</v>
      </c>
      <c r="IQ25" t="e">
        <f>AND(Heaters!#REF!,"AAAAAGvv7vo=")</f>
        <v>#REF!</v>
      </c>
      <c r="IR25" t="e">
        <f>IF(Heaters!#REF!,"AAAAAGvv7vs=",0)</f>
        <v>#REF!</v>
      </c>
      <c r="IS25" t="e">
        <f>AND(Heaters!#REF!,"AAAAAGvv7vw=")</f>
        <v>#REF!</v>
      </c>
      <c r="IT25" t="e">
        <f>AND(Heaters!#REF!,"AAAAAGvv7v0=")</f>
        <v>#REF!</v>
      </c>
      <c r="IU25" t="e">
        <f>AND(Heaters!#REF!,"AAAAAGvv7v4=")</f>
        <v>#REF!</v>
      </c>
      <c r="IV25" t="e">
        <f>AND(Heaters!#REF!,"AAAAAGvv7v8=")</f>
        <v>#REF!</v>
      </c>
    </row>
    <row r="26" spans="1:256" x14ac:dyDescent="0.2">
      <c r="A26" t="e">
        <f>AND(Heaters!#REF!,"AAAAAA9y+wA=")</f>
        <v>#REF!</v>
      </c>
      <c r="B26" t="e">
        <f>AND(Heaters!#REF!,"AAAAAA9y+wE=")</f>
        <v>#REF!</v>
      </c>
      <c r="C26" t="e">
        <f>AND(Heaters!#REF!,"AAAAAA9y+wI=")</f>
        <v>#REF!</v>
      </c>
      <c r="D26" t="e">
        <f>AND(Heaters!#REF!,"AAAAAA9y+wM=")</f>
        <v>#REF!</v>
      </c>
      <c r="E26" t="e">
        <f>AND(Heaters!#REF!,"AAAAAA9y+wQ=")</f>
        <v>#REF!</v>
      </c>
      <c r="F26" t="e">
        <f>AND(Heaters!#REF!,"AAAAAA9y+wU=")</f>
        <v>#REF!</v>
      </c>
      <c r="G26" t="e">
        <f>AND(Heaters!#REF!,"AAAAAA9y+wY=")</f>
        <v>#REF!</v>
      </c>
      <c r="H26" t="e">
        <f>AND(Heaters!#REF!,"AAAAAA9y+wc=")</f>
        <v>#REF!</v>
      </c>
      <c r="I26" t="e">
        <f>AND(Heaters!#REF!,"AAAAAA9y+wg=")</f>
        <v>#REF!</v>
      </c>
      <c r="J26" t="e">
        <f>AND(Heaters!#REF!,"AAAAAA9y+wk=")</f>
        <v>#REF!</v>
      </c>
      <c r="K26" t="e">
        <f>AND(Heaters!#REF!,"AAAAAA9y+wo=")</f>
        <v>#REF!</v>
      </c>
      <c r="L26" t="e">
        <f>IF(Heaters!#REF!,"AAAAAA9y+ws=",0)</f>
        <v>#REF!</v>
      </c>
      <c r="M26" t="e">
        <f>AND(Heaters!#REF!,"AAAAAA9y+ww=")</f>
        <v>#REF!</v>
      </c>
      <c r="N26" t="e">
        <f>AND(Heaters!#REF!,"AAAAAA9y+w0=")</f>
        <v>#REF!</v>
      </c>
      <c r="O26" t="e">
        <f>AND(Heaters!#REF!,"AAAAAA9y+w4=")</f>
        <v>#REF!</v>
      </c>
      <c r="P26" t="e">
        <f>AND(Heaters!#REF!,"AAAAAA9y+w8=")</f>
        <v>#REF!</v>
      </c>
      <c r="Q26" t="e">
        <f>AND(Heaters!#REF!,"AAAAAA9y+xA=")</f>
        <v>#REF!</v>
      </c>
      <c r="R26" t="e">
        <f>AND(Heaters!#REF!,"AAAAAA9y+xE=")</f>
        <v>#REF!</v>
      </c>
      <c r="S26" t="e">
        <f>AND(Heaters!#REF!,"AAAAAA9y+xI=")</f>
        <v>#REF!</v>
      </c>
      <c r="T26" t="e">
        <f>AND(Heaters!#REF!,"AAAAAA9y+xM=")</f>
        <v>#REF!</v>
      </c>
      <c r="U26" t="e">
        <f>AND(Heaters!#REF!,"AAAAAA9y+xQ=")</f>
        <v>#REF!</v>
      </c>
      <c r="V26" t="e">
        <f>AND(Heaters!#REF!,"AAAAAA9y+xU=")</f>
        <v>#REF!</v>
      </c>
      <c r="W26" t="e">
        <f>AND(Heaters!#REF!,"AAAAAA9y+xY=")</f>
        <v>#REF!</v>
      </c>
      <c r="X26" t="e">
        <f>AND(Heaters!#REF!,"AAAAAA9y+xc=")</f>
        <v>#REF!</v>
      </c>
      <c r="Y26" t="e">
        <f>AND(Heaters!#REF!,"AAAAAA9y+xg=")</f>
        <v>#REF!</v>
      </c>
      <c r="Z26" t="e">
        <f>AND(Heaters!#REF!,"AAAAAA9y+xk=")</f>
        <v>#REF!</v>
      </c>
      <c r="AA26" t="e">
        <f>AND(Heaters!#REF!,"AAAAAA9y+xo=")</f>
        <v>#REF!</v>
      </c>
      <c r="AB26" t="e">
        <f>IF(Heaters!#REF!,"AAAAAA9y+xs=",0)</f>
        <v>#REF!</v>
      </c>
      <c r="AC26" t="e">
        <f>AND(Heaters!#REF!,"AAAAAA9y+xw=")</f>
        <v>#REF!</v>
      </c>
      <c r="AD26" t="e">
        <f>AND(Heaters!#REF!,"AAAAAA9y+x0=")</f>
        <v>#REF!</v>
      </c>
      <c r="AE26" t="e">
        <f>AND(Heaters!#REF!,"AAAAAA9y+x4=")</f>
        <v>#REF!</v>
      </c>
      <c r="AF26" t="e">
        <f>AND(Heaters!#REF!,"AAAAAA9y+x8=")</f>
        <v>#REF!</v>
      </c>
      <c r="AG26" t="e">
        <f>AND(Heaters!#REF!,"AAAAAA9y+yA=")</f>
        <v>#REF!</v>
      </c>
      <c r="AH26" t="e">
        <f>AND(Heaters!#REF!,"AAAAAA9y+yE=")</f>
        <v>#REF!</v>
      </c>
      <c r="AI26" t="e">
        <f>AND(Heaters!#REF!,"AAAAAA9y+yI=")</f>
        <v>#REF!</v>
      </c>
      <c r="AJ26" t="e">
        <f>AND(Heaters!#REF!,"AAAAAA9y+yM=")</f>
        <v>#REF!</v>
      </c>
      <c r="AK26" t="e">
        <f>AND(Heaters!#REF!,"AAAAAA9y+yQ=")</f>
        <v>#REF!</v>
      </c>
      <c r="AL26" t="e">
        <f>AND(Heaters!#REF!,"AAAAAA9y+yU=")</f>
        <v>#REF!</v>
      </c>
      <c r="AM26" t="e">
        <f>AND(Heaters!#REF!,"AAAAAA9y+yY=")</f>
        <v>#REF!</v>
      </c>
      <c r="AN26" t="e">
        <f>AND(Heaters!#REF!,"AAAAAA9y+yc=")</f>
        <v>#REF!</v>
      </c>
      <c r="AO26" t="e">
        <f>AND(Heaters!#REF!,"AAAAAA9y+yg=")</f>
        <v>#REF!</v>
      </c>
      <c r="AP26" t="e">
        <f>AND(Heaters!#REF!,"AAAAAA9y+yk=")</f>
        <v>#REF!</v>
      </c>
      <c r="AQ26" t="e">
        <f>AND(Heaters!#REF!,"AAAAAA9y+yo=")</f>
        <v>#REF!</v>
      </c>
      <c r="AR26" t="e">
        <f>IF(Heaters!#REF!,"AAAAAA9y+ys=",0)</f>
        <v>#REF!</v>
      </c>
      <c r="AS26" t="e">
        <f>AND(Heaters!#REF!,"AAAAAA9y+yw=")</f>
        <v>#REF!</v>
      </c>
      <c r="AT26" t="e">
        <f>AND(Heaters!#REF!,"AAAAAA9y+y0=")</f>
        <v>#REF!</v>
      </c>
      <c r="AU26" t="e">
        <f>AND(Heaters!#REF!,"AAAAAA9y+y4=")</f>
        <v>#REF!</v>
      </c>
      <c r="AV26" t="e">
        <f>AND(Heaters!#REF!,"AAAAAA9y+y8=")</f>
        <v>#REF!</v>
      </c>
      <c r="AW26" t="e">
        <f>AND(Heaters!#REF!,"AAAAAA9y+zA=")</f>
        <v>#REF!</v>
      </c>
      <c r="AX26" t="e">
        <f>AND(Heaters!#REF!,"AAAAAA9y+zE=")</f>
        <v>#REF!</v>
      </c>
      <c r="AY26" t="e">
        <f>AND(Heaters!#REF!,"AAAAAA9y+zI=")</f>
        <v>#REF!</v>
      </c>
      <c r="AZ26" t="e">
        <f>AND(Heaters!#REF!,"AAAAAA9y+zM=")</f>
        <v>#REF!</v>
      </c>
      <c r="BA26" t="e">
        <f>AND(Heaters!#REF!,"AAAAAA9y+zQ=")</f>
        <v>#REF!</v>
      </c>
      <c r="BB26" t="e">
        <f>AND(Heaters!#REF!,"AAAAAA9y+zU=")</f>
        <v>#REF!</v>
      </c>
      <c r="BC26" t="e">
        <f>AND(Heaters!#REF!,"AAAAAA9y+zY=")</f>
        <v>#REF!</v>
      </c>
      <c r="BD26" t="e">
        <f>AND(Heaters!#REF!,"AAAAAA9y+zc=")</f>
        <v>#REF!</v>
      </c>
      <c r="BE26" t="e">
        <f>AND(Heaters!#REF!,"AAAAAA9y+zg=")</f>
        <v>#REF!</v>
      </c>
      <c r="BF26" t="e">
        <f>AND(Heaters!#REF!,"AAAAAA9y+zk=")</f>
        <v>#REF!</v>
      </c>
      <c r="BG26" t="e">
        <f>AND(Heaters!#REF!,"AAAAAA9y+zo=")</f>
        <v>#REF!</v>
      </c>
      <c r="BH26" t="e">
        <f>IF(Heaters!#REF!,"AAAAAA9y+zs=",0)</f>
        <v>#REF!</v>
      </c>
      <c r="BI26" t="e">
        <f>AND(Heaters!#REF!,"AAAAAA9y+zw=")</f>
        <v>#REF!</v>
      </c>
      <c r="BJ26" t="e">
        <f>AND(Heaters!#REF!,"AAAAAA9y+z0=")</f>
        <v>#REF!</v>
      </c>
      <c r="BK26" t="e">
        <f>AND(Heaters!#REF!,"AAAAAA9y+z4=")</f>
        <v>#REF!</v>
      </c>
      <c r="BL26" t="e">
        <f>AND(Heaters!#REF!,"AAAAAA9y+z8=")</f>
        <v>#REF!</v>
      </c>
      <c r="BM26" t="e">
        <f>AND(Heaters!#REF!,"AAAAAA9y+0A=")</f>
        <v>#REF!</v>
      </c>
      <c r="BN26" t="e">
        <f>AND(Heaters!#REF!,"AAAAAA9y+0E=")</f>
        <v>#REF!</v>
      </c>
      <c r="BO26" t="e">
        <f>AND(Heaters!#REF!,"AAAAAA9y+0I=")</f>
        <v>#REF!</v>
      </c>
      <c r="BP26" t="e">
        <f>AND(Heaters!#REF!,"AAAAAA9y+0M=")</f>
        <v>#REF!</v>
      </c>
      <c r="BQ26" t="e">
        <f>AND(Heaters!#REF!,"AAAAAA9y+0Q=")</f>
        <v>#REF!</v>
      </c>
      <c r="BR26" t="e">
        <f>AND(Heaters!#REF!,"AAAAAA9y+0U=")</f>
        <v>#REF!</v>
      </c>
      <c r="BS26" t="e">
        <f>AND(Heaters!#REF!,"AAAAAA9y+0Y=")</f>
        <v>#REF!</v>
      </c>
      <c r="BT26" t="e">
        <f>AND(Heaters!#REF!,"AAAAAA9y+0c=")</f>
        <v>#REF!</v>
      </c>
      <c r="BU26" t="e">
        <f>AND(Heaters!#REF!,"AAAAAA9y+0g=")</f>
        <v>#REF!</v>
      </c>
      <c r="BV26" t="e">
        <f>AND(Heaters!#REF!,"AAAAAA9y+0k=")</f>
        <v>#REF!</v>
      </c>
      <c r="BW26" t="e">
        <f>AND(Heaters!#REF!,"AAAAAA9y+0o=")</f>
        <v>#REF!</v>
      </c>
      <c r="BX26">
        <f>IF(Heaters!11:11,"AAAAAA9y+0s=",0)</f>
        <v>0</v>
      </c>
      <c r="BY26" t="e">
        <f>AND(Heaters!A11,"AAAAAA9y+0w=")</f>
        <v>#VALUE!</v>
      </c>
      <c r="BZ26" t="e">
        <f>AND(Heaters!B11,"AAAAAA9y+00=")</f>
        <v>#VALUE!</v>
      </c>
      <c r="CA26" t="e">
        <f>AND(Heaters!C11,"AAAAAA9y+04=")</f>
        <v>#VALUE!</v>
      </c>
      <c r="CB26" t="e">
        <f>AND(Heaters!D11,"AAAAAA9y+08=")</f>
        <v>#VALUE!</v>
      </c>
      <c r="CC26" t="e">
        <f>AND(Heaters!E11,"AAAAAA9y+1A=")</f>
        <v>#VALUE!</v>
      </c>
      <c r="CD26" t="e">
        <f>AND(Heaters!F11,"AAAAAA9y+1E=")</f>
        <v>#VALUE!</v>
      </c>
      <c r="CE26" t="e">
        <f>AND(Heaters!G11,"AAAAAA9y+1I=")</f>
        <v>#VALUE!</v>
      </c>
      <c r="CF26" t="e">
        <f>AND(Heaters!H11,"AAAAAA9y+1M=")</f>
        <v>#VALUE!</v>
      </c>
      <c r="CG26" t="e">
        <f>AND(Heaters!I11,"AAAAAA9y+1Q=")</f>
        <v>#VALUE!</v>
      </c>
      <c r="CH26" t="e">
        <f>AND(Heaters!J11,"AAAAAA9y+1U=")</f>
        <v>#VALUE!</v>
      </c>
      <c r="CI26" t="e">
        <f>AND(Heaters!K11,"AAAAAA9y+1Y=")</f>
        <v>#VALUE!</v>
      </c>
      <c r="CJ26" t="e">
        <f>AND(Heaters!L11,"AAAAAA9y+1c=")</f>
        <v>#VALUE!</v>
      </c>
      <c r="CK26" t="e">
        <f>AND(Heaters!M11,"AAAAAA9y+1g=")</f>
        <v>#VALUE!</v>
      </c>
      <c r="CL26" t="e">
        <f>AND(Heaters!N11,"AAAAAA9y+1k=")</f>
        <v>#VALUE!</v>
      </c>
      <c r="CM26" t="e">
        <f>AND(Heaters!O11,"AAAAAA9y+1o=")</f>
        <v>#VALUE!</v>
      </c>
      <c r="CN26">
        <f>IF(Heaters!26:26,"AAAAAA9y+1s=",0)</f>
        <v>0</v>
      </c>
      <c r="CO26" t="e">
        <f>AND(Heaters!A26,"AAAAAA9y+1w=")</f>
        <v>#VALUE!</v>
      </c>
      <c r="CP26" t="e">
        <f>AND(Heaters!B26,"AAAAAA9y+10=")</f>
        <v>#VALUE!</v>
      </c>
      <c r="CQ26" t="e">
        <f>AND(Heaters!C26,"AAAAAA9y+14=")</f>
        <v>#VALUE!</v>
      </c>
      <c r="CR26" t="e">
        <f>AND(Heaters!D26,"AAAAAA9y+18=")</f>
        <v>#VALUE!</v>
      </c>
      <c r="CS26" t="e">
        <f>AND(Heaters!E26,"AAAAAA9y+2A=")</f>
        <v>#VALUE!</v>
      </c>
      <c r="CT26" t="e">
        <f>AND(Heaters!F26,"AAAAAA9y+2E=")</f>
        <v>#VALUE!</v>
      </c>
      <c r="CU26" t="e">
        <f>AND(Heaters!G26,"AAAAAA9y+2I=")</f>
        <v>#VALUE!</v>
      </c>
      <c r="CV26" t="e">
        <f>AND(Heaters!H26,"AAAAAA9y+2M=")</f>
        <v>#VALUE!</v>
      </c>
      <c r="CW26" t="e">
        <f>AND(Heaters!I26,"AAAAAA9y+2Q=")</f>
        <v>#VALUE!</v>
      </c>
      <c r="CX26" t="e">
        <f>AND(Heaters!J26,"AAAAAA9y+2U=")</f>
        <v>#VALUE!</v>
      </c>
      <c r="CY26" t="e">
        <f>AND(Heaters!K26,"AAAAAA9y+2Y=")</f>
        <v>#VALUE!</v>
      </c>
      <c r="CZ26" t="e">
        <f>AND(Heaters!L26,"AAAAAA9y+2c=")</f>
        <v>#VALUE!</v>
      </c>
      <c r="DA26" t="e">
        <f>AND(Heaters!M26,"AAAAAA9y+2g=")</f>
        <v>#VALUE!</v>
      </c>
      <c r="DB26" t="e">
        <f>AND(Heaters!N26,"AAAAAA9y+2k=")</f>
        <v>#VALUE!</v>
      </c>
      <c r="DC26" t="e">
        <f>AND(Heaters!O26,"AAAAAA9y+2o=")</f>
        <v>#VALUE!</v>
      </c>
      <c r="DD26" t="e">
        <f>IF(Heaters!#REF!,"AAAAAA9y+2s=",0)</f>
        <v>#REF!</v>
      </c>
      <c r="DE26" t="e">
        <f>AND(Heaters!#REF!,"AAAAAA9y+2w=")</f>
        <v>#REF!</v>
      </c>
      <c r="DF26" t="e">
        <f>AND(Heaters!#REF!,"AAAAAA9y+20=")</f>
        <v>#REF!</v>
      </c>
      <c r="DG26" t="e">
        <f>AND(Heaters!#REF!,"AAAAAA9y+24=")</f>
        <v>#REF!</v>
      </c>
      <c r="DH26" t="e">
        <f>AND(Heaters!#REF!,"AAAAAA9y+28=")</f>
        <v>#REF!</v>
      </c>
      <c r="DI26" t="e">
        <f>AND(Heaters!#REF!,"AAAAAA9y+3A=")</f>
        <v>#REF!</v>
      </c>
      <c r="DJ26" t="e">
        <f>AND(Heaters!#REF!,"AAAAAA9y+3E=")</f>
        <v>#REF!</v>
      </c>
      <c r="DK26" t="e">
        <f>AND(Heaters!#REF!,"AAAAAA9y+3I=")</f>
        <v>#REF!</v>
      </c>
      <c r="DL26" t="e">
        <f>AND(Heaters!#REF!,"AAAAAA9y+3M=")</f>
        <v>#REF!</v>
      </c>
      <c r="DM26" t="e">
        <f>AND(Heaters!#REF!,"AAAAAA9y+3Q=")</f>
        <v>#REF!</v>
      </c>
      <c r="DN26" t="e">
        <f>AND(Heaters!#REF!,"AAAAAA9y+3U=")</f>
        <v>#REF!</v>
      </c>
      <c r="DO26" t="e">
        <f>AND(Heaters!#REF!,"AAAAAA9y+3Y=")</f>
        <v>#REF!</v>
      </c>
      <c r="DP26" t="e">
        <f>AND(Heaters!#REF!,"AAAAAA9y+3c=")</f>
        <v>#REF!</v>
      </c>
      <c r="DQ26" t="e">
        <f>AND(Heaters!#REF!,"AAAAAA9y+3g=")</f>
        <v>#REF!</v>
      </c>
      <c r="DR26" t="e">
        <f>AND(Heaters!#REF!,"AAAAAA9y+3k=")</f>
        <v>#REF!</v>
      </c>
      <c r="DS26" t="e">
        <f>AND(Heaters!#REF!,"AAAAAA9y+3o=")</f>
        <v>#REF!</v>
      </c>
      <c r="DT26" t="e">
        <f>IF(Heaters!#REF!,"AAAAAA9y+3s=",0)</f>
        <v>#REF!</v>
      </c>
      <c r="DU26" t="e">
        <f>AND(Heaters!#REF!,"AAAAAA9y+3w=")</f>
        <v>#REF!</v>
      </c>
      <c r="DV26" t="e">
        <f>AND(Heaters!#REF!,"AAAAAA9y+30=")</f>
        <v>#REF!</v>
      </c>
      <c r="DW26" t="e">
        <f>AND(Heaters!#REF!,"AAAAAA9y+34=")</f>
        <v>#REF!</v>
      </c>
      <c r="DX26" t="e">
        <f>AND(Heaters!#REF!,"AAAAAA9y+38=")</f>
        <v>#REF!</v>
      </c>
      <c r="DY26" t="e">
        <f>AND(Heaters!#REF!,"AAAAAA9y+4A=")</f>
        <v>#REF!</v>
      </c>
      <c r="DZ26" t="e">
        <f>AND(Heaters!#REF!,"AAAAAA9y+4E=")</f>
        <v>#REF!</v>
      </c>
      <c r="EA26" t="e">
        <f>AND(Heaters!#REF!,"AAAAAA9y+4I=")</f>
        <v>#REF!</v>
      </c>
      <c r="EB26" t="e">
        <f>AND(Heaters!#REF!,"AAAAAA9y+4M=")</f>
        <v>#REF!</v>
      </c>
      <c r="EC26" t="e">
        <f>AND(Heaters!#REF!,"AAAAAA9y+4Q=")</f>
        <v>#REF!</v>
      </c>
      <c r="ED26" t="e">
        <f>AND(Heaters!#REF!,"AAAAAA9y+4U=")</f>
        <v>#REF!</v>
      </c>
      <c r="EE26" t="e">
        <f>AND(Heaters!#REF!,"AAAAAA9y+4Y=")</f>
        <v>#REF!</v>
      </c>
      <c r="EF26" t="e">
        <f>AND(Heaters!#REF!,"AAAAAA9y+4c=")</f>
        <v>#REF!</v>
      </c>
      <c r="EG26" t="e">
        <f>AND(Heaters!#REF!,"AAAAAA9y+4g=")</f>
        <v>#REF!</v>
      </c>
      <c r="EH26" t="e">
        <f>AND(Heaters!#REF!,"AAAAAA9y+4k=")</f>
        <v>#REF!</v>
      </c>
      <c r="EI26" t="e">
        <f>AND(Heaters!#REF!,"AAAAAA9y+4o=")</f>
        <v>#REF!</v>
      </c>
      <c r="EJ26" t="e">
        <f>IF(Heaters!#REF!,"AAAAAA9y+4s=",0)</f>
        <v>#REF!</v>
      </c>
      <c r="EK26" t="e">
        <f>AND(Heaters!#REF!,"AAAAAA9y+4w=")</f>
        <v>#REF!</v>
      </c>
      <c r="EL26" t="e">
        <f>AND(Heaters!#REF!,"AAAAAA9y+40=")</f>
        <v>#REF!</v>
      </c>
      <c r="EM26" t="e">
        <f>AND(Heaters!#REF!,"AAAAAA9y+44=")</f>
        <v>#REF!</v>
      </c>
      <c r="EN26" t="e">
        <f>AND(Heaters!#REF!,"AAAAAA9y+48=")</f>
        <v>#REF!</v>
      </c>
      <c r="EO26" t="e">
        <f>AND(Heaters!#REF!,"AAAAAA9y+5A=")</f>
        <v>#REF!</v>
      </c>
      <c r="EP26" t="e">
        <f>AND(Heaters!#REF!,"AAAAAA9y+5E=")</f>
        <v>#REF!</v>
      </c>
      <c r="EQ26" t="e">
        <f>AND(Heaters!#REF!,"AAAAAA9y+5I=")</f>
        <v>#REF!</v>
      </c>
      <c r="ER26" t="e">
        <f>AND(Heaters!#REF!,"AAAAAA9y+5M=")</f>
        <v>#REF!</v>
      </c>
      <c r="ES26" t="e">
        <f>AND(Heaters!#REF!,"AAAAAA9y+5Q=")</f>
        <v>#REF!</v>
      </c>
      <c r="ET26" t="e">
        <f>AND(Heaters!#REF!,"AAAAAA9y+5U=")</f>
        <v>#REF!</v>
      </c>
      <c r="EU26" t="e">
        <f>AND(Heaters!#REF!,"AAAAAA9y+5Y=")</f>
        <v>#REF!</v>
      </c>
      <c r="EV26" t="e">
        <f>AND(Heaters!#REF!,"AAAAAA9y+5c=")</f>
        <v>#REF!</v>
      </c>
      <c r="EW26" t="e">
        <f>AND(Heaters!#REF!,"AAAAAA9y+5g=")</f>
        <v>#REF!</v>
      </c>
      <c r="EX26" t="e">
        <f>AND(Heaters!#REF!,"AAAAAA9y+5k=")</f>
        <v>#REF!</v>
      </c>
      <c r="EY26" t="e">
        <f>AND(Heaters!#REF!,"AAAAAA9y+5o=")</f>
        <v>#REF!</v>
      </c>
      <c r="EZ26" t="e">
        <f>IF(Heaters!#REF!,"AAAAAA9y+5s=",0)</f>
        <v>#REF!</v>
      </c>
      <c r="FA26" t="e">
        <f>AND(Heaters!#REF!,"AAAAAA9y+5w=")</f>
        <v>#REF!</v>
      </c>
      <c r="FB26" t="e">
        <f>AND(Heaters!#REF!,"AAAAAA9y+50=")</f>
        <v>#REF!</v>
      </c>
      <c r="FC26" t="e">
        <f>AND(Heaters!#REF!,"AAAAAA9y+54=")</f>
        <v>#REF!</v>
      </c>
      <c r="FD26" t="e">
        <f>AND(Heaters!#REF!,"AAAAAA9y+58=")</f>
        <v>#REF!</v>
      </c>
      <c r="FE26" t="e">
        <f>AND(Heaters!#REF!,"AAAAAA9y+6A=")</f>
        <v>#REF!</v>
      </c>
      <c r="FF26" t="e">
        <f>AND(Heaters!#REF!,"AAAAAA9y+6E=")</f>
        <v>#REF!</v>
      </c>
      <c r="FG26" t="e">
        <f>AND(Heaters!#REF!,"AAAAAA9y+6I=")</f>
        <v>#REF!</v>
      </c>
      <c r="FH26" t="e">
        <f>AND(Heaters!#REF!,"AAAAAA9y+6M=")</f>
        <v>#REF!</v>
      </c>
      <c r="FI26" t="e">
        <f>AND(Heaters!#REF!,"AAAAAA9y+6Q=")</f>
        <v>#REF!</v>
      </c>
      <c r="FJ26" t="e">
        <f>AND(Heaters!#REF!,"AAAAAA9y+6U=")</f>
        <v>#REF!</v>
      </c>
      <c r="FK26" t="e">
        <f>AND(Heaters!#REF!,"AAAAAA9y+6Y=")</f>
        <v>#REF!</v>
      </c>
      <c r="FL26" t="e">
        <f>AND(Heaters!#REF!,"AAAAAA9y+6c=")</f>
        <v>#REF!</v>
      </c>
      <c r="FM26" t="e">
        <f>AND(Heaters!#REF!,"AAAAAA9y+6g=")</f>
        <v>#REF!</v>
      </c>
      <c r="FN26" t="e">
        <f>AND(Heaters!#REF!,"AAAAAA9y+6k=")</f>
        <v>#REF!</v>
      </c>
      <c r="FO26" t="e">
        <f>AND(Heaters!#REF!,"AAAAAA9y+6o=")</f>
        <v>#REF!</v>
      </c>
      <c r="FP26" t="e">
        <f>IF(Heaters!#REF!,"AAAAAA9y+6s=",0)</f>
        <v>#REF!</v>
      </c>
      <c r="FQ26" t="e">
        <f>AND(Heaters!#REF!,"AAAAAA9y+6w=")</f>
        <v>#REF!</v>
      </c>
      <c r="FR26" t="e">
        <f>AND(Heaters!#REF!,"AAAAAA9y+60=")</f>
        <v>#REF!</v>
      </c>
      <c r="FS26" t="e">
        <f>AND(Heaters!#REF!,"AAAAAA9y+64=")</f>
        <v>#REF!</v>
      </c>
      <c r="FT26" t="e">
        <f>AND(Heaters!#REF!,"AAAAAA9y+68=")</f>
        <v>#REF!</v>
      </c>
      <c r="FU26" t="e">
        <f>AND(Heaters!#REF!,"AAAAAA9y+7A=")</f>
        <v>#REF!</v>
      </c>
      <c r="FV26" t="e">
        <f>AND(Heaters!#REF!,"AAAAAA9y+7E=")</f>
        <v>#REF!</v>
      </c>
      <c r="FW26" t="e">
        <f>AND(Heaters!#REF!,"AAAAAA9y+7I=")</f>
        <v>#REF!</v>
      </c>
      <c r="FX26" t="e">
        <f>AND(Heaters!#REF!,"AAAAAA9y+7M=")</f>
        <v>#REF!</v>
      </c>
      <c r="FY26" t="e">
        <f>AND(Heaters!#REF!,"AAAAAA9y+7Q=")</f>
        <v>#REF!</v>
      </c>
      <c r="FZ26" t="e">
        <f>AND(Heaters!#REF!,"AAAAAA9y+7U=")</f>
        <v>#REF!</v>
      </c>
      <c r="GA26" t="e">
        <f>AND(Heaters!#REF!,"AAAAAA9y+7Y=")</f>
        <v>#REF!</v>
      </c>
      <c r="GB26" t="e">
        <f>AND(Heaters!#REF!,"AAAAAA9y+7c=")</f>
        <v>#REF!</v>
      </c>
      <c r="GC26" t="e">
        <f>AND(Heaters!#REF!,"AAAAAA9y+7g=")</f>
        <v>#REF!</v>
      </c>
      <c r="GD26" t="e">
        <f>AND(Heaters!#REF!,"AAAAAA9y+7k=")</f>
        <v>#REF!</v>
      </c>
      <c r="GE26" t="e">
        <f>AND(Heaters!#REF!,"AAAAAA9y+7o=")</f>
        <v>#REF!</v>
      </c>
      <c r="GF26" t="e">
        <f>IF(Heaters!#REF!,"AAAAAA9y+7s=",0)</f>
        <v>#REF!</v>
      </c>
      <c r="GG26" t="e">
        <f>AND(Heaters!#REF!,"AAAAAA9y+7w=")</f>
        <v>#REF!</v>
      </c>
      <c r="GH26" t="e">
        <f>AND(Heaters!#REF!,"AAAAAA9y+70=")</f>
        <v>#REF!</v>
      </c>
      <c r="GI26" t="e">
        <f>AND(Heaters!#REF!,"AAAAAA9y+74=")</f>
        <v>#REF!</v>
      </c>
      <c r="GJ26" t="e">
        <f>AND(Heaters!#REF!,"AAAAAA9y+78=")</f>
        <v>#REF!</v>
      </c>
      <c r="GK26" t="e">
        <f>AND(Heaters!#REF!,"AAAAAA9y+8A=")</f>
        <v>#REF!</v>
      </c>
      <c r="GL26" t="e">
        <f>AND(Heaters!#REF!,"AAAAAA9y+8E=")</f>
        <v>#REF!</v>
      </c>
      <c r="GM26" t="e">
        <f>AND(Heaters!#REF!,"AAAAAA9y+8I=")</f>
        <v>#REF!</v>
      </c>
      <c r="GN26" t="e">
        <f>AND(Heaters!#REF!,"AAAAAA9y+8M=")</f>
        <v>#REF!</v>
      </c>
      <c r="GO26" t="e">
        <f>AND(Heaters!#REF!,"AAAAAA9y+8Q=")</f>
        <v>#REF!</v>
      </c>
      <c r="GP26" t="e">
        <f>AND(Heaters!#REF!,"AAAAAA9y+8U=")</f>
        <v>#REF!</v>
      </c>
      <c r="GQ26" t="e">
        <f>AND(Heaters!#REF!,"AAAAAA9y+8Y=")</f>
        <v>#REF!</v>
      </c>
      <c r="GR26" t="e">
        <f>AND(Heaters!#REF!,"AAAAAA9y+8c=")</f>
        <v>#REF!</v>
      </c>
      <c r="GS26" t="e">
        <f>AND(Heaters!#REF!,"AAAAAA9y+8g=")</f>
        <v>#REF!</v>
      </c>
      <c r="GT26" t="e">
        <f>AND(Heaters!#REF!,"AAAAAA9y+8k=")</f>
        <v>#REF!</v>
      </c>
      <c r="GU26" t="e">
        <f>AND(Heaters!#REF!,"AAAAAA9y+8o=")</f>
        <v>#REF!</v>
      </c>
      <c r="GV26" t="e">
        <f>IF(Heaters!#REF!,"AAAAAA9y+8s=",0)</f>
        <v>#REF!</v>
      </c>
      <c r="GW26" t="e">
        <f>AND(Heaters!#REF!,"AAAAAA9y+8w=")</f>
        <v>#REF!</v>
      </c>
      <c r="GX26" t="e">
        <f>AND(Heaters!#REF!,"AAAAAA9y+80=")</f>
        <v>#REF!</v>
      </c>
      <c r="GY26" t="e">
        <f>AND(Heaters!#REF!,"AAAAAA9y+84=")</f>
        <v>#REF!</v>
      </c>
      <c r="GZ26" t="e">
        <f>AND(Heaters!#REF!,"AAAAAA9y+88=")</f>
        <v>#REF!</v>
      </c>
      <c r="HA26" t="e">
        <f>AND(Heaters!#REF!,"AAAAAA9y+9A=")</f>
        <v>#REF!</v>
      </c>
      <c r="HB26" t="e">
        <f>AND(Heaters!#REF!,"AAAAAA9y+9E=")</f>
        <v>#REF!</v>
      </c>
      <c r="HC26" t="e">
        <f>AND(Heaters!#REF!,"AAAAAA9y+9I=")</f>
        <v>#REF!</v>
      </c>
      <c r="HD26" t="e">
        <f>AND(Heaters!#REF!,"AAAAAA9y+9M=")</f>
        <v>#REF!</v>
      </c>
      <c r="HE26" t="e">
        <f>AND(Heaters!#REF!,"AAAAAA9y+9Q=")</f>
        <v>#REF!</v>
      </c>
      <c r="HF26" t="e">
        <f>AND(Heaters!#REF!,"AAAAAA9y+9U=")</f>
        <v>#REF!</v>
      </c>
      <c r="HG26" t="e">
        <f>AND(Heaters!#REF!,"AAAAAA9y+9Y=")</f>
        <v>#REF!</v>
      </c>
      <c r="HH26" t="e">
        <f>AND(Heaters!#REF!,"AAAAAA9y+9c=")</f>
        <v>#REF!</v>
      </c>
      <c r="HI26" t="e">
        <f>AND(Heaters!#REF!,"AAAAAA9y+9g=")</f>
        <v>#REF!</v>
      </c>
      <c r="HJ26" t="e">
        <f>AND(Heaters!#REF!,"AAAAAA9y+9k=")</f>
        <v>#REF!</v>
      </c>
      <c r="HK26" t="e">
        <f>AND(Heaters!#REF!,"AAAAAA9y+9o=")</f>
        <v>#REF!</v>
      </c>
      <c r="HL26" t="e">
        <f>IF(Heaters!#REF!,"AAAAAA9y+9s=",0)</f>
        <v>#REF!</v>
      </c>
      <c r="HM26" t="e">
        <f>AND(Heaters!#REF!,"AAAAAA9y+9w=")</f>
        <v>#REF!</v>
      </c>
      <c r="HN26" t="e">
        <f>AND(Heaters!#REF!,"AAAAAA9y+90=")</f>
        <v>#REF!</v>
      </c>
      <c r="HO26" t="e">
        <f>AND(Heaters!#REF!,"AAAAAA9y+94=")</f>
        <v>#REF!</v>
      </c>
      <c r="HP26" t="e">
        <f>AND(Heaters!#REF!,"AAAAAA9y+98=")</f>
        <v>#REF!</v>
      </c>
      <c r="HQ26" t="e">
        <f>AND(Heaters!#REF!,"AAAAAA9y++A=")</f>
        <v>#REF!</v>
      </c>
      <c r="HR26" t="e">
        <f>AND(Heaters!#REF!,"AAAAAA9y++E=")</f>
        <v>#REF!</v>
      </c>
      <c r="HS26" t="e">
        <f>AND(Heaters!#REF!,"AAAAAA9y++I=")</f>
        <v>#REF!</v>
      </c>
      <c r="HT26" t="e">
        <f>AND(Heaters!#REF!,"AAAAAA9y++M=")</f>
        <v>#REF!</v>
      </c>
      <c r="HU26" t="e">
        <f>AND(Heaters!#REF!,"AAAAAA9y++Q=")</f>
        <v>#REF!</v>
      </c>
      <c r="HV26" t="e">
        <f>AND(Heaters!#REF!,"AAAAAA9y++U=")</f>
        <v>#REF!</v>
      </c>
      <c r="HW26" t="e">
        <f>AND(Heaters!#REF!,"AAAAAA9y++Y=")</f>
        <v>#REF!</v>
      </c>
      <c r="HX26" t="e">
        <f>AND(Heaters!#REF!,"AAAAAA9y++c=")</f>
        <v>#REF!</v>
      </c>
      <c r="HY26" t="e">
        <f>AND(Heaters!#REF!,"AAAAAA9y++g=")</f>
        <v>#REF!</v>
      </c>
      <c r="HZ26" t="e">
        <f>AND(Heaters!#REF!,"AAAAAA9y++k=")</f>
        <v>#REF!</v>
      </c>
      <c r="IA26" t="e">
        <f>AND(Heaters!#REF!,"AAAAAA9y++o=")</f>
        <v>#REF!</v>
      </c>
      <c r="IB26" t="e">
        <f>IF(Heaters!#REF!,"AAAAAA9y++s=",0)</f>
        <v>#REF!</v>
      </c>
      <c r="IC26" t="e">
        <f>AND(Heaters!#REF!,"AAAAAA9y++w=")</f>
        <v>#REF!</v>
      </c>
      <c r="ID26" t="e">
        <f>AND(Heaters!#REF!,"AAAAAA9y++0=")</f>
        <v>#REF!</v>
      </c>
      <c r="IE26" t="e">
        <f>AND(Heaters!#REF!,"AAAAAA9y++4=")</f>
        <v>#REF!</v>
      </c>
      <c r="IF26" t="e">
        <f>AND(Heaters!#REF!,"AAAAAA9y++8=")</f>
        <v>#REF!</v>
      </c>
      <c r="IG26" t="e">
        <f>AND(Heaters!#REF!,"AAAAAA9y+/A=")</f>
        <v>#REF!</v>
      </c>
      <c r="IH26" t="e">
        <f>AND(Heaters!#REF!,"AAAAAA9y+/E=")</f>
        <v>#REF!</v>
      </c>
      <c r="II26" t="e">
        <f>AND(Heaters!#REF!,"AAAAAA9y+/I=")</f>
        <v>#REF!</v>
      </c>
      <c r="IJ26" t="e">
        <f>AND(Heaters!#REF!,"AAAAAA9y+/M=")</f>
        <v>#REF!</v>
      </c>
      <c r="IK26" t="e">
        <f>AND(Heaters!#REF!,"AAAAAA9y+/Q=")</f>
        <v>#REF!</v>
      </c>
      <c r="IL26" t="e">
        <f>AND(Heaters!#REF!,"AAAAAA9y+/U=")</f>
        <v>#REF!</v>
      </c>
      <c r="IM26" t="e">
        <f>AND(Heaters!#REF!,"AAAAAA9y+/Y=")</f>
        <v>#REF!</v>
      </c>
      <c r="IN26" t="e">
        <f>AND(Heaters!#REF!,"AAAAAA9y+/c=")</f>
        <v>#REF!</v>
      </c>
      <c r="IO26" t="e">
        <f>AND(Heaters!#REF!,"AAAAAA9y+/g=")</f>
        <v>#REF!</v>
      </c>
      <c r="IP26" t="e">
        <f>AND(Heaters!#REF!,"AAAAAA9y+/k=")</f>
        <v>#REF!</v>
      </c>
      <c r="IQ26" t="e">
        <f>AND(Heaters!#REF!,"AAAAAA9y+/o=")</f>
        <v>#REF!</v>
      </c>
      <c r="IR26" t="e">
        <f>IF(Heaters!#REF!,"AAAAAA9y+/s=",0)</f>
        <v>#REF!</v>
      </c>
      <c r="IS26" t="e">
        <f>AND(Heaters!#REF!,"AAAAAA9y+/w=")</f>
        <v>#REF!</v>
      </c>
      <c r="IT26" t="e">
        <f>AND(Heaters!#REF!,"AAAAAA9y+/0=")</f>
        <v>#REF!</v>
      </c>
      <c r="IU26" t="e">
        <f>AND(Heaters!#REF!,"AAAAAA9y+/4=")</f>
        <v>#REF!</v>
      </c>
      <c r="IV26" t="e">
        <f>AND(Heaters!#REF!,"AAAAAA9y+/8=")</f>
        <v>#REF!</v>
      </c>
    </row>
    <row r="27" spans="1:256" x14ac:dyDescent="0.2">
      <c r="A27" t="e">
        <f>AND(Heaters!#REF!,"AAAAAHE53wA=")</f>
        <v>#REF!</v>
      </c>
      <c r="B27" t="e">
        <f>AND(Heaters!#REF!,"AAAAAHE53wE=")</f>
        <v>#REF!</v>
      </c>
      <c r="C27" t="e">
        <f>AND(Heaters!#REF!,"AAAAAHE53wI=")</f>
        <v>#REF!</v>
      </c>
      <c r="D27" t="e">
        <f>AND(Heaters!#REF!,"AAAAAHE53wM=")</f>
        <v>#REF!</v>
      </c>
      <c r="E27" t="e">
        <f>AND(Heaters!#REF!,"AAAAAHE53wQ=")</f>
        <v>#REF!</v>
      </c>
      <c r="F27" t="e">
        <f>AND(Heaters!#REF!,"AAAAAHE53wU=")</f>
        <v>#REF!</v>
      </c>
      <c r="G27" t="e">
        <f>AND(Heaters!#REF!,"AAAAAHE53wY=")</f>
        <v>#REF!</v>
      </c>
      <c r="H27" t="e">
        <f>AND(Heaters!#REF!,"AAAAAHE53wc=")</f>
        <v>#REF!</v>
      </c>
      <c r="I27" t="e">
        <f>AND(Heaters!#REF!,"AAAAAHE53wg=")</f>
        <v>#REF!</v>
      </c>
      <c r="J27" t="e">
        <f>AND(Heaters!#REF!,"AAAAAHE53wk=")</f>
        <v>#REF!</v>
      </c>
      <c r="K27" t="e">
        <f>AND(Heaters!#REF!,"AAAAAHE53wo=")</f>
        <v>#REF!</v>
      </c>
      <c r="L27" t="e">
        <f>IF(Heaters!#REF!,"AAAAAHE53ws=",0)</f>
        <v>#REF!</v>
      </c>
      <c r="M27" t="e">
        <f>AND(Heaters!#REF!,"AAAAAHE53ww=")</f>
        <v>#REF!</v>
      </c>
      <c r="N27" t="e">
        <f>AND(Heaters!#REF!,"AAAAAHE53w0=")</f>
        <v>#REF!</v>
      </c>
      <c r="O27" t="e">
        <f>AND(Heaters!#REF!,"AAAAAHE53w4=")</f>
        <v>#REF!</v>
      </c>
      <c r="P27" t="e">
        <f>AND(Heaters!#REF!,"AAAAAHE53w8=")</f>
        <v>#REF!</v>
      </c>
      <c r="Q27" t="e">
        <f>AND(Heaters!#REF!,"AAAAAHE53xA=")</f>
        <v>#REF!</v>
      </c>
      <c r="R27" t="e">
        <f>AND(Heaters!#REF!,"AAAAAHE53xE=")</f>
        <v>#REF!</v>
      </c>
      <c r="S27" t="e">
        <f>AND(Heaters!#REF!,"AAAAAHE53xI=")</f>
        <v>#REF!</v>
      </c>
      <c r="T27" t="e">
        <f>AND(Heaters!#REF!,"AAAAAHE53xM=")</f>
        <v>#REF!</v>
      </c>
      <c r="U27" t="e">
        <f>AND(Heaters!#REF!,"AAAAAHE53xQ=")</f>
        <v>#REF!</v>
      </c>
      <c r="V27" t="e">
        <f>AND(Heaters!#REF!,"AAAAAHE53xU=")</f>
        <v>#REF!</v>
      </c>
      <c r="W27" t="e">
        <f>AND(Heaters!#REF!,"AAAAAHE53xY=")</f>
        <v>#REF!</v>
      </c>
      <c r="X27" t="e">
        <f>AND(Heaters!#REF!,"AAAAAHE53xc=")</f>
        <v>#REF!</v>
      </c>
      <c r="Y27" t="e">
        <f>AND(Heaters!#REF!,"AAAAAHE53xg=")</f>
        <v>#REF!</v>
      </c>
      <c r="Z27" t="e">
        <f>AND(Heaters!#REF!,"AAAAAHE53xk=")</f>
        <v>#REF!</v>
      </c>
      <c r="AA27" t="e">
        <f>AND(Heaters!#REF!,"AAAAAHE53xo=")</f>
        <v>#REF!</v>
      </c>
      <c r="AB27" t="e">
        <f>IF(Heaters!#REF!,"AAAAAHE53xs=",0)</f>
        <v>#REF!</v>
      </c>
      <c r="AC27" t="e">
        <f>AND(Heaters!#REF!,"AAAAAHE53xw=")</f>
        <v>#REF!</v>
      </c>
      <c r="AD27" t="e">
        <f>AND(Heaters!#REF!,"AAAAAHE53x0=")</f>
        <v>#REF!</v>
      </c>
      <c r="AE27" t="e">
        <f>AND(Heaters!#REF!,"AAAAAHE53x4=")</f>
        <v>#REF!</v>
      </c>
      <c r="AF27" t="e">
        <f>AND(Heaters!#REF!,"AAAAAHE53x8=")</f>
        <v>#REF!</v>
      </c>
      <c r="AG27" t="e">
        <f>AND(Heaters!#REF!,"AAAAAHE53yA=")</f>
        <v>#REF!</v>
      </c>
      <c r="AH27" t="e">
        <f>AND(Heaters!#REF!,"AAAAAHE53yE=")</f>
        <v>#REF!</v>
      </c>
      <c r="AI27" t="e">
        <f>AND(Heaters!#REF!,"AAAAAHE53yI=")</f>
        <v>#REF!</v>
      </c>
      <c r="AJ27" t="e">
        <f>AND(Heaters!#REF!,"AAAAAHE53yM=")</f>
        <v>#REF!</v>
      </c>
      <c r="AK27" t="e">
        <f>AND(Heaters!#REF!,"AAAAAHE53yQ=")</f>
        <v>#REF!</v>
      </c>
      <c r="AL27" t="e">
        <f>AND(Heaters!#REF!,"AAAAAHE53yU=")</f>
        <v>#REF!</v>
      </c>
      <c r="AM27" t="e">
        <f>AND(Heaters!#REF!,"AAAAAHE53yY=")</f>
        <v>#REF!</v>
      </c>
      <c r="AN27" t="e">
        <f>AND(Heaters!#REF!,"AAAAAHE53yc=")</f>
        <v>#REF!</v>
      </c>
      <c r="AO27" t="e">
        <f>AND(Heaters!#REF!,"AAAAAHE53yg=")</f>
        <v>#REF!</v>
      </c>
      <c r="AP27" t="e">
        <f>AND(Heaters!#REF!,"AAAAAHE53yk=")</f>
        <v>#REF!</v>
      </c>
      <c r="AQ27" t="e">
        <f>AND(Heaters!#REF!,"AAAAAHE53yo=")</f>
        <v>#REF!</v>
      </c>
      <c r="AR27" t="e">
        <f>IF(Heaters!#REF!,"AAAAAHE53ys=",0)</f>
        <v>#REF!</v>
      </c>
      <c r="AS27" t="e">
        <f>AND(Heaters!#REF!,"AAAAAHE53yw=")</f>
        <v>#REF!</v>
      </c>
      <c r="AT27" t="e">
        <f>AND(Heaters!#REF!,"AAAAAHE53y0=")</f>
        <v>#REF!</v>
      </c>
      <c r="AU27" t="e">
        <f>AND(Heaters!#REF!,"AAAAAHE53y4=")</f>
        <v>#REF!</v>
      </c>
      <c r="AV27" t="e">
        <f>AND(Heaters!#REF!,"AAAAAHE53y8=")</f>
        <v>#REF!</v>
      </c>
      <c r="AW27" t="e">
        <f>AND(Heaters!#REF!,"AAAAAHE53zA=")</f>
        <v>#REF!</v>
      </c>
      <c r="AX27" t="e">
        <f>AND(Heaters!#REF!,"AAAAAHE53zE=")</f>
        <v>#REF!</v>
      </c>
      <c r="AY27" t="e">
        <f>AND(Heaters!#REF!,"AAAAAHE53zI=")</f>
        <v>#REF!</v>
      </c>
      <c r="AZ27" t="e">
        <f>AND(Heaters!#REF!,"AAAAAHE53zM=")</f>
        <v>#REF!</v>
      </c>
      <c r="BA27" t="e">
        <f>AND(Heaters!#REF!,"AAAAAHE53zQ=")</f>
        <v>#REF!</v>
      </c>
      <c r="BB27" t="e">
        <f>AND(Heaters!#REF!,"AAAAAHE53zU=")</f>
        <v>#REF!</v>
      </c>
      <c r="BC27" t="e">
        <f>AND(Heaters!#REF!,"AAAAAHE53zY=")</f>
        <v>#REF!</v>
      </c>
      <c r="BD27" t="e">
        <f>AND(Heaters!#REF!,"AAAAAHE53zc=")</f>
        <v>#REF!</v>
      </c>
      <c r="BE27" t="e">
        <f>AND(Heaters!#REF!,"AAAAAHE53zg=")</f>
        <v>#REF!</v>
      </c>
      <c r="BF27" t="e">
        <f>AND(Heaters!#REF!,"AAAAAHE53zk=")</f>
        <v>#REF!</v>
      </c>
      <c r="BG27" t="e">
        <f>AND(Heaters!#REF!,"AAAAAHE53zo=")</f>
        <v>#REF!</v>
      </c>
      <c r="BH27" t="e">
        <f>IF(Heaters!#REF!,"AAAAAHE53zs=",0)</f>
        <v>#REF!</v>
      </c>
      <c r="BI27" t="e">
        <f>AND(Heaters!#REF!,"AAAAAHE53zw=")</f>
        <v>#REF!</v>
      </c>
      <c r="BJ27" t="e">
        <f>AND(Heaters!#REF!,"AAAAAHE53z0=")</f>
        <v>#REF!</v>
      </c>
      <c r="BK27" t="e">
        <f>AND(Heaters!#REF!,"AAAAAHE53z4=")</f>
        <v>#REF!</v>
      </c>
      <c r="BL27" t="e">
        <f>AND(Heaters!#REF!,"AAAAAHE53z8=")</f>
        <v>#REF!</v>
      </c>
      <c r="BM27" t="e">
        <f>AND(Heaters!#REF!,"AAAAAHE530A=")</f>
        <v>#REF!</v>
      </c>
      <c r="BN27" t="e">
        <f>AND(Heaters!#REF!,"AAAAAHE530E=")</f>
        <v>#REF!</v>
      </c>
      <c r="BO27" t="e">
        <f>AND(Heaters!#REF!,"AAAAAHE530I=")</f>
        <v>#REF!</v>
      </c>
      <c r="BP27" t="e">
        <f>AND(Heaters!#REF!,"AAAAAHE530M=")</f>
        <v>#REF!</v>
      </c>
      <c r="BQ27" t="e">
        <f>AND(Heaters!#REF!,"AAAAAHE530Q=")</f>
        <v>#REF!</v>
      </c>
      <c r="BR27" t="e">
        <f>AND(Heaters!#REF!,"AAAAAHE530U=")</f>
        <v>#REF!</v>
      </c>
      <c r="BS27" t="e">
        <f>AND(Heaters!#REF!,"AAAAAHE530Y=")</f>
        <v>#REF!</v>
      </c>
      <c r="BT27" t="e">
        <f>AND(Heaters!#REF!,"AAAAAHE530c=")</f>
        <v>#REF!</v>
      </c>
      <c r="BU27" t="e">
        <f>AND(Heaters!#REF!,"AAAAAHE530g=")</f>
        <v>#REF!</v>
      </c>
      <c r="BV27" t="e">
        <f>AND(Heaters!#REF!,"AAAAAHE530k=")</f>
        <v>#REF!</v>
      </c>
      <c r="BW27" t="e">
        <f>AND(Heaters!#REF!,"AAAAAHE530o=")</f>
        <v>#REF!</v>
      </c>
      <c r="BX27" t="e">
        <f>IF(Heaters!#REF!,"AAAAAHE530s=",0)</f>
        <v>#REF!</v>
      </c>
      <c r="BY27" t="e">
        <f>AND(Heaters!#REF!,"AAAAAHE530w=")</f>
        <v>#REF!</v>
      </c>
      <c r="BZ27" t="e">
        <f>AND(Heaters!#REF!,"AAAAAHE5300=")</f>
        <v>#REF!</v>
      </c>
      <c r="CA27" t="e">
        <f>AND(Heaters!#REF!,"AAAAAHE5304=")</f>
        <v>#REF!</v>
      </c>
      <c r="CB27" t="e">
        <f>AND(Heaters!#REF!,"AAAAAHE5308=")</f>
        <v>#REF!</v>
      </c>
      <c r="CC27" t="e">
        <f>AND(Heaters!#REF!,"AAAAAHE531A=")</f>
        <v>#REF!</v>
      </c>
      <c r="CD27" t="e">
        <f>AND(Heaters!#REF!,"AAAAAHE531E=")</f>
        <v>#REF!</v>
      </c>
      <c r="CE27" t="e">
        <f>AND(Heaters!#REF!,"AAAAAHE531I=")</f>
        <v>#REF!</v>
      </c>
      <c r="CF27" t="e">
        <f>AND(Heaters!#REF!,"AAAAAHE531M=")</f>
        <v>#REF!</v>
      </c>
      <c r="CG27" t="e">
        <f>AND(Heaters!#REF!,"AAAAAHE531Q=")</f>
        <v>#REF!</v>
      </c>
      <c r="CH27" t="e">
        <f>AND(Heaters!#REF!,"AAAAAHE531U=")</f>
        <v>#REF!</v>
      </c>
      <c r="CI27" t="e">
        <f>AND(Heaters!#REF!,"AAAAAHE531Y=")</f>
        <v>#REF!</v>
      </c>
      <c r="CJ27" t="e">
        <f>AND(Heaters!#REF!,"AAAAAHE531c=")</f>
        <v>#REF!</v>
      </c>
      <c r="CK27" t="e">
        <f>AND(Heaters!#REF!,"AAAAAHE531g=")</f>
        <v>#REF!</v>
      </c>
      <c r="CL27" t="e">
        <f>AND(Heaters!#REF!,"AAAAAHE531k=")</f>
        <v>#REF!</v>
      </c>
      <c r="CM27" t="e">
        <f>AND(Heaters!#REF!,"AAAAAHE531o=")</f>
        <v>#REF!</v>
      </c>
      <c r="CN27" t="e">
        <f>IF(Heaters!#REF!,"AAAAAHE531s=",0)</f>
        <v>#REF!</v>
      </c>
      <c r="CO27" t="e">
        <f>AND(Heaters!#REF!,"AAAAAHE531w=")</f>
        <v>#REF!</v>
      </c>
      <c r="CP27" t="e">
        <f>AND(Heaters!#REF!,"AAAAAHE5310=")</f>
        <v>#REF!</v>
      </c>
      <c r="CQ27" t="e">
        <f>AND(Heaters!#REF!,"AAAAAHE5314=")</f>
        <v>#REF!</v>
      </c>
      <c r="CR27" t="e">
        <f>AND(Heaters!#REF!,"AAAAAHE5318=")</f>
        <v>#REF!</v>
      </c>
      <c r="CS27" t="e">
        <f>AND(Heaters!#REF!,"AAAAAHE532A=")</f>
        <v>#REF!</v>
      </c>
      <c r="CT27" t="e">
        <f>AND(Heaters!#REF!,"AAAAAHE532E=")</f>
        <v>#REF!</v>
      </c>
      <c r="CU27" t="e">
        <f>AND(Heaters!#REF!,"AAAAAHE532I=")</f>
        <v>#REF!</v>
      </c>
      <c r="CV27" t="e">
        <f>AND(Heaters!#REF!,"AAAAAHE532M=")</f>
        <v>#REF!</v>
      </c>
      <c r="CW27" t="e">
        <f>AND(Heaters!#REF!,"AAAAAHE532Q=")</f>
        <v>#REF!</v>
      </c>
      <c r="CX27" t="e">
        <f>AND(Heaters!#REF!,"AAAAAHE532U=")</f>
        <v>#REF!</v>
      </c>
      <c r="CY27" t="e">
        <f>AND(Heaters!#REF!,"AAAAAHE532Y=")</f>
        <v>#REF!</v>
      </c>
      <c r="CZ27" t="e">
        <f>AND(Heaters!#REF!,"AAAAAHE532c=")</f>
        <v>#REF!</v>
      </c>
      <c r="DA27" t="e">
        <f>AND(Heaters!#REF!,"AAAAAHE532g=")</f>
        <v>#REF!</v>
      </c>
      <c r="DB27" t="e">
        <f>AND(Heaters!#REF!,"AAAAAHE532k=")</f>
        <v>#REF!</v>
      </c>
      <c r="DC27" t="e">
        <f>AND(Heaters!#REF!,"AAAAAHE532o=")</f>
        <v>#REF!</v>
      </c>
      <c r="DD27" t="e">
        <f>IF(Heaters!#REF!,"AAAAAHE532s=",0)</f>
        <v>#REF!</v>
      </c>
      <c r="DE27" t="e">
        <f>AND(Heaters!#REF!,"AAAAAHE532w=")</f>
        <v>#REF!</v>
      </c>
      <c r="DF27" t="e">
        <f>AND(Heaters!#REF!,"AAAAAHE5320=")</f>
        <v>#REF!</v>
      </c>
      <c r="DG27" t="e">
        <f>AND(Heaters!#REF!,"AAAAAHE5324=")</f>
        <v>#REF!</v>
      </c>
      <c r="DH27" t="e">
        <f>AND(Heaters!#REF!,"AAAAAHE5328=")</f>
        <v>#REF!</v>
      </c>
      <c r="DI27" t="e">
        <f>AND(Heaters!#REF!,"AAAAAHE533A=")</f>
        <v>#REF!</v>
      </c>
      <c r="DJ27" t="e">
        <f>AND(Heaters!#REF!,"AAAAAHE533E=")</f>
        <v>#REF!</v>
      </c>
      <c r="DK27" t="e">
        <f>AND(Heaters!#REF!,"AAAAAHE533I=")</f>
        <v>#REF!</v>
      </c>
      <c r="DL27" t="e">
        <f>AND(Heaters!#REF!,"AAAAAHE533M=")</f>
        <v>#REF!</v>
      </c>
      <c r="DM27" t="e">
        <f>AND(Heaters!#REF!,"AAAAAHE533Q=")</f>
        <v>#REF!</v>
      </c>
      <c r="DN27" t="e">
        <f>AND(Heaters!#REF!,"AAAAAHE533U=")</f>
        <v>#REF!</v>
      </c>
      <c r="DO27" t="e">
        <f>AND(Heaters!#REF!,"AAAAAHE533Y=")</f>
        <v>#REF!</v>
      </c>
      <c r="DP27" t="e">
        <f>AND(Heaters!#REF!,"AAAAAHE533c=")</f>
        <v>#REF!</v>
      </c>
      <c r="DQ27" t="e">
        <f>AND(Heaters!#REF!,"AAAAAHE533g=")</f>
        <v>#REF!</v>
      </c>
      <c r="DR27" t="e">
        <f>AND(Heaters!#REF!,"AAAAAHE533k=")</f>
        <v>#REF!</v>
      </c>
      <c r="DS27" t="e">
        <f>AND(Heaters!#REF!,"AAAAAHE533o=")</f>
        <v>#REF!</v>
      </c>
      <c r="DT27" t="e">
        <f>IF(Heaters!#REF!,"AAAAAHE533s=",0)</f>
        <v>#REF!</v>
      </c>
      <c r="DU27" t="e">
        <f>AND(Heaters!#REF!,"AAAAAHE533w=")</f>
        <v>#REF!</v>
      </c>
      <c r="DV27" t="e">
        <f>AND(Heaters!#REF!,"AAAAAHE5330=")</f>
        <v>#REF!</v>
      </c>
      <c r="DW27" t="e">
        <f>AND(Heaters!#REF!,"AAAAAHE5334=")</f>
        <v>#REF!</v>
      </c>
      <c r="DX27" t="e">
        <f>AND(Heaters!#REF!,"AAAAAHE5338=")</f>
        <v>#REF!</v>
      </c>
      <c r="DY27" t="e">
        <f>AND(Heaters!#REF!,"AAAAAHE534A=")</f>
        <v>#REF!</v>
      </c>
      <c r="DZ27" t="e">
        <f>AND(Heaters!#REF!,"AAAAAHE534E=")</f>
        <v>#REF!</v>
      </c>
      <c r="EA27" t="e">
        <f>AND(Heaters!#REF!,"AAAAAHE534I=")</f>
        <v>#REF!</v>
      </c>
      <c r="EB27" t="e">
        <f>AND(Heaters!#REF!,"AAAAAHE534M=")</f>
        <v>#REF!</v>
      </c>
      <c r="EC27" t="e">
        <f>AND(Heaters!#REF!,"AAAAAHE534Q=")</f>
        <v>#REF!</v>
      </c>
      <c r="ED27" t="e">
        <f>AND(Heaters!#REF!,"AAAAAHE534U=")</f>
        <v>#REF!</v>
      </c>
      <c r="EE27" t="e">
        <f>AND(Heaters!#REF!,"AAAAAHE534Y=")</f>
        <v>#REF!</v>
      </c>
      <c r="EF27" t="e">
        <f>AND(Heaters!#REF!,"AAAAAHE534c=")</f>
        <v>#REF!</v>
      </c>
      <c r="EG27" t="e">
        <f>AND(Heaters!#REF!,"AAAAAHE534g=")</f>
        <v>#REF!</v>
      </c>
      <c r="EH27" t="e">
        <f>AND(Heaters!#REF!,"AAAAAHE534k=")</f>
        <v>#REF!</v>
      </c>
      <c r="EI27" t="e">
        <f>AND(Heaters!#REF!,"AAAAAHE534o=")</f>
        <v>#REF!</v>
      </c>
      <c r="EJ27" t="e">
        <f>IF(Heaters!#REF!,"AAAAAHE534s=",0)</f>
        <v>#REF!</v>
      </c>
      <c r="EK27" t="e">
        <f>AND(Heaters!#REF!,"AAAAAHE534w=")</f>
        <v>#REF!</v>
      </c>
      <c r="EL27" t="e">
        <f>AND(Heaters!#REF!,"AAAAAHE5340=")</f>
        <v>#REF!</v>
      </c>
      <c r="EM27" t="e">
        <f>AND(Heaters!#REF!,"AAAAAHE5344=")</f>
        <v>#REF!</v>
      </c>
      <c r="EN27" t="e">
        <f>AND(Heaters!#REF!,"AAAAAHE5348=")</f>
        <v>#REF!</v>
      </c>
      <c r="EO27" t="e">
        <f>AND(Heaters!#REF!,"AAAAAHE535A=")</f>
        <v>#REF!</v>
      </c>
      <c r="EP27" t="e">
        <f>AND(Heaters!#REF!,"AAAAAHE535E=")</f>
        <v>#REF!</v>
      </c>
      <c r="EQ27" t="e">
        <f>AND(Heaters!#REF!,"AAAAAHE535I=")</f>
        <v>#REF!</v>
      </c>
      <c r="ER27" t="e">
        <f>AND(Heaters!#REF!,"AAAAAHE535M=")</f>
        <v>#REF!</v>
      </c>
      <c r="ES27" t="e">
        <f>AND(Heaters!#REF!,"AAAAAHE535Q=")</f>
        <v>#REF!</v>
      </c>
      <c r="ET27" t="e">
        <f>AND(Heaters!#REF!,"AAAAAHE535U=")</f>
        <v>#REF!</v>
      </c>
      <c r="EU27" t="e">
        <f>AND(Heaters!#REF!,"AAAAAHE535Y=")</f>
        <v>#REF!</v>
      </c>
      <c r="EV27" t="e">
        <f>AND(Heaters!#REF!,"AAAAAHE535c=")</f>
        <v>#REF!</v>
      </c>
      <c r="EW27" t="e">
        <f>AND(Heaters!#REF!,"AAAAAHE535g=")</f>
        <v>#REF!</v>
      </c>
      <c r="EX27" t="e">
        <f>AND(Heaters!#REF!,"AAAAAHE535k=")</f>
        <v>#REF!</v>
      </c>
      <c r="EY27" t="e">
        <f>AND(Heaters!#REF!,"AAAAAHE535o=")</f>
        <v>#REF!</v>
      </c>
      <c r="EZ27" t="e">
        <f>IF(Heaters!#REF!,"AAAAAHE535s=",0)</f>
        <v>#REF!</v>
      </c>
      <c r="FA27" t="e">
        <f>AND(Heaters!#REF!,"AAAAAHE535w=")</f>
        <v>#REF!</v>
      </c>
      <c r="FB27" t="e">
        <f>AND(Heaters!#REF!,"AAAAAHE5350=")</f>
        <v>#REF!</v>
      </c>
      <c r="FC27" t="e">
        <f>AND(Heaters!#REF!,"AAAAAHE5354=")</f>
        <v>#REF!</v>
      </c>
      <c r="FD27" t="e">
        <f>AND(Heaters!#REF!,"AAAAAHE5358=")</f>
        <v>#REF!</v>
      </c>
      <c r="FE27" t="e">
        <f>AND(Heaters!#REF!,"AAAAAHE536A=")</f>
        <v>#REF!</v>
      </c>
      <c r="FF27" t="e">
        <f>AND(Heaters!#REF!,"AAAAAHE536E=")</f>
        <v>#REF!</v>
      </c>
      <c r="FG27" t="e">
        <f>AND(Heaters!#REF!,"AAAAAHE536I=")</f>
        <v>#REF!</v>
      </c>
      <c r="FH27" t="e">
        <f>AND(Heaters!#REF!,"AAAAAHE536M=")</f>
        <v>#REF!</v>
      </c>
      <c r="FI27" t="e">
        <f>AND(Heaters!#REF!,"AAAAAHE536Q=")</f>
        <v>#REF!</v>
      </c>
      <c r="FJ27" t="e">
        <f>AND(Heaters!#REF!,"AAAAAHE536U=")</f>
        <v>#REF!</v>
      </c>
      <c r="FK27" t="e">
        <f>AND(Heaters!#REF!,"AAAAAHE536Y=")</f>
        <v>#REF!</v>
      </c>
      <c r="FL27" t="e">
        <f>AND(Heaters!#REF!,"AAAAAHE536c=")</f>
        <v>#REF!</v>
      </c>
      <c r="FM27" t="e">
        <f>AND(Heaters!#REF!,"AAAAAHE536g=")</f>
        <v>#REF!</v>
      </c>
      <c r="FN27" t="e">
        <f>AND(Heaters!#REF!,"AAAAAHE536k=")</f>
        <v>#REF!</v>
      </c>
      <c r="FO27" t="e">
        <f>AND(Heaters!#REF!,"AAAAAHE536o=")</f>
        <v>#REF!</v>
      </c>
      <c r="FP27" t="e">
        <f>IF(Heaters!#REF!,"AAAAAHE536s=",0)</f>
        <v>#REF!</v>
      </c>
      <c r="FQ27" t="e">
        <f>AND(Heaters!#REF!,"AAAAAHE536w=")</f>
        <v>#REF!</v>
      </c>
      <c r="FR27" t="e">
        <f>AND(Heaters!#REF!,"AAAAAHE5360=")</f>
        <v>#REF!</v>
      </c>
      <c r="FS27" t="e">
        <f>AND(Heaters!#REF!,"AAAAAHE5364=")</f>
        <v>#REF!</v>
      </c>
      <c r="FT27" t="e">
        <f>AND(Heaters!#REF!,"AAAAAHE5368=")</f>
        <v>#REF!</v>
      </c>
      <c r="FU27" t="e">
        <f>AND(Heaters!#REF!,"AAAAAHE537A=")</f>
        <v>#REF!</v>
      </c>
      <c r="FV27" t="e">
        <f>AND(Heaters!#REF!,"AAAAAHE537E=")</f>
        <v>#REF!</v>
      </c>
      <c r="FW27" t="e">
        <f>AND(Heaters!#REF!,"AAAAAHE537I=")</f>
        <v>#REF!</v>
      </c>
      <c r="FX27" t="e">
        <f>AND(Heaters!#REF!,"AAAAAHE537M=")</f>
        <v>#REF!</v>
      </c>
      <c r="FY27" t="e">
        <f>AND(Heaters!#REF!,"AAAAAHE537Q=")</f>
        <v>#REF!</v>
      </c>
      <c r="FZ27" t="e">
        <f>AND(Heaters!#REF!,"AAAAAHE537U=")</f>
        <v>#REF!</v>
      </c>
      <c r="GA27" t="e">
        <f>AND(Heaters!#REF!,"AAAAAHE537Y=")</f>
        <v>#REF!</v>
      </c>
      <c r="GB27" t="e">
        <f>AND(Heaters!#REF!,"AAAAAHE537c=")</f>
        <v>#REF!</v>
      </c>
      <c r="GC27" t="e">
        <f>AND(Heaters!#REF!,"AAAAAHE537g=")</f>
        <v>#REF!</v>
      </c>
      <c r="GD27" t="e">
        <f>AND(Heaters!#REF!,"AAAAAHE537k=")</f>
        <v>#REF!</v>
      </c>
      <c r="GE27" t="e">
        <f>AND(Heaters!#REF!,"AAAAAHE537o=")</f>
        <v>#REF!</v>
      </c>
      <c r="GF27" t="e">
        <f>IF(Heaters!#REF!,"AAAAAHE537s=",0)</f>
        <v>#REF!</v>
      </c>
      <c r="GG27" t="e">
        <f>AND(Heaters!#REF!,"AAAAAHE537w=")</f>
        <v>#REF!</v>
      </c>
      <c r="GH27" t="e">
        <f>AND(Heaters!#REF!,"AAAAAHE5370=")</f>
        <v>#REF!</v>
      </c>
      <c r="GI27" t="e">
        <f>AND(Heaters!#REF!,"AAAAAHE5374=")</f>
        <v>#REF!</v>
      </c>
      <c r="GJ27" t="e">
        <f>AND(Heaters!#REF!,"AAAAAHE5378=")</f>
        <v>#REF!</v>
      </c>
      <c r="GK27" t="e">
        <f>AND(Heaters!#REF!,"AAAAAHE538A=")</f>
        <v>#REF!</v>
      </c>
      <c r="GL27" t="e">
        <f>AND(Heaters!#REF!,"AAAAAHE538E=")</f>
        <v>#REF!</v>
      </c>
      <c r="GM27" t="e">
        <f>AND(Heaters!#REF!,"AAAAAHE538I=")</f>
        <v>#REF!</v>
      </c>
      <c r="GN27" t="e">
        <f>AND(Heaters!#REF!,"AAAAAHE538M=")</f>
        <v>#REF!</v>
      </c>
      <c r="GO27" t="e">
        <f>AND(Heaters!#REF!,"AAAAAHE538Q=")</f>
        <v>#REF!</v>
      </c>
      <c r="GP27" t="e">
        <f>AND(Heaters!#REF!,"AAAAAHE538U=")</f>
        <v>#REF!</v>
      </c>
      <c r="GQ27" t="e">
        <f>AND(Heaters!#REF!,"AAAAAHE538Y=")</f>
        <v>#REF!</v>
      </c>
      <c r="GR27" t="e">
        <f>AND(Heaters!#REF!,"AAAAAHE538c=")</f>
        <v>#REF!</v>
      </c>
      <c r="GS27" t="e">
        <f>AND(Heaters!#REF!,"AAAAAHE538g=")</f>
        <v>#REF!</v>
      </c>
      <c r="GT27" t="e">
        <f>AND(Heaters!#REF!,"AAAAAHE538k=")</f>
        <v>#REF!</v>
      </c>
      <c r="GU27" t="e">
        <f>AND(Heaters!#REF!,"AAAAAHE538o=")</f>
        <v>#REF!</v>
      </c>
      <c r="GV27" t="e">
        <f>IF(Heaters!#REF!,"AAAAAHE538s=",0)</f>
        <v>#REF!</v>
      </c>
      <c r="GW27" t="e">
        <f>AND(Heaters!#REF!,"AAAAAHE538w=")</f>
        <v>#REF!</v>
      </c>
      <c r="GX27" t="e">
        <f>AND(Heaters!#REF!,"AAAAAHE5380=")</f>
        <v>#REF!</v>
      </c>
      <c r="GY27" t="e">
        <f>AND(Heaters!#REF!,"AAAAAHE5384=")</f>
        <v>#REF!</v>
      </c>
      <c r="GZ27" t="e">
        <f>AND(Heaters!#REF!,"AAAAAHE5388=")</f>
        <v>#REF!</v>
      </c>
      <c r="HA27" t="e">
        <f>AND(Heaters!#REF!,"AAAAAHE539A=")</f>
        <v>#REF!</v>
      </c>
      <c r="HB27" t="e">
        <f>AND(Heaters!#REF!,"AAAAAHE539E=")</f>
        <v>#REF!</v>
      </c>
      <c r="HC27" t="e">
        <f>AND(Heaters!#REF!,"AAAAAHE539I=")</f>
        <v>#REF!</v>
      </c>
      <c r="HD27" t="e">
        <f>AND(Heaters!#REF!,"AAAAAHE539M=")</f>
        <v>#REF!</v>
      </c>
      <c r="HE27" t="e">
        <f>AND(Heaters!#REF!,"AAAAAHE539Q=")</f>
        <v>#REF!</v>
      </c>
      <c r="HF27" t="e">
        <f>AND(Heaters!#REF!,"AAAAAHE539U=")</f>
        <v>#REF!</v>
      </c>
      <c r="HG27" t="e">
        <f>AND(Heaters!#REF!,"AAAAAHE539Y=")</f>
        <v>#REF!</v>
      </c>
      <c r="HH27" t="e">
        <f>AND(Heaters!#REF!,"AAAAAHE539c=")</f>
        <v>#REF!</v>
      </c>
      <c r="HI27" t="e">
        <f>AND(Heaters!#REF!,"AAAAAHE539g=")</f>
        <v>#REF!</v>
      </c>
      <c r="HJ27" t="e">
        <f>AND(Heaters!#REF!,"AAAAAHE539k=")</f>
        <v>#REF!</v>
      </c>
      <c r="HK27" t="e">
        <f>AND(Heaters!#REF!,"AAAAAHE539o=")</f>
        <v>#REF!</v>
      </c>
      <c r="HL27" t="e">
        <f>IF(Heaters!#REF!,"AAAAAHE539s=",0)</f>
        <v>#REF!</v>
      </c>
      <c r="HM27" t="e">
        <f>AND(Heaters!#REF!,"AAAAAHE539w=")</f>
        <v>#REF!</v>
      </c>
      <c r="HN27" t="e">
        <f>AND(Heaters!#REF!,"AAAAAHE5390=")</f>
        <v>#REF!</v>
      </c>
      <c r="HO27" t="e">
        <f>AND(Heaters!#REF!,"AAAAAHE5394=")</f>
        <v>#REF!</v>
      </c>
      <c r="HP27" t="e">
        <f>AND(Heaters!#REF!,"AAAAAHE5398=")</f>
        <v>#REF!</v>
      </c>
      <c r="HQ27" t="e">
        <f>AND(Heaters!#REF!,"AAAAAHE53+A=")</f>
        <v>#REF!</v>
      </c>
      <c r="HR27" t="e">
        <f>AND(Heaters!#REF!,"AAAAAHE53+E=")</f>
        <v>#REF!</v>
      </c>
      <c r="HS27" t="e">
        <f>AND(Heaters!#REF!,"AAAAAHE53+I=")</f>
        <v>#REF!</v>
      </c>
      <c r="HT27" t="e">
        <f>AND(Heaters!#REF!,"AAAAAHE53+M=")</f>
        <v>#REF!</v>
      </c>
      <c r="HU27" t="e">
        <f>AND(Heaters!#REF!,"AAAAAHE53+Q=")</f>
        <v>#REF!</v>
      </c>
      <c r="HV27" t="e">
        <f>AND(Heaters!#REF!,"AAAAAHE53+U=")</f>
        <v>#REF!</v>
      </c>
      <c r="HW27" t="e">
        <f>AND(Heaters!#REF!,"AAAAAHE53+Y=")</f>
        <v>#REF!</v>
      </c>
      <c r="HX27" t="e">
        <f>AND(Heaters!#REF!,"AAAAAHE53+c=")</f>
        <v>#REF!</v>
      </c>
      <c r="HY27" t="e">
        <f>AND(Heaters!#REF!,"AAAAAHE53+g=")</f>
        <v>#REF!</v>
      </c>
      <c r="HZ27" t="e">
        <f>AND(Heaters!#REF!,"AAAAAHE53+k=")</f>
        <v>#REF!</v>
      </c>
      <c r="IA27" t="e">
        <f>AND(Heaters!#REF!,"AAAAAHE53+o=")</f>
        <v>#REF!</v>
      </c>
      <c r="IB27" t="e">
        <f>IF(Heaters!#REF!,"AAAAAHE53+s=",0)</f>
        <v>#REF!</v>
      </c>
      <c r="IC27" t="e">
        <f>AND(Heaters!#REF!,"AAAAAHE53+w=")</f>
        <v>#REF!</v>
      </c>
      <c r="ID27" t="e">
        <f>AND(Heaters!#REF!,"AAAAAHE53+0=")</f>
        <v>#REF!</v>
      </c>
      <c r="IE27" t="e">
        <f>AND(Heaters!#REF!,"AAAAAHE53+4=")</f>
        <v>#REF!</v>
      </c>
      <c r="IF27" t="e">
        <f>AND(Heaters!#REF!,"AAAAAHE53+8=")</f>
        <v>#REF!</v>
      </c>
      <c r="IG27" t="e">
        <f>AND(Heaters!#REF!,"AAAAAHE53/A=")</f>
        <v>#REF!</v>
      </c>
      <c r="IH27" t="e">
        <f>AND(Heaters!#REF!,"AAAAAHE53/E=")</f>
        <v>#REF!</v>
      </c>
      <c r="II27" t="e">
        <f>AND(Heaters!#REF!,"AAAAAHE53/I=")</f>
        <v>#REF!</v>
      </c>
      <c r="IJ27" t="e">
        <f>AND(Heaters!#REF!,"AAAAAHE53/M=")</f>
        <v>#REF!</v>
      </c>
      <c r="IK27" t="e">
        <f>AND(Heaters!#REF!,"AAAAAHE53/Q=")</f>
        <v>#REF!</v>
      </c>
      <c r="IL27" t="e">
        <f>AND(Heaters!#REF!,"AAAAAHE53/U=")</f>
        <v>#REF!</v>
      </c>
      <c r="IM27" t="e">
        <f>AND(Heaters!#REF!,"AAAAAHE53/Y=")</f>
        <v>#REF!</v>
      </c>
      <c r="IN27" t="e">
        <f>AND(Heaters!#REF!,"AAAAAHE53/c=")</f>
        <v>#REF!</v>
      </c>
      <c r="IO27" t="e">
        <f>AND(Heaters!#REF!,"AAAAAHE53/g=")</f>
        <v>#REF!</v>
      </c>
      <c r="IP27" t="e">
        <f>AND(Heaters!#REF!,"AAAAAHE53/k=")</f>
        <v>#REF!</v>
      </c>
      <c r="IQ27" t="e">
        <f>AND(Heaters!#REF!,"AAAAAHE53/o=")</f>
        <v>#REF!</v>
      </c>
      <c r="IR27" t="e">
        <f>IF(Heaters!#REF!,"AAAAAHE53/s=",0)</f>
        <v>#REF!</v>
      </c>
      <c r="IS27" t="e">
        <f>AND(Heaters!#REF!,"AAAAAHE53/w=")</f>
        <v>#REF!</v>
      </c>
      <c r="IT27" t="e">
        <f>AND(Heaters!#REF!,"AAAAAHE53/0=")</f>
        <v>#REF!</v>
      </c>
      <c r="IU27" t="e">
        <f>AND(Heaters!#REF!,"AAAAAHE53/4=")</f>
        <v>#REF!</v>
      </c>
      <c r="IV27" t="e">
        <f>AND(Heaters!#REF!,"AAAAAHE53/8=")</f>
        <v>#REF!</v>
      </c>
    </row>
    <row r="28" spans="1:256" x14ac:dyDescent="0.2">
      <c r="A28" t="e">
        <f>AND(Heaters!#REF!,"AAAAAH7j7wA=")</f>
        <v>#REF!</v>
      </c>
      <c r="B28" t="e">
        <f>AND(Heaters!#REF!,"AAAAAH7j7wE=")</f>
        <v>#REF!</v>
      </c>
      <c r="C28" t="e">
        <f>AND(Heaters!#REF!,"AAAAAH7j7wI=")</f>
        <v>#REF!</v>
      </c>
      <c r="D28" t="e">
        <f>AND(Heaters!#REF!,"AAAAAH7j7wM=")</f>
        <v>#REF!</v>
      </c>
      <c r="E28" t="e">
        <f>AND(Heaters!#REF!,"AAAAAH7j7wQ=")</f>
        <v>#REF!</v>
      </c>
      <c r="F28" t="e">
        <f>AND(Heaters!#REF!,"AAAAAH7j7wU=")</f>
        <v>#REF!</v>
      </c>
      <c r="G28" t="e">
        <f>AND(Heaters!#REF!,"AAAAAH7j7wY=")</f>
        <v>#REF!</v>
      </c>
      <c r="H28" t="e">
        <f>AND(Heaters!#REF!,"AAAAAH7j7wc=")</f>
        <v>#REF!</v>
      </c>
      <c r="I28" t="e">
        <f>AND(Heaters!#REF!,"AAAAAH7j7wg=")</f>
        <v>#REF!</v>
      </c>
      <c r="J28" t="e">
        <f>AND(Heaters!#REF!,"AAAAAH7j7wk=")</f>
        <v>#REF!</v>
      </c>
      <c r="K28" t="e">
        <f>AND(Heaters!#REF!,"AAAAAH7j7wo=")</f>
        <v>#REF!</v>
      </c>
      <c r="L28" t="e">
        <f>IF(Heaters!#REF!,"AAAAAH7j7ws=",0)</f>
        <v>#REF!</v>
      </c>
      <c r="M28" t="e">
        <f>AND(Heaters!#REF!,"AAAAAH7j7ww=")</f>
        <v>#REF!</v>
      </c>
      <c r="N28" t="e">
        <f>AND(Heaters!#REF!,"AAAAAH7j7w0=")</f>
        <v>#REF!</v>
      </c>
      <c r="O28" t="e">
        <f>AND(Heaters!#REF!,"AAAAAH7j7w4=")</f>
        <v>#REF!</v>
      </c>
      <c r="P28" t="e">
        <f>AND(Heaters!#REF!,"AAAAAH7j7w8=")</f>
        <v>#REF!</v>
      </c>
      <c r="Q28" t="e">
        <f>AND(Heaters!#REF!,"AAAAAH7j7xA=")</f>
        <v>#REF!</v>
      </c>
      <c r="R28" t="e">
        <f>AND(Heaters!#REF!,"AAAAAH7j7xE=")</f>
        <v>#REF!</v>
      </c>
      <c r="S28" t="e">
        <f>AND(Heaters!#REF!,"AAAAAH7j7xI=")</f>
        <v>#REF!</v>
      </c>
      <c r="T28" t="e">
        <f>AND(Heaters!#REF!,"AAAAAH7j7xM=")</f>
        <v>#REF!</v>
      </c>
      <c r="U28" t="e">
        <f>AND(Heaters!#REF!,"AAAAAH7j7xQ=")</f>
        <v>#REF!</v>
      </c>
      <c r="V28" t="e">
        <f>AND(Heaters!#REF!,"AAAAAH7j7xU=")</f>
        <v>#REF!</v>
      </c>
      <c r="W28" t="e">
        <f>AND(Heaters!#REF!,"AAAAAH7j7xY=")</f>
        <v>#REF!</v>
      </c>
      <c r="X28" t="e">
        <f>AND(Heaters!#REF!,"AAAAAH7j7xc=")</f>
        <v>#REF!</v>
      </c>
      <c r="Y28" t="e">
        <f>AND(Heaters!#REF!,"AAAAAH7j7xg=")</f>
        <v>#REF!</v>
      </c>
      <c r="Z28" t="e">
        <f>AND(Heaters!#REF!,"AAAAAH7j7xk=")</f>
        <v>#REF!</v>
      </c>
      <c r="AA28" t="e">
        <f>AND(Heaters!#REF!,"AAAAAH7j7xo=")</f>
        <v>#REF!</v>
      </c>
      <c r="AB28" t="e">
        <f>IF(Heaters!#REF!,"AAAAAH7j7xs=",0)</f>
        <v>#REF!</v>
      </c>
      <c r="AC28" t="e">
        <f>AND(Heaters!#REF!,"AAAAAH7j7xw=")</f>
        <v>#REF!</v>
      </c>
      <c r="AD28" t="e">
        <f>AND(Heaters!#REF!,"AAAAAH7j7x0=")</f>
        <v>#REF!</v>
      </c>
      <c r="AE28" t="e">
        <f>AND(Heaters!#REF!,"AAAAAH7j7x4=")</f>
        <v>#REF!</v>
      </c>
      <c r="AF28" t="e">
        <f>AND(Heaters!#REF!,"AAAAAH7j7x8=")</f>
        <v>#REF!</v>
      </c>
      <c r="AG28" t="e">
        <f>AND(Heaters!#REF!,"AAAAAH7j7yA=")</f>
        <v>#REF!</v>
      </c>
      <c r="AH28" t="e">
        <f>AND(Heaters!#REF!,"AAAAAH7j7yE=")</f>
        <v>#REF!</v>
      </c>
      <c r="AI28" t="e">
        <f>AND(Heaters!#REF!,"AAAAAH7j7yI=")</f>
        <v>#REF!</v>
      </c>
      <c r="AJ28" t="e">
        <f>AND(Heaters!#REF!,"AAAAAH7j7yM=")</f>
        <v>#REF!</v>
      </c>
      <c r="AK28" t="e">
        <f>AND(Heaters!#REF!,"AAAAAH7j7yQ=")</f>
        <v>#REF!</v>
      </c>
      <c r="AL28" t="e">
        <f>AND(Heaters!#REF!,"AAAAAH7j7yU=")</f>
        <v>#REF!</v>
      </c>
      <c r="AM28" t="e">
        <f>AND(Heaters!#REF!,"AAAAAH7j7yY=")</f>
        <v>#REF!</v>
      </c>
      <c r="AN28" t="e">
        <f>AND(Heaters!#REF!,"AAAAAH7j7yc=")</f>
        <v>#REF!</v>
      </c>
      <c r="AO28" t="e">
        <f>AND(Heaters!#REF!,"AAAAAH7j7yg=")</f>
        <v>#REF!</v>
      </c>
      <c r="AP28" t="e">
        <f>AND(Heaters!#REF!,"AAAAAH7j7yk=")</f>
        <v>#REF!</v>
      </c>
      <c r="AQ28" t="e">
        <f>AND(Heaters!#REF!,"AAAAAH7j7yo=")</f>
        <v>#REF!</v>
      </c>
      <c r="AR28" t="e">
        <f>IF(Heaters!#REF!,"AAAAAH7j7ys=",0)</f>
        <v>#REF!</v>
      </c>
      <c r="AS28" t="e">
        <f>AND(Heaters!#REF!,"AAAAAH7j7yw=")</f>
        <v>#REF!</v>
      </c>
      <c r="AT28" t="e">
        <f>AND(Heaters!#REF!,"AAAAAH7j7y0=")</f>
        <v>#REF!</v>
      </c>
      <c r="AU28" t="e">
        <f>AND(Heaters!#REF!,"AAAAAH7j7y4=")</f>
        <v>#REF!</v>
      </c>
      <c r="AV28" t="e">
        <f>AND(Heaters!#REF!,"AAAAAH7j7y8=")</f>
        <v>#REF!</v>
      </c>
      <c r="AW28" t="e">
        <f>AND(Heaters!#REF!,"AAAAAH7j7zA=")</f>
        <v>#REF!</v>
      </c>
      <c r="AX28" t="e">
        <f>AND(Heaters!#REF!,"AAAAAH7j7zE=")</f>
        <v>#REF!</v>
      </c>
      <c r="AY28" t="e">
        <f>AND(Heaters!#REF!,"AAAAAH7j7zI=")</f>
        <v>#REF!</v>
      </c>
      <c r="AZ28" t="e">
        <f>AND(Heaters!#REF!,"AAAAAH7j7zM=")</f>
        <v>#REF!</v>
      </c>
      <c r="BA28" t="e">
        <f>AND(Heaters!#REF!,"AAAAAH7j7zQ=")</f>
        <v>#REF!</v>
      </c>
      <c r="BB28" t="e">
        <f>AND(Heaters!#REF!,"AAAAAH7j7zU=")</f>
        <v>#REF!</v>
      </c>
      <c r="BC28" t="e">
        <f>AND(Heaters!#REF!,"AAAAAH7j7zY=")</f>
        <v>#REF!</v>
      </c>
      <c r="BD28" t="e">
        <f>AND(Heaters!#REF!,"AAAAAH7j7zc=")</f>
        <v>#REF!</v>
      </c>
      <c r="BE28" t="e">
        <f>AND(Heaters!#REF!,"AAAAAH7j7zg=")</f>
        <v>#REF!</v>
      </c>
      <c r="BF28" t="e">
        <f>AND(Heaters!#REF!,"AAAAAH7j7zk=")</f>
        <v>#REF!</v>
      </c>
      <c r="BG28" t="e">
        <f>AND(Heaters!#REF!,"AAAAAH7j7zo=")</f>
        <v>#REF!</v>
      </c>
      <c r="BH28" t="e">
        <f>IF(Heaters!#REF!,"AAAAAH7j7zs=",0)</f>
        <v>#REF!</v>
      </c>
      <c r="BI28" t="e">
        <f>AND(Heaters!#REF!,"AAAAAH7j7zw=")</f>
        <v>#REF!</v>
      </c>
      <c r="BJ28" t="e">
        <f>AND(Heaters!#REF!,"AAAAAH7j7z0=")</f>
        <v>#REF!</v>
      </c>
      <c r="BK28" t="e">
        <f>AND(Heaters!#REF!,"AAAAAH7j7z4=")</f>
        <v>#REF!</v>
      </c>
      <c r="BL28" t="e">
        <f>AND(Heaters!#REF!,"AAAAAH7j7z8=")</f>
        <v>#REF!</v>
      </c>
      <c r="BM28" t="e">
        <f>AND(Heaters!#REF!,"AAAAAH7j70A=")</f>
        <v>#REF!</v>
      </c>
      <c r="BN28" t="e">
        <f>AND(Heaters!#REF!,"AAAAAH7j70E=")</f>
        <v>#REF!</v>
      </c>
      <c r="BO28" t="e">
        <f>AND(Heaters!#REF!,"AAAAAH7j70I=")</f>
        <v>#REF!</v>
      </c>
      <c r="BP28" t="e">
        <f>AND(Heaters!#REF!,"AAAAAH7j70M=")</f>
        <v>#REF!</v>
      </c>
      <c r="BQ28" t="e">
        <f>AND(Heaters!#REF!,"AAAAAH7j70Q=")</f>
        <v>#REF!</v>
      </c>
      <c r="BR28" t="e">
        <f>AND(Heaters!#REF!,"AAAAAH7j70U=")</f>
        <v>#REF!</v>
      </c>
      <c r="BS28" t="e">
        <f>AND(Heaters!#REF!,"AAAAAH7j70Y=")</f>
        <v>#REF!</v>
      </c>
      <c r="BT28" t="e">
        <f>AND(Heaters!#REF!,"AAAAAH7j70c=")</f>
        <v>#REF!</v>
      </c>
      <c r="BU28" t="e">
        <f>AND(Heaters!#REF!,"AAAAAH7j70g=")</f>
        <v>#REF!</v>
      </c>
      <c r="BV28" t="e">
        <f>AND(Heaters!#REF!,"AAAAAH7j70k=")</f>
        <v>#REF!</v>
      </c>
      <c r="BW28" t="e">
        <f>AND(Heaters!#REF!,"AAAAAH7j70o=")</f>
        <v>#REF!</v>
      </c>
      <c r="BX28" t="e">
        <f>IF(Heaters!#REF!,"AAAAAH7j70s=",0)</f>
        <v>#REF!</v>
      </c>
      <c r="BY28" t="e">
        <f>AND(Heaters!#REF!,"AAAAAH7j70w=")</f>
        <v>#REF!</v>
      </c>
      <c r="BZ28" t="e">
        <f>AND(Heaters!#REF!,"AAAAAH7j700=")</f>
        <v>#REF!</v>
      </c>
      <c r="CA28" t="e">
        <f>AND(Heaters!#REF!,"AAAAAH7j704=")</f>
        <v>#REF!</v>
      </c>
      <c r="CB28" t="e">
        <f>AND(Heaters!#REF!,"AAAAAH7j708=")</f>
        <v>#REF!</v>
      </c>
      <c r="CC28" t="e">
        <f>AND(Heaters!#REF!,"AAAAAH7j71A=")</f>
        <v>#REF!</v>
      </c>
      <c r="CD28" t="e">
        <f>AND(Heaters!#REF!,"AAAAAH7j71E=")</f>
        <v>#REF!</v>
      </c>
      <c r="CE28" t="e">
        <f>AND(Heaters!#REF!,"AAAAAH7j71I=")</f>
        <v>#REF!</v>
      </c>
      <c r="CF28" t="e">
        <f>AND(Heaters!#REF!,"AAAAAH7j71M=")</f>
        <v>#REF!</v>
      </c>
      <c r="CG28" t="e">
        <f>AND(Heaters!#REF!,"AAAAAH7j71Q=")</f>
        <v>#REF!</v>
      </c>
      <c r="CH28" t="e">
        <f>AND(Heaters!#REF!,"AAAAAH7j71U=")</f>
        <v>#REF!</v>
      </c>
      <c r="CI28" t="e">
        <f>AND(Heaters!#REF!,"AAAAAH7j71Y=")</f>
        <v>#REF!</v>
      </c>
      <c r="CJ28" t="e">
        <f>AND(Heaters!#REF!,"AAAAAH7j71c=")</f>
        <v>#REF!</v>
      </c>
      <c r="CK28" t="e">
        <f>AND(Heaters!#REF!,"AAAAAH7j71g=")</f>
        <v>#REF!</v>
      </c>
      <c r="CL28" t="e">
        <f>AND(Heaters!#REF!,"AAAAAH7j71k=")</f>
        <v>#REF!</v>
      </c>
      <c r="CM28" t="e">
        <f>AND(Heaters!#REF!,"AAAAAH7j71o=")</f>
        <v>#REF!</v>
      </c>
      <c r="CN28" t="e">
        <f>IF(Heaters!#REF!,"AAAAAH7j71s=",0)</f>
        <v>#REF!</v>
      </c>
      <c r="CO28" t="e">
        <f>AND(Heaters!#REF!,"AAAAAH7j71w=")</f>
        <v>#REF!</v>
      </c>
      <c r="CP28" t="e">
        <f>AND(Heaters!#REF!,"AAAAAH7j710=")</f>
        <v>#REF!</v>
      </c>
      <c r="CQ28" t="e">
        <f>AND(Heaters!#REF!,"AAAAAH7j714=")</f>
        <v>#REF!</v>
      </c>
      <c r="CR28" t="e">
        <f>AND(Heaters!#REF!,"AAAAAH7j718=")</f>
        <v>#REF!</v>
      </c>
      <c r="CS28" t="e">
        <f>AND(Heaters!#REF!,"AAAAAH7j72A=")</f>
        <v>#REF!</v>
      </c>
      <c r="CT28" t="e">
        <f>AND(Heaters!#REF!,"AAAAAH7j72E=")</f>
        <v>#REF!</v>
      </c>
      <c r="CU28" t="e">
        <f>AND(Heaters!#REF!,"AAAAAH7j72I=")</f>
        <v>#REF!</v>
      </c>
      <c r="CV28" t="e">
        <f>AND(Heaters!#REF!,"AAAAAH7j72M=")</f>
        <v>#REF!</v>
      </c>
      <c r="CW28" t="e">
        <f>AND(Heaters!#REF!,"AAAAAH7j72Q=")</f>
        <v>#REF!</v>
      </c>
      <c r="CX28" t="e">
        <f>AND(Heaters!#REF!,"AAAAAH7j72U=")</f>
        <v>#REF!</v>
      </c>
      <c r="CY28" t="e">
        <f>AND(Heaters!#REF!,"AAAAAH7j72Y=")</f>
        <v>#REF!</v>
      </c>
      <c r="CZ28" t="e">
        <f>AND(Heaters!#REF!,"AAAAAH7j72c=")</f>
        <v>#REF!</v>
      </c>
      <c r="DA28" t="e">
        <f>AND(Heaters!#REF!,"AAAAAH7j72g=")</f>
        <v>#REF!</v>
      </c>
      <c r="DB28" t="e">
        <f>AND(Heaters!#REF!,"AAAAAH7j72k=")</f>
        <v>#REF!</v>
      </c>
      <c r="DC28" t="e">
        <f>AND(Heaters!#REF!,"AAAAAH7j72o=")</f>
        <v>#REF!</v>
      </c>
      <c r="DD28" t="e">
        <f>IF(Heaters!#REF!,"AAAAAH7j72s=",0)</f>
        <v>#REF!</v>
      </c>
      <c r="DE28" t="e">
        <f>AND(Heaters!#REF!,"AAAAAH7j72w=")</f>
        <v>#REF!</v>
      </c>
      <c r="DF28" t="e">
        <f>AND(Heaters!#REF!,"AAAAAH7j720=")</f>
        <v>#REF!</v>
      </c>
      <c r="DG28" t="e">
        <f>AND(Heaters!#REF!,"AAAAAH7j724=")</f>
        <v>#REF!</v>
      </c>
      <c r="DH28" t="e">
        <f>AND(Heaters!#REF!,"AAAAAH7j728=")</f>
        <v>#REF!</v>
      </c>
      <c r="DI28" t="e">
        <f>AND(Heaters!#REF!,"AAAAAH7j73A=")</f>
        <v>#REF!</v>
      </c>
      <c r="DJ28" t="e">
        <f>AND(Heaters!#REF!,"AAAAAH7j73E=")</f>
        <v>#REF!</v>
      </c>
      <c r="DK28" t="e">
        <f>AND(Heaters!#REF!,"AAAAAH7j73I=")</f>
        <v>#REF!</v>
      </c>
      <c r="DL28" t="e">
        <f>AND(Heaters!#REF!,"AAAAAH7j73M=")</f>
        <v>#REF!</v>
      </c>
      <c r="DM28" t="e">
        <f>AND(Heaters!#REF!,"AAAAAH7j73Q=")</f>
        <v>#REF!</v>
      </c>
      <c r="DN28" t="e">
        <f>AND(Heaters!#REF!,"AAAAAH7j73U=")</f>
        <v>#REF!</v>
      </c>
      <c r="DO28" t="e">
        <f>AND(Heaters!#REF!,"AAAAAH7j73Y=")</f>
        <v>#REF!</v>
      </c>
      <c r="DP28" t="e">
        <f>AND(Heaters!#REF!,"AAAAAH7j73c=")</f>
        <v>#REF!</v>
      </c>
      <c r="DQ28" t="e">
        <f>AND(Heaters!#REF!,"AAAAAH7j73g=")</f>
        <v>#REF!</v>
      </c>
      <c r="DR28" t="e">
        <f>AND(Heaters!#REF!,"AAAAAH7j73k=")</f>
        <v>#REF!</v>
      </c>
      <c r="DS28" t="e">
        <f>AND(Heaters!#REF!,"AAAAAH7j73o=")</f>
        <v>#REF!</v>
      </c>
      <c r="DT28" t="e">
        <f>IF(Heaters!#REF!,"AAAAAH7j73s=",0)</f>
        <v>#REF!</v>
      </c>
      <c r="DU28" t="e">
        <f>AND(Heaters!#REF!,"AAAAAH7j73w=")</f>
        <v>#REF!</v>
      </c>
      <c r="DV28" t="e">
        <f>AND(Heaters!#REF!,"AAAAAH7j730=")</f>
        <v>#REF!</v>
      </c>
      <c r="DW28" t="e">
        <f>AND(Heaters!#REF!,"AAAAAH7j734=")</f>
        <v>#REF!</v>
      </c>
      <c r="DX28" t="e">
        <f>AND(Heaters!#REF!,"AAAAAH7j738=")</f>
        <v>#REF!</v>
      </c>
      <c r="DY28" t="e">
        <f>AND(Heaters!#REF!,"AAAAAH7j74A=")</f>
        <v>#REF!</v>
      </c>
      <c r="DZ28" t="e">
        <f>AND(Heaters!#REF!,"AAAAAH7j74E=")</f>
        <v>#REF!</v>
      </c>
      <c r="EA28" t="e">
        <f>AND(Heaters!#REF!,"AAAAAH7j74I=")</f>
        <v>#REF!</v>
      </c>
      <c r="EB28" t="e">
        <f>AND(Heaters!#REF!,"AAAAAH7j74M=")</f>
        <v>#REF!</v>
      </c>
      <c r="EC28" t="e">
        <f>AND(Heaters!#REF!,"AAAAAH7j74Q=")</f>
        <v>#REF!</v>
      </c>
      <c r="ED28" t="e">
        <f>AND(Heaters!#REF!,"AAAAAH7j74U=")</f>
        <v>#REF!</v>
      </c>
      <c r="EE28" t="e">
        <f>AND(Heaters!#REF!,"AAAAAH7j74Y=")</f>
        <v>#REF!</v>
      </c>
      <c r="EF28" t="e">
        <f>AND(Heaters!#REF!,"AAAAAH7j74c=")</f>
        <v>#REF!</v>
      </c>
      <c r="EG28" t="e">
        <f>AND(Heaters!#REF!,"AAAAAH7j74g=")</f>
        <v>#REF!</v>
      </c>
      <c r="EH28" t="e">
        <f>AND(Heaters!#REF!,"AAAAAH7j74k=")</f>
        <v>#REF!</v>
      </c>
      <c r="EI28" t="e">
        <f>AND(Heaters!#REF!,"AAAAAH7j74o=")</f>
        <v>#REF!</v>
      </c>
      <c r="EJ28" t="e">
        <f>IF(Heaters!#REF!,"AAAAAH7j74s=",0)</f>
        <v>#REF!</v>
      </c>
      <c r="EK28" t="e">
        <f>AND(Heaters!#REF!,"AAAAAH7j74w=")</f>
        <v>#REF!</v>
      </c>
      <c r="EL28" t="e">
        <f>AND(Heaters!#REF!,"AAAAAH7j740=")</f>
        <v>#REF!</v>
      </c>
      <c r="EM28" t="e">
        <f>AND(Heaters!#REF!,"AAAAAH7j744=")</f>
        <v>#REF!</v>
      </c>
      <c r="EN28" t="e">
        <f>AND(Heaters!#REF!,"AAAAAH7j748=")</f>
        <v>#REF!</v>
      </c>
      <c r="EO28" t="e">
        <f>AND(Heaters!#REF!,"AAAAAH7j75A=")</f>
        <v>#REF!</v>
      </c>
      <c r="EP28" t="e">
        <f>AND(Heaters!#REF!,"AAAAAH7j75E=")</f>
        <v>#REF!</v>
      </c>
      <c r="EQ28" t="e">
        <f>AND(Heaters!#REF!,"AAAAAH7j75I=")</f>
        <v>#REF!</v>
      </c>
      <c r="ER28" t="e">
        <f>AND(Heaters!#REF!,"AAAAAH7j75M=")</f>
        <v>#REF!</v>
      </c>
      <c r="ES28" t="e">
        <f>AND(Heaters!#REF!,"AAAAAH7j75Q=")</f>
        <v>#REF!</v>
      </c>
      <c r="ET28" t="e">
        <f>AND(Heaters!#REF!,"AAAAAH7j75U=")</f>
        <v>#REF!</v>
      </c>
      <c r="EU28" t="e">
        <f>AND(Heaters!#REF!,"AAAAAH7j75Y=")</f>
        <v>#REF!</v>
      </c>
      <c r="EV28" t="e">
        <f>AND(Heaters!#REF!,"AAAAAH7j75c=")</f>
        <v>#REF!</v>
      </c>
      <c r="EW28" t="e">
        <f>AND(Heaters!#REF!,"AAAAAH7j75g=")</f>
        <v>#REF!</v>
      </c>
      <c r="EX28" t="e">
        <f>AND(Heaters!#REF!,"AAAAAH7j75k=")</f>
        <v>#REF!</v>
      </c>
      <c r="EY28" t="e">
        <f>AND(Heaters!#REF!,"AAAAAH7j75o=")</f>
        <v>#REF!</v>
      </c>
      <c r="EZ28" t="e">
        <f>IF(Heaters!#REF!,"AAAAAH7j75s=",0)</f>
        <v>#REF!</v>
      </c>
      <c r="FA28" t="e">
        <f>AND(Heaters!#REF!,"AAAAAH7j75w=")</f>
        <v>#REF!</v>
      </c>
      <c r="FB28" t="e">
        <f>AND(Heaters!#REF!,"AAAAAH7j750=")</f>
        <v>#REF!</v>
      </c>
      <c r="FC28" t="e">
        <f>AND(Heaters!#REF!,"AAAAAH7j754=")</f>
        <v>#REF!</v>
      </c>
      <c r="FD28" t="e">
        <f>AND(Heaters!#REF!,"AAAAAH7j758=")</f>
        <v>#REF!</v>
      </c>
      <c r="FE28" t="e">
        <f>AND(Heaters!#REF!,"AAAAAH7j76A=")</f>
        <v>#REF!</v>
      </c>
      <c r="FF28" t="e">
        <f>AND(Heaters!#REF!,"AAAAAH7j76E=")</f>
        <v>#REF!</v>
      </c>
      <c r="FG28" t="e">
        <f>AND(Heaters!#REF!,"AAAAAH7j76I=")</f>
        <v>#REF!</v>
      </c>
      <c r="FH28" t="e">
        <f>AND(Heaters!#REF!,"AAAAAH7j76M=")</f>
        <v>#REF!</v>
      </c>
      <c r="FI28" t="e">
        <f>AND(Heaters!#REF!,"AAAAAH7j76Q=")</f>
        <v>#REF!</v>
      </c>
      <c r="FJ28" t="e">
        <f>AND(Heaters!#REF!,"AAAAAH7j76U=")</f>
        <v>#REF!</v>
      </c>
      <c r="FK28" t="e">
        <f>AND(Heaters!#REF!,"AAAAAH7j76Y=")</f>
        <v>#REF!</v>
      </c>
      <c r="FL28" t="e">
        <f>AND(Heaters!#REF!,"AAAAAH7j76c=")</f>
        <v>#REF!</v>
      </c>
      <c r="FM28" t="e">
        <f>AND(Heaters!#REF!,"AAAAAH7j76g=")</f>
        <v>#REF!</v>
      </c>
      <c r="FN28" t="e">
        <f>AND(Heaters!#REF!,"AAAAAH7j76k=")</f>
        <v>#REF!</v>
      </c>
      <c r="FO28" t="e">
        <f>AND(Heaters!#REF!,"AAAAAH7j76o=")</f>
        <v>#REF!</v>
      </c>
      <c r="FP28" t="e">
        <f>IF(Heaters!#REF!,"AAAAAH7j76s=",0)</f>
        <v>#REF!</v>
      </c>
      <c r="FQ28" t="e">
        <f>AND(Heaters!#REF!,"AAAAAH7j76w=")</f>
        <v>#REF!</v>
      </c>
      <c r="FR28" t="e">
        <f>AND(Heaters!#REF!,"AAAAAH7j760=")</f>
        <v>#REF!</v>
      </c>
      <c r="FS28" t="e">
        <f>AND(Heaters!#REF!,"AAAAAH7j764=")</f>
        <v>#REF!</v>
      </c>
      <c r="FT28" t="e">
        <f>AND(Heaters!#REF!,"AAAAAH7j768=")</f>
        <v>#REF!</v>
      </c>
      <c r="FU28" t="e">
        <f>AND(Heaters!#REF!,"AAAAAH7j77A=")</f>
        <v>#REF!</v>
      </c>
      <c r="FV28" t="e">
        <f>AND(Heaters!#REF!,"AAAAAH7j77E=")</f>
        <v>#REF!</v>
      </c>
      <c r="FW28" t="e">
        <f>AND(Heaters!#REF!,"AAAAAH7j77I=")</f>
        <v>#REF!</v>
      </c>
      <c r="FX28" t="e">
        <f>AND(Heaters!#REF!,"AAAAAH7j77M=")</f>
        <v>#REF!</v>
      </c>
      <c r="FY28" t="e">
        <f>AND(Heaters!#REF!,"AAAAAH7j77Q=")</f>
        <v>#REF!</v>
      </c>
      <c r="FZ28" t="e">
        <f>AND(Heaters!#REF!,"AAAAAH7j77U=")</f>
        <v>#REF!</v>
      </c>
      <c r="GA28" t="e">
        <f>AND(Heaters!#REF!,"AAAAAH7j77Y=")</f>
        <v>#REF!</v>
      </c>
      <c r="GB28" t="e">
        <f>AND(Heaters!#REF!,"AAAAAH7j77c=")</f>
        <v>#REF!</v>
      </c>
      <c r="GC28" t="e">
        <f>AND(Heaters!#REF!,"AAAAAH7j77g=")</f>
        <v>#REF!</v>
      </c>
      <c r="GD28" t="e">
        <f>AND(Heaters!#REF!,"AAAAAH7j77k=")</f>
        <v>#REF!</v>
      </c>
      <c r="GE28" t="e">
        <f>AND(Heaters!#REF!,"AAAAAH7j77o=")</f>
        <v>#REF!</v>
      </c>
      <c r="GF28" t="e">
        <f>IF(Heaters!#REF!,"AAAAAH7j77s=",0)</f>
        <v>#REF!</v>
      </c>
      <c r="GG28" t="e">
        <f>AND(Heaters!#REF!,"AAAAAH7j77w=")</f>
        <v>#REF!</v>
      </c>
      <c r="GH28" t="e">
        <f>AND(Heaters!#REF!,"AAAAAH7j770=")</f>
        <v>#REF!</v>
      </c>
      <c r="GI28" t="e">
        <f>AND(Heaters!#REF!,"AAAAAH7j774=")</f>
        <v>#REF!</v>
      </c>
      <c r="GJ28" t="e">
        <f>AND(Heaters!#REF!,"AAAAAH7j778=")</f>
        <v>#REF!</v>
      </c>
      <c r="GK28" t="e">
        <f>AND(Heaters!#REF!,"AAAAAH7j78A=")</f>
        <v>#REF!</v>
      </c>
      <c r="GL28" t="e">
        <f>AND(Heaters!#REF!,"AAAAAH7j78E=")</f>
        <v>#REF!</v>
      </c>
      <c r="GM28" t="e">
        <f>AND(Heaters!#REF!,"AAAAAH7j78I=")</f>
        <v>#REF!</v>
      </c>
      <c r="GN28" t="e">
        <f>AND(Heaters!#REF!,"AAAAAH7j78M=")</f>
        <v>#REF!</v>
      </c>
      <c r="GO28" t="e">
        <f>AND(Heaters!#REF!,"AAAAAH7j78Q=")</f>
        <v>#REF!</v>
      </c>
      <c r="GP28" t="e">
        <f>AND(Heaters!#REF!,"AAAAAH7j78U=")</f>
        <v>#REF!</v>
      </c>
      <c r="GQ28" t="e">
        <f>AND(Heaters!#REF!,"AAAAAH7j78Y=")</f>
        <v>#REF!</v>
      </c>
      <c r="GR28" t="e">
        <f>AND(Heaters!#REF!,"AAAAAH7j78c=")</f>
        <v>#REF!</v>
      </c>
      <c r="GS28" t="e">
        <f>AND(Heaters!#REF!,"AAAAAH7j78g=")</f>
        <v>#REF!</v>
      </c>
      <c r="GT28" t="e">
        <f>AND(Heaters!#REF!,"AAAAAH7j78k=")</f>
        <v>#REF!</v>
      </c>
      <c r="GU28" t="e">
        <f>AND(Heaters!#REF!,"AAAAAH7j78o=")</f>
        <v>#REF!</v>
      </c>
      <c r="GV28" t="e">
        <f>IF(Heaters!#REF!,"AAAAAH7j78s=",0)</f>
        <v>#REF!</v>
      </c>
      <c r="GW28" t="e">
        <f>AND(Heaters!#REF!,"AAAAAH7j78w=")</f>
        <v>#REF!</v>
      </c>
      <c r="GX28" t="e">
        <f>AND(Heaters!#REF!,"AAAAAH7j780=")</f>
        <v>#REF!</v>
      </c>
      <c r="GY28" t="e">
        <f>AND(Heaters!#REF!,"AAAAAH7j784=")</f>
        <v>#REF!</v>
      </c>
      <c r="GZ28" t="e">
        <f>AND(Heaters!#REF!,"AAAAAH7j788=")</f>
        <v>#REF!</v>
      </c>
      <c r="HA28" t="e">
        <f>AND(Heaters!#REF!,"AAAAAH7j79A=")</f>
        <v>#REF!</v>
      </c>
      <c r="HB28" t="e">
        <f>AND(Heaters!#REF!,"AAAAAH7j79E=")</f>
        <v>#REF!</v>
      </c>
      <c r="HC28" t="e">
        <f>AND(Heaters!#REF!,"AAAAAH7j79I=")</f>
        <v>#REF!</v>
      </c>
      <c r="HD28" t="e">
        <f>AND(Heaters!#REF!,"AAAAAH7j79M=")</f>
        <v>#REF!</v>
      </c>
      <c r="HE28" t="e">
        <f>AND(Heaters!#REF!,"AAAAAH7j79Q=")</f>
        <v>#REF!</v>
      </c>
      <c r="HF28" t="e">
        <f>AND(Heaters!#REF!,"AAAAAH7j79U=")</f>
        <v>#REF!</v>
      </c>
      <c r="HG28" t="e">
        <f>AND(Heaters!#REF!,"AAAAAH7j79Y=")</f>
        <v>#REF!</v>
      </c>
      <c r="HH28" t="e">
        <f>AND(Heaters!#REF!,"AAAAAH7j79c=")</f>
        <v>#REF!</v>
      </c>
      <c r="HI28" t="e">
        <f>AND(Heaters!#REF!,"AAAAAH7j79g=")</f>
        <v>#REF!</v>
      </c>
      <c r="HJ28" t="e">
        <f>AND(Heaters!#REF!,"AAAAAH7j79k=")</f>
        <v>#REF!</v>
      </c>
      <c r="HK28" t="e">
        <f>AND(Heaters!#REF!,"AAAAAH7j79o=")</f>
        <v>#REF!</v>
      </c>
      <c r="HL28" t="e">
        <f>IF(Heaters!#REF!,"AAAAAH7j79s=",0)</f>
        <v>#REF!</v>
      </c>
      <c r="HM28" t="e">
        <f>AND(Heaters!#REF!,"AAAAAH7j79w=")</f>
        <v>#REF!</v>
      </c>
      <c r="HN28" t="e">
        <f>AND(Heaters!#REF!,"AAAAAH7j790=")</f>
        <v>#REF!</v>
      </c>
      <c r="HO28" t="e">
        <f>AND(Heaters!#REF!,"AAAAAH7j794=")</f>
        <v>#REF!</v>
      </c>
      <c r="HP28" t="e">
        <f>AND(Heaters!#REF!,"AAAAAH7j798=")</f>
        <v>#REF!</v>
      </c>
      <c r="HQ28" t="e">
        <f>AND(Heaters!#REF!,"AAAAAH7j7+A=")</f>
        <v>#REF!</v>
      </c>
      <c r="HR28" t="e">
        <f>AND(Heaters!#REF!,"AAAAAH7j7+E=")</f>
        <v>#REF!</v>
      </c>
      <c r="HS28" t="e">
        <f>AND(Heaters!#REF!,"AAAAAH7j7+I=")</f>
        <v>#REF!</v>
      </c>
      <c r="HT28" t="e">
        <f>AND(Heaters!#REF!,"AAAAAH7j7+M=")</f>
        <v>#REF!</v>
      </c>
      <c r="HU28" t="e">
        <f>AND(Heaters!#REF!,"AAAAAH7j7+Q=")</f>
        <v>#REF!</v>
      </c>
      <c r="HV28" t="e">
        <f>AND(Heaters!#REF!,"AAAAAH7j7+U=")</f>
        <v>#REF!</v>
      </c>
      <c r="HW28" t="e">
        <f>AND(Heaters!#REF!,"AAAAAH7j7+Y=")</f>
        <v>#REF!</v>
      </c>
      <c r="HX28" t="e">
        <f>AND(Heaters!#REF!,"AAAAAH7j7+c=")</f>
        <v>#REF!</v>
      </c>
      <c r="HY28" t="e">
        <f>AND(Heaters!#REF!,"AAAAAH7j7+g=")</f>
        <v>#REF!</v>
      </c>
      <c r="HZ28" t="e">
        <f>AND(Heaters!#REF!,"AAAAAH7j7+k=")</f>
        <v>#REF!</v>
      </c>
      <c r="IA28" t="e">
        <f>AND(Heaters!#REF!,"AAAAAH7j7+o=")</f>
        <v>#REF!</v>
      </c>
      <c r="IB28" t="e">
        <f>IF(Heaters!#REF!,"AAAAAH7j7+s=",0)</f>
        <v>#REF!</v>
      </c>
      <c r="IC28" t="e">
        <f>AND(Heaters!#REF!,"AAAAAH7j7+w=")</f>
        <v>#REF!</v>
      </c>
      <c r="ID28" t="e">
        <f>AND(Heaters!#REF!,"AAAAAH7j7+0=")</f>
        <v>#REF!</v>
      </c>
      <c r="IE28" t="e">
        <f>AND(Heaters!#REF!,"AAAAAH7j7+4=")</f>
        <v>#REF!</v>
      </c>
      <c r="IF28" t="e">
        <f>AND(Heaters!#REF!,"AAAAAH7j7+8=")</f>
        <v>#REF!</v>
      </c>
      <c r="IG28" t="e">
        <f>AND(Heaters!#REF!,"AAAAAH7j7/A=")</f>
        <v>#REF!</v>
      </c>
      <c r="IH28" t="e">
        <f>AND(Heaters!#REF!,"AAAAAH7j7/E=")</f>
        <v>#REF!</v>
      </c>
      <c r="II28" t="e">
        <f>AND(Heaters!#REF!,"AAAAAH7j7/I=")</f>
        <v>#REF!</v>
      </c>
      <c r="IJ28" t="e">
        <f>AND(Heaters!#REF!,"AAAAAH7j7/M=")</f>
        <v>#REF!</v>
      </c>
      <c r="IK28" t="e">
        <f>AND(Heaters!#REF!,"AAAAAH7j7/Q=")</f>
        <v>#REF!</v>
      </c>
      <c r="IL28" t="e">
        <f>AND(Heaters!#REF!,"AAAAAH7j7/U=")</f>
        <v>#REF!</v>
      </c>
      <c r="IM28" t="e">
        <f>AND(Heaters!#REF!,"AAAAAH7j7/Y=")</f>
        <v>#REF!</v>
      </c>
      <c r="IN28" t="e">
        <f>AND(Heaters!#REF!,"AAAAAH7j7/c=")</f>
        <v>#REF!</v>
      </c>
      <c r="IO28" t="e">
        <f>AND(Heaters!#REF!,"AAAAAH7j7/g=")</f>
        <v>#REF!</v>
      </c>
      <c r="IP28" t="e">
        <f>AND(Heaters!#REF!,"AAAAAH7j7/k=")</f>
        <v>#REF!</v>
      </c>
      <c r="IQ28" t="e">
        <f>AND(Heaters!#REF!,"AAAAAH7j7/o=")</f>
        <v>#REF!</v>
      </c>
      <c r="IR28" t="e">
        <f>IF(Heaters!#REF!,"AAAAAH7j7/s=",0)</f>
        <v>#REF!</v>
      </c>
      <c r="IS28" t="e">
        <f>AND(Heaters!#REF!,"AAAAAH7j7/w=")</f>
        <v>#REF!</v>
      </c>
      <c r="IT28" t="e">
        <f>AND(Heaters!#REF!,"AAAAAH7j7/0=")</f>
        <v>#REF!</v>
      </c>
      <c r="IU28" t="e">
        <f>AND(Heaters!#REF!,"AAAAAH7j7/4=")</f>
        <v>#REF!</v>
      </c>
      <c r="IV28" t="e">
        <f>AND(Heaters!#REF!,"AAAAAH7j7/8=")</f>
        <v>#REF!</v>
      </c>
    </row>
    <row r="29" spans="1:256" x14ac:dyDescent="0.2">
      <c r="A29" t="e">
        <f>AND(Heaters!#REF!,"AAAAAHuTbwA=")</f>
        <v>#REF!</v>
      </c>
      <c r="B29" t="e">
        <f>AND(Heaters!#REF!,"AAAAAHuTbwE=")</f>
        <v>#REF!</v>
      </c>
      <c r="C29" t="e">
        <f>AND(Heaters!#REF!,"AAAAAHuTbwI=")</f>
        <v>#REF!</v>
      </c>
      <c r="D29" t="e">
        <f>AND(Heaters!#REF!,"AAAAAHuTbwM=")</f>
        <v>#REF!</v>
      </c>
      <c r="E29" t="e">
        <f>AND(Heaters!#REF!,"AAAAAHuTbwQ=")</f>
        <v>#REF!</v>
      </c>
      <c r="F29" t="e">
        <f>AND(Heaters!#REF!,"AAAAAHuTbwU=")</f>
        <v>#REF!</v>
      </c>
      <c r="G29" t="e">
        <f>AND(Heaters!#REF!,"AAAAAHuTbwY=")</f>
        <v>#REF!</v>
      </c>
      <c r="H29" t="e">
        <f>AND(Heaters!#REF!,"AAAAAHuTbwc=")</f>
        <v>#REF!</v>
      </c>
      <c r="I29" t="e">
        <f>AND(Heaters!#REF!,"AAAAAHuTbwg=")</f>
        <v>#REF!</v>
      </c>
      <c r="J29" t="e">
        <f>AND(Heaters!#REF!,"AAAAAHuTbwk=")</f>
        <v>#REF!</v>
      </c>
      <c r="K29" t="e">
        <f>AND(Heaters!#REF!,"AAAAAHuTbwo=")</f>
        <v>#REF!</v>
      </c>
      <c r="L29" t="e">
        <f>IF(Heaters!#REF!,"AAAAAHuTbws=",0)</f>
        <v>#REF!</v>
      </c>
      <c r="M29" t="e">
        <f>AND(Heaters!#REF!,"AAAAAHuTbww=")</f>
        <v>#REF!</v>
      </c>
      <c r="N29" t="e">
        <f>AND(Heaters!#REF!,"AAAAAHuTbw0=")</f>
        <v>#REF!</v>
      </c>
      <c r="O29" t="e">
        <f>AND(Heaters!#REF!,"AAAAAHuTbw4=")</f>
        <v>#REF!</v>
      </c>
      <c r="P29" t="e">
        <f>AND(Heaters!#REF!,"AAAAAHuTbw8=")</f>
        <v>#REF!</v>
      </c>
      <c r="Q29" t="e">
        <f>AND(Heaters!#REF!,"AAAAAHuTbxA=")</f>
        <v>#REF!</v>
      </c>
      <c r="R29" t="e">
        <f>AND(Heaters!#REF!,"AAAAAHuTbxE=")</f>
        <v>#REF!</v>
      </c>
      <c r="S29" t="e">
        <f>AND(Heaters!#REF!,"AAAAAHuTbxI=")</f>
        <v>#REF!</v>
      </c>
      <c r="T29" t="e">
        <f>AND(Heaters!#REF!,"AAAAAHuTbxM=")</f>
        <v>#REF!</v>
      </c>
      <c r="U29" t="e">
        <f>AND(Heaters!#REF!,"AAAAAHuTbxQ=")</f>
        <v>#REF!</v>
      </c>
      <c r="V29" t="e">
        <f>AND(Heaters!#REF!,"AAAAAHuTbxU=")</f>
        <v>#REF!</v>
      </c>
      <c r="W29" t="e">
        <f>AND(Heaters!#REF!,"AAAAAHuTbxY=")</f>
        <v>#REF!</v>
      </c>
      <c r="X29" t="e">
        <f>AND(Heaters!#REF!,"AAAAAHuTbxc=")</f>
        <v>#REF!</v>
      </c>
      <c r="Y29" t="e">
        <f>AND(Heaters!#REF!,"AAAAAHuTbxg=")</f>
        <v>#REF!</v>
      </c>
      <c r="Z29" t="e">
        <f>AND(Heaters!#REF!,"AAAAAHuTbxk=")</f>
        <v>#REF!</v>
      </c>
      <c r="AA29" t="e">
        <f>AND(Heaters!#REF!,"AAAAAHuTbxo=")</f>
        <v>#REF!</v>
      </c>
      <c r="AB29" t="e">
        <f>IF(Heaters!#REF!,"AAAAAHuTbxs=",0)</f>
        <v>#REF!</v>
      </c>
      <c r="AC29" t="e">
        <f>AND(Heaters!#REF!,"AAAAAHuTbxw=")</f>
        <v>#REF!</v>
      </c>
      <c r="AD29" t="e">
        <f>AND(Heaters!#REF!,"AAAAAHuTbx0=")</f>
        <v>#REF!</v>
      </c>
      <c r="AE29" t="e">
        <f>AND(Heaters!#REF!,"AAAAAHuTbx4=")</f>
        <v>#REF!</v>
      </c>
      <c r="AF29" t="e">
        <f>AND(Heaters!#REF!,"AAAAAHuTbx8=")</f>
        <v>#REF!</v>
      </c>
      <c r="AG29" t="e">
        <f>AND(Heaters!#REF!,"AAAAAHuTbyA=")</f>
        <v>#REF!</v>
      </c>
      <c r="AH29" t="e">
        <f>AND(Heaters!#REF!,"AAAAAHuTbyE=")</f>
        <v>#REF!</v>
      </c>
      <c r="AI29" t="e">
        <f>AND(Heaters!#REF!,"AAAAAHuTbyI=")</f>
        <v>#REF!</v>
      </c>
      <c r="AJ29" t="e">
        <f>AND(Heaters!#REF!,"AAAAAHuTbyM=")</f>
        <v>#REF!</v>
      </c>
      <c r="AK29" t="e">
        <f>AND(Heaters!#REF!,"AAAAAHuTbyQ=")</f>
        <v>#REF!</v>
      </c>
      <c r="AL29" t="e">
        <f>AND(Heaters!#REF!,"AAAAAHuTbyU=")</f>
        <v>#REF!</v>
      </c>
      <c r="AM29" t="e">
        <f>AND(Heaters!#REF!,"AAAAAHuTbyY=")</f>
        <v>#REF!</v>
      </c>
      <c r="AN29" t="e">
        <f>AND(Heaters!#REF!,"AAAAAHuTbyc=")</f>
        <v>#REF!</v>
      </c>
      <c r="AO29" t="e">
        <f>AND(Heaters!#REF!,"AAAAAHuTbyg=")</f>
        <v>#REF!</v>
      </c>
      <c r="AP29" t="e">
        <f>AND(Heaters!#REF!,"AAAAAHuTbyk=")</f>
        <v>#REF!</v>
      </c>
      <c r="AQ29" t="e">
        <f>AND(Heaters!#REF!,"AAAAAHuTbyo=")</f>
        <v>#REF!</v>
      </c>
      <c r="AR29" t="e">
        <f>IF(Heaters!#REF!,"AAAAAHuTbys=",0)</f>
        <v>#REF!</v>
      </c>
      <c r="AS29" t="e">
        <f>AND(Heaters!#REF!,"AAAAAHuTbyw=")</f>
        <v>#REF!</v>
      </c>
      <c r="AT29" t="e">
        <f>AND(Heaters!#REF!,"AAAAAHuTby0=")</f>
        <v>#REF!</v>
      </c>
      <c r="AU29" t="e">
        <f>AND(Heaters!#REF!,"AAAAAHuTby4=")</f>
        <v>#REF!</v>
      </c>
      <c r="AV29" t="e">
        <f>AND(Heaters!#REF!,"AAAAAHuTby8=")</f>
        <v>#REF!</v>
      </c>
      <c r="AW29" t="e">
        <f>AND(Heaters!#REF!,"AAAAAHuTbzA=")</f>
        <v>#REF!</v>
      </c>
      <c r="AX29" t="e">
        <f>AND(Heaters!#REF!,"AAAAAHuTbzE=")</f>
        <v>#REF!</v>
      </c>
      <c r="AY29" t="e">
        <f>AND(Heaters!#REF!,"AAAAAHuTbzI=")</f>
        <v>#REF!</v>
      </c>
      <c r="AZ29" t="e">
        <f>AND(Heaters!#REF!,"AAAAAHuTbzM=")</f>
        <v>#REF!</v>
      </c>
      <c r="BA29" t="e">
        <f>AND(Heaters!#REF!,"AAAAAHuTbzQ=")</f>
        <v>#REF!</v>
      </c>
      <c r="BB29" t="e">
        <f>AND(Heaters!#REF!,"AAAAAHuTbzU=")</f>
        <v>#REF!</v>
      </c>
      <c r="BC29" t="e">
        <f>AND(Heaters!#REF!,"AAAAAHuTbzY=")</f>
        <v>#REF!</v>
      </c>
      <c r="BD29" t="e">
        <f>AND(Heaters!#REF!,"AAAAAHuTbzc=")</f>
        <v>#REF!</v>
      </c>
      <c r="BE29" t="e">
        <f>AND(Heaters!#REF!,"AAAAAHuTbzg=")</f>
        <v>#REF!</v>
      </c>
      <c r="BF29" t="e">
        <f>AND(Heaters!#REF!,"AAAAAHuTbzk=")</f>
        <v>#REF!</v>
      </c>
      <c r="BG29" t="e">
        <f>AND(Heaters!#REF!,"AAAAAHuTbzo=")</f>
        <v>#REF!</v>
      </c>
      <c r="BH29" t="e">
        <f>IF(Heaters!#REF!,"AAAAAHuTbzs=",0)</f>
        <v>#REF!</v>
      </c>
      <c r="BI29" t="e">
        <f>AND(Heaters!#REF!,"AAAAAHuTbzw=")</f>
        <v>#REF!</v>
      </c>
      <c r="BJ29" t="e">
        <f>AND(Heaters!#REF!,"AAAAAHuTbz0=")</f>
        <v>#REF!</v>
      </c>
      <c r="BK29" t="e">
        <f>AND(Heaters!#REF!,"AAAAAHuTbz4=")</f>
        <v>#REF!</v>
      </c>
      <c r="BL29" t="e">
        <f>AND(Heaters!#REF!,"AAAAAHuTbz8=")</f>
        <v>#REF!</v>
      </c>
      <c r="BM29" t="e">
        <f>AND(Heaters!#REF!,"AAAAAHuTb0A=")</f>
        <v>#REF!</v>
      </c>
      <c r="BN29" t="e">
        <f>AND(Heaters!#REF!,"AAAAAHuTb0E=")</f>
        <v>#REF!</v>
      </c>
      <c r="BO29" t="e">
        <f>AND(Heaters!#REF!,"AAAAAHuTb0I=")</f>
        <v>#REF!</v>
      </c>
      <c r="BP29" t="e">
        <f>AND(Heaters!#REF!,"AAAAAHuTb0M=")</f>
        <v>#REF!</v>
      </c>
      <c r="BQ29" t="e">
        <f>AND(Heaters!#REF!,"AAAAAHuTb0Q=")</f>
        <v>#REF!</v>
      </c>
      <c r="BR29" t="e">
        <f>AND(Heaters!#REF!,"AAAAAHuTb0U=")</f>
        <v>#REF!</v>
      </c>
      <c r="BS29" t="e">
        <f>AND(Heaters!#REF!,"AAAAAHuTb0Y=")</f>
        <v>#REF!</v>
      </c>
      <c r="BT29" t="e">
        <f>AND(Heaters!#REF!,"AAAAAHuTb0c=")</f>
        <v>#REF!</v>
      </c>
      <c r="BU29" t="e">
        <f>AND(Heaters!#REF!,"AAAAAHuTb0g=")</f>
        <v>#REF!</v>
      </c>
      <c r="BV29" t="e">
        <f>AND(Heaters!#REF!,"AAAAAHuTb0k=")</f>
        <v>#REF!</v>
      </c>
      <c r="BW29" t="e">
        <f>AND(Heaters!#REF!,"AAAAAHuTb0o=")</f>
        <v>#REF!</v>
      </c>
      <c r="BX29" t="e">
        <f>IF(Heaters!#REF!,"AAAAAHuTb0s=",0)</f>
        <v>#REF!</v>
      </c>
      <c r="BY29" t="e">
        <f>AND(Heaters!#REF!,"AAAAAHuTb0w=")</f>
        <v>#REF!</v>
      </c>
      <c r="BZ29" t="e">
        <f>AND(Heaters!#REF!,"AAAAAHuTb00=")</f>
        <v>#REF!</v>
      </c>
      <c r="CA29" t="e">
        <f>AND(Heaters!#REF!,"AAAAAHuTb04=")</f>
        <v>#REF!</v>
      </c>
      <c r="CB29" t="e">
        <f>AND(Heaters!#REF!,"AAAAAHuTb08=")</f>
        <v>#REF!</v>
      </c>
      <c r="CC29" t="e">
        <f>AND(Heaters!#REF!,"AAAAAHuTb1A=")</f>
        <v>#REF!</v>
      </c>
      <c r="CD29" t="e">
        <f>AND(Heaters!#REF!,"AAAAAHuTb1E=")</f>
        <v>#REF!</v>
      </c>
      <c r="CE29" t="e">
        <f>AND(Heaters!#REF!,"AAAAAHuTb1I=")</f>
        <v>#REF!</v>
      </c>
      <c r="CF29" t="e">
        <f>AND(Heaters!#REF!,"AAAAAHuTb1M=")</f>
        <v>#REF!</v>
      </c>
      <c r="CG29" t="e">
        <f>AND(Heaters!#REF!,"AAAAAHuTb1Q=")</f>
        <v>#REF!</v>
      </c>
      <c r="CH29" t="e">
        <f>AND(Heaters!#REF!,"AAAAAHuTb1U=")</f>
        <v>#REF!</v>
      </c>
      <c r="CI29" t="e">
        <f>AND(Heaters!#REF!,"AAAAAHuTb1Y=")</f>
        <v>#REF!</v>
      </c>
      <c r="CJ29" t="e">
        <f>AND(Heaters!#REF!,"AAAAAHuTb1c=")</f>
        <v>#REF!</v>
      </c>
      <c r="CK29" t="e">
        <f>AND(Heaters!#REF!,"AAAAAHuTb1g=")</f>
        <v>#REF!</v>
      </c>
      <c r="CL29" t="e">
        <f>AND(Heaters!#REF!,"AAAAAHuTb1k=")</f>
        <v>#REF!</v>
      </c>
      <c r="CM29" t="e">
        <f>AND(Heaters!#REF!,"AAAAAHuTb1o=")</f>
        <v>#REF!</v>
      </c>
      <c r="CN29">
        <f>IF(Heaters!40:40,"AAAAAHuTb1s=",0)</f>
        <v>0</v>
      </c>
      <c r="CO29" t="e">
        <f>AND(Heaters!A40,"AAAAAHuTb1w=")</f>
        <v>#VALUE!</v>
      </c>
      <c r="CP29" t="e">
        <f>AND(Heaters!B40,"AAAAAHuTb10=")</f>
        <v>#VALUE!</v>
      </c>
      <c r="CQ29" t="e">
        <f>AND(Heaters!C40,"AAAAAHuTb14=")</f>
        <v>#VALUE!</v>
      </c>
      <c r="CR29" t="e">
        <f>AND(Heaters!D40,"AAAAAHuTb18=")</f>
        <v>#VALUE!</v>
      </c>
      <c r="CS29" t="e">
        <f>AND(Heaters!E40,"AAAAAHuTb2A=")</f>
        <v>#VALUE!</v>
      </c>
      <c r="CT29" t="e">
        <f>AND(Heaters!F40,"AAAAAHuTb2E=")</f>
        <v>#VALUE!</v>
      </c>
      <c r="CU29" t="e">
        <f>AND(Heaters!G40,"AAAAAHuTb2I=")</f>
        <v>#VALUE!</v>
      </c>
      <c r="CV29" t="e">
        <f>AND(Heaters!H40,"AAAAAHuTb2M=")</f>
        <v>#VALUE!</v>
      </c>
      <c r="CW29" t="e">
        <f>AND(Heaters!I40,"AAAAAHuTb2Q=")</f>
        <v>#VALUE!</v>
      </c>
      <c r="CX29" t="e">
        <f>AND(Heaters!J40,"AAAAAHuTb2U=")</f>
        <v>#VALUE!</v>
      </c>
      <c r="CY29" t="e">
        <f>AND(Heaters!K40,"AAAAAHuTb2Y=")</f>
        <v>#VALUE!</v>
      </c>
      <c r="CZ29" t="e">
        <f>AND(Heaters!L40,"AAAAAHuTb2c=")</f>
        <v>#VALUE!</v>
      </c>
      <c r="DA29" t="e">
        <f>AND(Heaters!M40,"AAAAAHuTb2g=")</f>
        <v>#VALUE!</v>
      </c>
      <c r="DB29" t="e">
        <f>AND(Heaters!N40,"AAAAAHuTb2k=")</f>
        <v>#VALUE!</v>
      </c>
      <c r="DC29" t="e">
        <f>AND(Heaters!O40,"AAAAAHuTb2o=")</f>
        <v>#VALUE!</v>
      </c>
      <c r="DD29" t="e">
        <f>IF(Heaters!#REF!,"AAAAAHuTb2s=",0)</f>
        <v>#REF!</v>
      </c>
      <c r="DE29" t="e">
        <f>AND(Heaters!#REF!,"AAAAAHuTb2w=")</f>
        <v>#REF!</v>
      </c>
      <c r="DF29" t="e">
        <f>AND(Heaters!#REF!,"AAAAAHuTb20=")</f>
        <v>#REF!</v>
      </c>
      <c r="DG29" t="e">
        <f>AND(Heaters!#REF!,"AAAAAHuTb24=")</f>
        <v>#REF!</v>
      </c>
      <c r="DH29" t="e">
        <f>AND(Heaters!#REF!,"AAAAAHuTb28=")</f>
        <v>#REF!</v>
      </c>
      <c r="DI29" t="e">
        <f>AND(Heaters!#REF!,"AAAAAHuTb3A=")</f>
        <v>#REF!</v>
      </c>
      <c r="DJ29" t="e">
        <f>AND(Heaters!#REF!,"AAAAAHuTb3E=")</f>
        <v>#REF!</v>
      </c>
      <c r="DK29" t="e">
        <f>AND(Heaters!#REF!,"AAAAAHuTb3I=")</f>
        <v>#REF!</v>
      </c>
      <c r="DL29" t="e">
        <f>AND(Heaters!#REF!,"AAAAAHuTb3M=")</f>
        <v>#REF!</v>
      </c>
      <c r="DM29" t="e">
        <f>AND(Heaters!#REF!,"AAAAAHuTb3Q=")</f>
        <v>#REF!</v>
      </c>
      <c r="DN29" t="e">
        <f>AND(Heaters!#REF!,"AAAAAHuTb3U=")</f>
        <v>#REF!</v>
      </c>
      <c r="DO29" t="e">
        <f>AND(Heaters!#REF!,"AAAAAHuTb3Y=")</f>
        <v>#REF!</v>
      </c>
      <c r="DP29" t="e">
        <f>AND(Heaters!#REF!,"AAAAAHuTb3c=")</f>
        <v>#REF!</v>
      </c>
      <c r="DQ29" t="e">
        <f>AND(Heaters!#REF!,"AAAAAHuTb3g=")</f>
        <v>#REF!</v>
      </c>
      <c r="DR29" t="e">
        <f>AND(Heaters!#REF!,"AAAAAHuTb3k=")</f>
        <v>#REF!</v>
      </c>
      <c r="DS29" t="e">
        <f>AND(Heaters!#REF!,"AAAAAHuTb3o=")</f>
        <v>#REF!</v>
      </c>
      <c r="DT29" t="e">
        <f>IF(Heaters!#REF!,"AAAAAHuTb3s=",0)</f>
        <v>#REF!</v>
      </c>
      <c r="DU29" t="e">
        <f>AND(Heaters!#REF!,"AAAAAHuTb3w=")</f>
        <v>#REF!</v>
      </c>
      <c r="DV29" t="e">
        <f>AND(Heaters!#REF!,"AAAAAHuTb30=")</f>
        <v>#REF!</v>
      </c>
      <c r="DW29" t="e">
        <f>AND(Heaters!#REF!,"AAAAAHuTb34=")</f>
        <v>#REF!</v>
      </c>
      <c r="DX29" t="e">
        <f>AND(Heaters!#REF!,"AAAAAHuTb38=")</f>
        <v>#REF!</v>
      </c>
      <c r="DY29" t="e">
        <f>AND(Heaters!#REF!,"AAAAAHuTb4A=")</f>
        <v>#REF!</v>
      </c>
      <c r="DZ29" t="e">
        <f>AND(Heaters!#REF!,"AAAAAHuTb4E=")</f>
        <v>#REF!</v>
      </c>
      <c r="EA29" t="e">
        <f>AND(Heaters!#REF!,"AAAAAHuTb4I=")</f>
        <v>#REF!</v>
      </c>
      <c r="EB29" t="e">
        <f>AND(Heaters!#REF!,"AAAAAHuTb4M=")</f>
        <v>#REF!</v>
      </c>
      <c r="EC29" t="e">
        <f>AND(Heaters!#REF!,"AAAAAHuTb4Q=")</f>
        <v>#REF!</v>
      </c>
      <c r="ED29" t="e">
        <f>AND(Heaters!#REF!,"AAAAAHuTb4U=")</f>
        <v>#REF!</v>
      </c>
      <c r="EE29" t="e">
        <f>AND(Heaters!#REF!,"AAAAAHuTb4Y=")</f>
        <v>#REF!</v>
      </c>
      <c r="EF29" t="e">
        <f>AND(Heaters!#REF!,"AAAAAHuTb4c=")</f>
        <v>#REF!</v>
      </c>
      <c r="EG29" t="e">
        <f>AND(Heaters!#REF!,"AAAAAHuTb4g=")</f>
        <v>#REF!</v>
      </c>
      <c r="EH29" t="e">
        <f>AND(Heaters!#REF!,"AAAAAHuTb4k=")</f>
        <v>#REF!</v>
      </c>
      <c r="EI29" t="e">
        <f>AND(Heaters!#REF!,"AAAAAHuTb4o=")</f>
        <v>#REF!</v>
      </c>
      <c r="EJ29" t="e">
        <f>IF(Heaters!#REF!,"AAAAAHuTb4s=",0)</f>
        <v>#REF!</v>
      </c>
      <c r="EK29" t="e">
        <f>AND(Heaters!#REF!,"AAAAAHuTb4w=")</f>
        <v>#REF!</v>
      </c>
      <c r="EL29" t="e">
        <f>AND(Heaters!#REF!,"AAAAAHuTb40=")</f>
        <v>#REF!</v>
      </c>
      <c r="EM29" t="e">
        <f>AND(Heaters!#REF!,"AAAAAHuTb44=")</f>
        <v>#REF!</v>
      </c>
      <c r="EN29" t="e">
        <f>AND(Heaters!#REF!,"AAAAAHuTb48=")</f>
        <v>#REF!</v>
      </c>
      <c r="EO29" t="e">
        <f>AND(Heaters!#REF!,"AAAAAHuTb5A=")</f>
        <v>#REF!</v>
      </c>
      <c r="EP29" t="e">
        <f>AND(Heaters!#REF!,"AAAAAHuTb5E=")</f>
        <v>#REF!</v>
      </c>
      <c r="EQ29" t="e">
        <f>AND(Heaters!#REF!,"AAAAAHuTb5I=")</f>
        <v>#REF!</v>
      </c>
      <c r="ER29" t="e">
        <f>AND(Heaters!#REF!,"AAAAAHuTb5M=")</f>
        <v>#REF!</v>
      </c>
      <c r="ES29" t="e">
        <f>AND(Heaters!#REF!,"AAAAAHuTb5Q=")</f>
        <v>#REF!</v>
      </c>
      <c r="ET29" t="e">
        <f>AND(Heaters!#REF!,"AAAAAHuTb5U=")</f>
        <v>#REF!</v>
      </c>
      <c r="EU29" t="e">
        <f>AND(Heaters!#REF!,"AAAAAHuTb5Y=")</f>
        <v>#REF!</v>
      </c>
      <c r="EV29" t="e">
        <f>AND(Heaters!#REF!,"AAAAAHuTb5c=")</f>
        <v>#REF!</v>
      </c>
      <c r="EW29" t="e">
        <f>AND(Heaters!#REF!,"AAAAAHuTb5g=")</f>
        <v>#REF!</v>
      </c>
      <c r="EX29" t="e">
        <f>AND(Heaters!#REF!,"AAAAAHuTb5k=")</f>
        <v>#REF!</v>
      </c>
      <c r="EY29" t="e">
        <f>AND(Heaters!#REF!,"AAAAAHuTb5o=")</f>
        <v>#REF!</v>
      </c>
      <c r="EZ29" t="e">
        <f>IF(Heaters!#REF!,"AAAAAHuTb5s=",0)</f>
        <v>#REF!</v>
      </c>
      <c r="FA29" t="e">
        <f>AND(Heaters!#REF!,"AAAAAHuTb5w=")</f>
        <v>#REF!</v>
      </c>
      <c r="FB29" t="e">
        <f>AND(Heaters!#REF!,"AAAAAHuTb50=")</f>
        <v>#REF!</v>
      </c>
      <c r="FC29" t="e">
        <f>AND(Heaters!#REF!,"AAAAAHuTb54=")</f>
        <v>#REF!</v>
      </c>
      <c r="FD29" t="e">
        <f>AND(Heaters!#REF!,"AAAAAHuTb58=")</f>
        <v>#REF!</v>
      </c>
      <c r="FE29" t="e">
        <f>AND(Heaters!#REF!,"AAAAAHuTb6A=")</f>
        <v>#REF!</v>
      </c>
      <c r="FF29" t="e">
        <f>AND(Heaters!#REF!,"AAAAAHuTb6E=")</f>
        <v>#REF!</v>
      </c>
      <c r="FG29" t="e">
        <f>AND(Heaters!#REF!,"AAAAAHuTb6I=")</f>
        <v>#REF!</v>
      </c>
      <c r="FH29" t="e">
        <f>AND(Heaters!#REF!,"AAAAAHuTb6M=")</f>
        <v>#REF!</v>
      </c>
      <c r="FI29" t="e">
        <f>AND(Heaters!#REF!,"AAAAAHuTb6Q=")</f>
        <v>#REF!</v>
      </c>
      <c r="FJ29" t="e">
        <f>AND(Heaters!#REF!,"AAAAAHuTb6U=")</f>
        <v>#REF!</v>
      </c>
      <c r="FK29" t="e">
        <f>AND(Heaters!#REF!,"AAAAAHuTb6Y=")</f>
        <v>#REF!</v>
      </c>
      <c r="FL29" t="e">
        <f>AND(Heaters!#REF!,"AAAAAHuTb6c=")</f>
        <v>#REF!</v>
      </c>
      <c r="FM29" t="e">
        <f>AND(Heaters!#REF!,"AAAAAHuTb6g=")</f>
        <v>#REF!</v>
      </c>
      <c r="FN29" t="e">
        <f>AND(Heaters!#REF!,"AAAAAHuTb6k=")</f>
        <v>#REF!</v>
      </c>
      <c r="FO29" t="e">
        <f>AND(Heaters!#REF!,"AAAAAHuTb6o=")</f>
        <v>#REF!</v>
      </c>
      <c r="FP29" t="e">
        <f>IF(Heaters!#REF!,"AAAAAHuTb6s=",0)</f>
        <v>#REF!</v>
      </c>
      <c r="FQ29" t="e">
        <f>AND(Heaters!#REF!,"AAAAAHuTb6w=")</f>
        <v>#REF!</v>
      </c>
      <c r="FR29" t="e">
        <f>AND(Heaters!#REF!,"AAAAAHuTb60=")</f>
        <v>#REF!</v>
      </c>
      <c r="FS29" t="e">
        <f>AND(Heaters!#REF!,"AAAAAHuTb64=")</f>
        <v>#REF!</v>
      </c>
      <c r="FT29" t="e">
        <f>AND(Heaters!#REF!,"AAAAAHuTb68=")</f>
        <v>#REF!</v>
      </c>
      <c r="FU29" t="e">
        <f>AND(Heaters!#REF!,"AAAAAHuTb7A=")</f>
        <v>#REF!</v>
      </c>
      <c r="FV29" t="e">
        <f>AND(Heaters!#REF!,"AAAAAHuTb7E=")</f>
        <v>#REF!</v>
      </c>
      <c r="FW29" t="e">
        <f>AND(Heaters!#REF!,"AAAAAHuTb7I=")</f>
        <v>#REF!</v>
      </c>
      <c r="FX29" t="e">
        <f>AND(Heaters!#REF!,"AAAAAHuTb7M=")</f>
        <v>#REF!</v>
      </c>
      <c r="FY29" t="e">
        <f>AND(Heaters!#REF!,"AAAAAHuTb7Q=")</f>
        <v>#REF!</v>
      </c>
      <c r="FZ29" t="e">
        <f>AND(Heaters!#REF!,"AAAAAHuTb7U=")</f>
        <v>#REF!</v>
      </c>
      <c r="GA29" t="e">
        <f>AND(Heaters!#REF!,"AAAAAHuTb7Y=")</f>
        <v>#REF!</v>
      </c>
      <c r="GB29" t="e">
        <f>AND(Heaters!#REF!,"AAAAAHuTb7c=")</f>
        <v>#REF!</v>
      </c>
      <c r="GC29" t="e">
        <f>AND(Heaters!#REF!,"AAAAAHuTb7g=")</f>
        <v>#REF!</v>
      </c>
      <c r="GD29" t="e">
        <f>AND(Heaters!#REF!,"AAAAAHuTb7k=")</f>
        <v>#REF!</v>
      </c>
      <c r="GE29" t="e">
        <f>AND(Heaters!#REF!,"AAAAAHuTb7o=")</f>
        <v>#REF!</v>
      </c>
      <c r="GF29" t="e">
        <f>IF(Heaters!#REF!,"AAAAAHuTb7s=",0)</f>
        <v>#REF!</v>
      </c>
      <c r="GG29" t="e">
        <f>AND(Heaters!#REF!,"AAAAAHuTb7w=")</f>
        <v>#REF!</v>
      </c>
      <c r="GH29" t="e">
        <f>AND(Heaters!#REF!,"AAAAAHuTb70=")</f>
        <v>#REF!</v>
      </c>
      <c r="GI29" t="e">
        <f>AND(Heaters!#REF!,"AAAAAHuTb74=")</f>
        <v>#REF!</v>
      </c>
      <c r="GJ29" t="e">
        <f>AND(Heaters!#REF!,"AAAAAHuTb78=")</f>
        <v>#REF!</v>
      </c>
      <c r="GK29" t="e">
        <f>AND(Heaters!#REF!,"AAAAAHuTb8A=")</f>
        <v>#REF!</v>
      </c>
      <c r="GL29" t="e">
        <f>AND(Heaters!#REF!,"AAAAAHuTb8E=")</f>
        <v>#REF!</v>
      </c>
      <c r="GM29" t="e">
        <f>AND(Heaters!#REF!,"AAAAAHuTb8I=")</f>
        <v>#REF!</v>
      </c>
      <c r="GN29" t="e">
        <f>AND(Heaters!#REF!,"AAAAAHuTb8M=")</f>
        <v>#REF!</v>
      </c>
      <c r="GO29" t="e">
        <f>AND(Heaters!#REF!,"AAAAAHuTb8Q=")</f>
        <v>#REF!</v>
      </c>
      <c r="GP29" t="e">
        <f>AND(Heaters!#REF!,"AAAAAHuTb8U=")</f>
        <v>#REF!</v>
      </c>
      <c r="GQ29" t="e">
        <f>AND(Heaters!#REF!,"AAAAAHuTb8Y=")</f>
        <v>#REF!</v>
      </c>
      <c r="GR29" t="e">
        <f>AND(Heaters!#REF!,"AAAAAHuTb8c=")</f>
        <v>#REF!</v>
      </c>
      <c r="GS29" t="e">
        <f>AND(Heaters!#REF!,"AAAAAHuTb8g=")</f>
        <v>#REF!</v>
      </c>
      <c r="GT29" t="e">
        <f>AND(Heaters!#REF!,"AAAAAHuTb8k=")</f>
        <v>#REF!</v>
      </c>
      <c r="GU29" t="e">
        <f>AND(Heaters!#REF!,"AAAAAHuTb8o=")</f>
        <v>#REF!</v>
      </c>
      <c r="GV29" t="e">
        <f>IF(Heaters!#REF!,"AAAAAHuTb8s=",0)</f>
        <v>#REF!</v>
      </c>
      <c r="GW29" t="e">
        <f>AND(Heaters!#REF!,"AAAAAHuTb8w=")</f>
        <v>#REF!</v>
      </c>
      <c r="GX29" t="e">
        <f>AND(Heaters!#REF!,"AAAAAHuTb80=")</f>
        <v>#REF!</v>
      </c>
      <c r="GY29" t="e">
        <f>AND(Heaters!#REF!,"AAAAAHuTb84=")</f>
        <v>#REF!</v>
      </c>
      <c r="GZ29" t="e">
        <f>AND(Heaters!#REF!,"AAAAAHuTb88=")</f>
        <v>#REF!</v>
      </c>
      <c r="HA29" t="e">
        <f>AND(Heaters!#REF!,"AAAAAHuTb9A=")</f>
        <v>#REF!</v>
      </c>
      <c r="HB29" t="e">
        <f>AND(Heaters!#REF!,"AAAAAHuTb9E=")</f>
        <v>#REF!</v>
      </c>
      <c r="HC29" t="e">
        <f>AND(Heaters!#REF!,"AAAAAHuTb9I=")</f>
        <v>#REF!</v>
      </c>
      <c r="HD29" t="e">
        <f>AND(Heaters!#REF!,"AAAAAHuTb9M=")</f>
        <v>#REF!</v>
      </c>
      <c r="HE29" t="e">
        <f>AND(Heaters!#REF!,"AAAAAHuTb9Q=")</f>
        <v>#REF!</v>
      </c>
      <c r="HF29" t="e">
        <f>AND(Heaters!#REF!,"AAAAAHuTb9U=")</f>
        <v>#REF!</v>
      </c>
      <c r="HG29" t="e">
        <f>AND(Heaters!#REF!,"AAAAAHuTb9Y=")</f>
        <v>#REF!</v>
      </c>
      <c r="HH29" t="e">
        <f>AND(Heaters!#REF!,"AAAAAHuTb9c=")</f>
        <v>#REF!</v>
      </c>
      <c r="HI29" t="e">
        <f>AND(Heaters!#REF!,"AAAAAHuTb9g=")</f>
        <v>#REF!</v>
      </c>
      <c r="HJ29" t="e">
        <f>AND(Heaters!#REF!,"AAAAAHuTb9k=")</f>
        <v>#REF!</v>
      </c>
      <c r="HK29" t="e">
        <f>AND(Heaters!#REF!,"AAAAAHuTb9o=")</f>
        <v>#REF!</v>
      </c>
      <c r="HL29" t="e">
        <f>IF(Heaters!#REF!,"AAAAAHuTb9s=",0)</f>
        <v>#REF!</v>
      </c>
      <c r="HM29" t="e">
        <f>AND(Heaters!#REF!,"AAAAAHuTb9w=")</f>
        <v>#REF!</v>
      </c>
      <c r="HN29" t="e">
        <f>AND(Heaters!#REF!,"AAAAAHuTb90=")</f>
        <v>#REF!</v>
      </c>
      <c r="HO29" t="e">
        <f>AND(Heaters!#REF!,"AAAAAHuTb94=")</f>
        <v>#REF!</v>
      </c>
      <c r="HP29" t="e">
        <f>AND(Heaters!#REF!,"AAAAAHuTb98=")</f>
        <v>#REF!</v>
      </c>
      <c r="HQ29" t="e">
        <f>AND(Heaters!#REF!,"AAAAAHuTb+A=")</f>
        <v>#REF!</v>
      </c>
      <c r="HR29" t="e">
        <f>AND(Heaters!#REF!,"AAAAAHuTb+E=")</f>
        <v>#REF!</v>
      </c>
      <c r="HS29" t="e">
        <f>AND(Heaters!#REF!,"AAAAAHuTb+I=")</f>
        <v>#REF!</v>
      </c>
      <c r="HT29" t="e">
        <f>AND(Heaters!#REF!,"AAAAAHuTb+M=")</f>
        <v>#REF!</v>
      </c>
      <c r="HU29" t="e">
        <f>AND(Heaters!#REF!,"AAAAAHuTb+Q=")</f>
        <v>#REF!</v>
      </c>
      <c r="HV29" t="e">
        <f>AND(Heaters!#REF!,"AAAAAHuTb+U=")</f>
        <v>#REF!</v>
      </c>
      <c r="HW29" t="e">
        <f>AND(Heaters!#REF!,"AAAAAHuTb+Y=")</f>
        <v>#REF!</v>
      </c>
      <c r="HX29" t="e">
        <f>AND(Heaters!#REF!,"AAAAAHuTb+c=")</f>
        <v>#REF!</v>
      </c>
      <c r="HY29" t="e">
        <f>AND(Heaters!#REF!,"AAAAAHuTb+g=")</f>
        <v>#REF!</v>
      </c>
      <c r="HZ29" t="e">
        <f>AND(Heaters!#REF!,"AAAAAHuTb+k=")</f>
        <v>#REF!</v>
      </c>
      <c r="IA29" t="e">
        <f>AND(Heaters!#REF!,"AAAAAHuTb+o=")</f>
        <v>#REF!</v>
      </c>
      <c r="IB29" t="e">
        <f>IF(Heaters!#REF!,"AAAAAHuTb+s=",0)</f>
        <v>#REF!</v>
      </c>
      <c r="IC29" t="e">
        <f>AND(Heaters!#REF!,"AAAAAHuTb+w=")</f>
        <v>#REF!</v>
      </c>
      <c r="ID29" t="e">
        <f>AND(Heaters!#REF!,"AAAAAHuTb+0=")</f>
        <v>#REF!</v>
      </c>
      <c r="IE29" t="e">
        <f>AND(Heaters!#REF!,"AAAAAHuTb+4=")</f>
        <v>#REF!</v>
      </c>
      <c r="IF29" t="e">
        <f>AND(Heaters!#REF!,"AAAAAHuTb+8=")</f>
        <v>#REF!</v>
      </c>
      <c r="IG29" t="e">
        <f>AND(Heaters!#REF!,"AAAAAHuTb/A=")</f>
        <v>#REF!</v>
      </c>
      <c r="IH29" t="e">
        <f>AND(Heaters!#REF!,"AAAAAHuTb/E=")</f>
        <v>#REF!</v>
      </c>
      <c r="II29" t="e">
        <f>AND(Heaters!#REF!,"AAAAAHuTb/I=")</f>
        <v>#REF!</v>
      </c>
      <c r="IJ29" t="e">
        <f>AND(Heaters!#REF!,"AAAAAHuTb/M=")</f>
        <v>#REF!</v>
      </c>
      <c r="IK29" t="e">
        <f>AND(Heaters!#REF!,"AAAAAHuTb/Q=")</f>
        <v>#REF!</v>
      </c>
      <c r="IL29" t="e">
        <f>AND(Heaters!#REF!,"AAAAAHuTb/U=")</f>
        <v>#REF!</v>
      </c>
      <c r="IM29" t="e">
        <f>AND(Heaters!#REF!,"AAAAAHuTb/Y=")</f>
        <v>#REF!</v>
      </c>
      <c r="IN29" t="e">
        <f>AND(Heaters!#REF!,"AAAAAHuTb/c=")</f>
        <v>#REF!</v>
      </c>
      <c r="IO29" t="e">
        <f>AND(Heaters!#REF!,"AAAAAHuTb/g=")</f>
        <v>#REF!</v>
      </c>
      <c r="IP29" t="e">
        <f>AND(Heaters!#REF!,"AAAAAHuTb/k=")</f>
        <v>#REF!</v>
      </c>
      <c r="IQ29" t="e">
        <f>AND(Heaters!#REF!,"AAAAAHuTb/o=")</f>
        <v>#REF!</v>
      </c>
      <c r="IR29" t="e">
        <f>IF(Heaters!#REF!,"AAAAAHuTb/s=",0)</f>
        <v>#REF!</v>
      </c>
      <c r="IS29" t="e">
        <f>AND(Heaters!#REF!,"AAAAAHuTb/w=")</f>
        <v>#REF!</v>
      </c>
      <c r="IT29" t="e">
        <f>AND(Heaters!#REF!,"AAAAAHuTb/0=")</f>
        <v>#REF!</v>
      </c>
      <c r="IU29" t="e">
        <f>AND(Heaters!#REF!,"AAAAAHuTb/4=")</f>
        <v>#REF!</v>
      </c>
      <c r="IV29" t="e">
        <f>AND(Heaters!#REF!,"AAAAAHuTb/8=")</f>
        <v>#REF!</v>
      </c>
    </row>
    <row r="30" spans="1:256" x14ac:dyDescent="0.2">
      <c r="A30" t="e">
        <f>AND(Heaters!#REF!,"AAAAAFLo7wA=")</f>
        <v>#REF!</v>
      </c>
      <c r="B30" t="e">
        <f>AND(Heaters!#REF!,"AAAAAFLo7wE=")</f>
        <v>#REF!</v>
      </c>
      <c r="C30" t="e">
        <f>AND(Heaters!#REF!,"AAAAAFLo7wI=")</f>
        <v>#REF!</v>
      </c>
      <c r="D30" t="e">
        <f>AND(Heaters!#REF!,"AAAAAFLo7wM=")</f>
        <v>#REF!</v>
      </c>
      <c r="E30" t="e">
        <f>AND(Heaters!#REF!,"AAAAAFLo7wQ=")</f>
        <v>#REF!</v>
      </c>
      <c r="F30" t="e">
        <f>AND(Heaters!#REF!,"AAAAAFLo7wU=")</f>
        <v>#REF!</v>
      </c>
      <c r="G30" t="e">
        <f>AND(Heaters!#REF!,"AAAAAFLo7wY=")</f>
        <v>#REF!</v>
      </c>
      <c r="H30" t="e">
        <f>AND(Heaters!#REF!,"AAAAAFLo7wc=")</f>
        <v>#REF!</v>
      </c>
      <c r="I30" t="e">
        <f>AND(Heaters!#REF!,"AAAAAFLo7wg=")</f>
        <v>#REF!</v>
      </c>
      <c r="J30" t="e">
        <f>AND(Heaters!#REF!,"AAAAAFLo7wk=")</f>
        <v>#REF!</v>
      </c>
      <c r="K30" t="e">
        <f>AND(Heaters!#REF!,"AAAAAFLo7wo=")</f>
        <v>#REF!</v>
      </c>
      <c r="L30">
        <f>IF(Heaters!41:41,"AAAAAFLo7ws=",0)</f>
        <v>0</v>
      </c>
      <c r="M30" t="e">
        <f>AND(Heaters!A41,"AAAAAFLo7ww=")</f>
        <v>#VALUE!</v>
      </c>
      <c r="N30" t="e">
        <f>AND(Heaters!B41,"AAAAAFLo7w0=")</f>
        <v>#VALUE!</v>
      </c>
      <c r="O30" t="e">
        <f>AND(Heaters!C41,"AAAAAFLo7w4=")</f>
        <v>#VALUE!</v>
      </c>
      <c r="P30" t="e">
        <f>AND(Heaters!D41,"AAAAAFLo7w8=")</f>
        <v>#VALUE!</v>
      </c>
      <c r="Q30" t="e">
        <f>AND(Heaters!E41,"AAAAAFLo7xA=")</f>
        <v>#VALUE!</v>
      </c>
      <c r="R30" t="e">
        <f>AND(Heaters!F41,"AAAAAFLo7xE=")</f>
        <v>#VALUE!</v>
      </c>
      <c r="S30" t="e">
        <f>AND(Heaters!G41,"AAAAAFLo7xI=")</f>
        <v>#VALUE!</v>
      </c>
      <c r="T30" t="e">
        <f>AND(Heaters!H41,"AAAAAFLo7xM=")</f>
        <v>#VALUE!</v>
      </c>
      <c r="U30" t="e">
        <f>AND(Heaters!I41,"AAAAAFLo7xQ=")</f>
        <v>#VALUE!</v>
      </c>
      <c r="V30" t="e">
        <f>AND(Heaters!J41,"AAAAAFLo7xU=")</f>
        <v>#VALUE!</v>
      </c>
      <c r="W30" t="e">
        <f>AND(Heaters!K41,"AAAAAFLo7xY=")</f>
        <v>#VALUE!</v>
      </c>
      <c r="X30" t="e">
        <f>AND(Heaters!L41,"AAAAAFLo7xc=")</f>
        <v>#VALUE!</v>
      </c>
      <c r="Y30" t="e">
        <f>AND(Heaters!M41,"AAAAAFLo7xg=")</f>
        <v>#VALUE!</v>
      </c>
      <c r="Z30" t="e">
        <f>AND(Heaters!N41,"AAAAAFLo7xk=")</f>
        <v>#VALUE!</v>
      </c>
      <c r="AA30" t="e">
        <f>AND(Heaters!O41,"AAAAAFLo7xo=")</f>
        <v>#VALUE!</v>
      </c>
      <c r="AB30">
        <f>IF(Heaters!42:42,"AAAAAFLo7xs=",0)</f>
        <v>0</v>
      </c>
      <c r="AC30" t="e">
        <f>AND(Heaters!A42,"AAAAAFLo7xw=")</f>
        <v>#VALUE!</v>
      </c>
      <c r="AD30" t="e">
        <f>AND(Heaters!B42,"AAAAAFLo7x0=")</f>
        <v>#VALUE!</v>
      </c>
      <c r="AE30" t="e">
        <f>AND(Heaters!C42,"AAAAAFLo7x4=")</f>
        <v>#VALUE!</v>
      </c>
      <c r="AF30" t="e">
        <f>AND(Heaters!D42,"AAAAAFLo7x8=")</f>
        <v>#VALUE!</v>
      </c>
      <c r="AG30" t="e">
        <f>AND(Heaters!E42,"AAAAAFLo7yA=")</f>
        <v>#VALUE!</v>
      </c>
      <c r="AH30" t="e">
        <f>AND(Heaters!F42,"AAAAAFLo7yE=")</f>
        <v>#VALUE!</v>
      </c>
      <c r="AI30" t="e">
        <f>AND(Heaters!G42,"AAAAAFLo7yI=")</f>
        <v>#VALUE!</v>
      </c>
      <c r="AJ30" t="e">
        <f>AND(Heaters!H42,"AAAAAFLo7yM=")</f>
        <v>#VALUE!</v>
      </c>
      <c r="AK30" t="e">
        <f>AND(Heaters!I42,"AAAAAFLo7yQ=")</f>
        <v>#VALUE!</v>
      </c>
      <c r="AL30" t="e">
        <f>AND(Heaters!J42,"AAAAAFLo7yU=")</f>
        <v>#VALUE!</v>
      </c>
      <c r="AM30" t="e">
        <f>AND(Heaters!K42,"AAAAAFLo7yY=")</f>
        <v>#VALUE!</v>
      </c>
      <c r="AN30" t="e">
        <f>AND(Heaters!L42,"AAAAAFLo7yc=")</f>
        <v>#VALUE!</v>
      </c>
      <c r="AO30" t="e">
        <f>AND(Heaters!M42,"AAAAAFLo7yg=")</f>
        <v>#VALUE!</v>
      </c>
      <c r="AP30" t="e">
        <f>AND(Heaters!N42,"AAAAAFLo7yk=")</f>
        <v>#VALUE!</v>
      </c>
      <c r="AQ30" t="e">
        <f>AND(Heaters!O42,"AAAAAFLo7yo=")</f>
        <v>#VALUE!</v>
      </c>
      <c r="AR30" t="e">
        <f>IF(Heaters!#REF!,"AAAAAFLo7ys=",0)</f>
        <v>#REF!</v>
      </c>
      <c r="AS30" t="e">
        <f>AND(Heaters!#REF!,"AAAAAFLo7yw=")</f>
        <v>#REF!</v>
      </c>
      <c r="AT30" t="e">
        <f>AND(Heaters!#REF!,"AAAAAFLo7y0=")</f>
        <v>#REF!</v>
      </c>
      <c r="AU30" t="e">
        <f>AND(Heaters!#REF!,"AAAAAFLo7y4=")</f>
        <v>#REF!</v>
      </c>
      <c r="AV30" t="e">
        <f>AND(Heaters!#REF!,"AAAAAFLo7y8=")</f>
        <v>#REF!</v>
      </c>
      <c r="AW30" t="e">
        <f>AND(Heaters!#REF!,"AAAAAFLo7zA=")</f>
        <v>#REF!</v>
      </c>
      <c r="AX30" t="e">
        <f>AND(Heaters!#REF!,"AAAAAFLo7zE=")</f>
        <v>#REF!</v>
      </c>
      <c r="AY30" t="e">
        <f>AND(Heaters!#REF!,"AAAAAFLo7zI=")</f>
        <v>#REF!</v>
      </c>
      <c r="AZ30" t="e">
        <f>AND(Heaters!#REF!,"AAAAAFLo7zM=")</f>
        <v>#REF!</v>
      </c>
      <c r="BA30" t="e">
        <f>AND(Heaters!#REF!,"AAAAAFLo7zQ=")</f>
        <v>#REF!</v>
      </c>
      <c r="BB30" t="e">
        <f>AND(Heaters!#REF!,"AAAAAFLo7zU=")</f>
        <v>#REF!</v>
      </c>
      <c r="BC30" t="e">
        <f>AND(Heaters!#REF!,"AAAAAFLo7zY=")</f>
        <v>#REF!</v>
      </c>
      <c r="BD30" t="e">
        <f>AND(Heaters!#REF!,"AAAAAFLo7zc=")</f>
        <v>#REF!</v>
      </c>
      <c r="BE30" t="e">
        <f>AND(Heaters!#REF!,"AAAAAFLo7zg=")</f>
        <v>#REF!</v>
      </c>
      <c r="BF30" t="e">
        <f>AND(Heaters!#REF!,"AAAAAFLo7zk=")</f>
        <v>#REF!</v>
      </c>
      <c r="BG30" t="e">
        <f>AND(Heaters!#REF!,"AAAAAFLo7zo=")</f>
        <v>#REF!</v>
      </c>
      <c r="BH30" t="e">
        <f>IF(Heaters!#REF!,"AAAAAFLo7zs=",0)</f>
        <v>#REF!</v>
      </c>
      <c r="BI30" t="e">
        <f>AND(Heaters!#REF!,"AAAAAFLo7zw=")</f>
        <v>#REF!</v>
      </c>
      <c r="BJ30" t="e">
        <f>AND(Heaters!#REF!,"AAAAAFLo7z0=")</f>
        <v>#REF!</v>
      </c>
      <c r="BK30" t="e">
        <f>AND(Heaters!#REF!,"AAAAAFLo7z4=")</f>
        <v>#REF!</v>
      </c>
      <c r="BL30" t="e">
        <f>AND(Heaters!#REF!,"AAAAAFLo7z8=")</f>
        <v>#REF!</v>
      </c>
      <c r="BM30" t="e">
        <f>AND(Heaters!#REF!,"AAAAAFLo70A=")</f>
        <v>#REF!</v>
      </c>
      <c r="BN30" t="e">
        <f>AND(Heaters!#REF!,"AAAAAFLo70E=")</f>
        <v>#REF!</v>
      </c>
      <c r="BO30" t="e">
        <f>AND(Heaters!#REF!,"AAAAAFLo70I=")</f>
        <v>#REF!</v>
      </c>
      <c r="BP30" t="e">
        <f>AND(Heaters!#REF!,"AAAAAFLo70M=")</f>
        <v>#REF!</v>
      </c>
      <c r="BQ30" t="e">
        <f>AND(Heaters!#REF!,"AAAAAFLo70Q=")</f>
        <v>#REF!</v>
      </c>
      <c r="BR30" t="e">
        <f>AND(Heaters!#REF!,"AAAAAFLo70U=")</f>
        <v>#REF!</v>
      </c>
      <c r="BS30" t="e">
        <f>AND(Heaters!#REF!,"AAAAAFLo70Y=")</f>
        <v>#REF!</v>
      </c>
      <c r="BT30" t="e">
        <f>AND(Heaters!#REF!,"AAAAAFLo70c=")</f>
        <v>#REF!</v>
      </c>
      <c r="BU30" t="e">
        <f>AND(Heaters!#REF!,"AAAAAFLo70g=")</f>
        <v>#REF!</v>
      </c>
      <c r="BV30" t="e">
        <f>AND(Heaters!#REF!,"AAAAAFLo70k=")</f>
        <v>#REF!</v>
      </c>
      <c r="BW30" t="e">
        <f>AND(Heaters!#REF!,"AAAAAFLo70o=")</f>
        <v>#REF!</v>
      </c>
      <c r="BX30" t="e">
        <f>IF(Heaters!#REF!,"AAAAAFLo70s=",0)</f>
        <v>#REF!</v>
      </c>
      <c r="BY30" t="e">
        <f>AND(Heaters!#REF!,"AAAAAFLo70w=")</f>
        <v>#REF!</v>
      </c>
      <c r="BZ30" t="e">
        <f>AND(Heaters!#REF!,"AAAAAFLo700=")</f>
        <v>#REF!</v>
      </c>
      <c r="CA30" t="e">
        <f>AND(Heaters!#REF!,"AAAAAFLo704=")</f>
        <v>#REF!</v>
      </c>
      <c r="CB30" t="e">
        <f>AND(Heaters!#REF!,"AAAAAFLo708=")</f>
        <v>#REF!</v>
      </c>
      <c r="CC30" t="e">
        <f>AND(Heaters!#REF!,"AAAAAFLo71A=")</f>
        <v>#REF!</v>
      </c>
      <c r="CD30" t="e">
        <f>AND(Heaters!#REF!,"AAAAAFLo71E=")</f>
        <v>#REF!</v>
      </c>
      <c r="CE30" t="e">
        <f>AND(Heaters!#REF!,"AAAAAFLo71I=")</f>
        <v>#REF!</v>
      </c>
      <c r="CF30" t="e">
        <f>AND(Heaters!#REF!,"AAAAAFLo71M=")</f>
        <v>#REF!</v>
      </c>
      <c r="CG30" t="e">
        <f>AND(Heaters!#REF!,"AAAAAFLo71Q=")</f>
        <v>#REF!</v>
      </c>
      <c r="CH30" t="e">
        <f>AND(Heaters!#REF!,"AAAAAFLo71U=")</f>
        <v>#REF!</v>
      </c>
      <c r="CI30" t="e">
        <f>AND(Heaters!#REF!,"AAAAAFLo71Y=")</f>
        <v>#REF!</v>
      </c>
      <c r="CJ30" t="e">
        <f>AND(Heaters!#REF!,"AAAAAFLo71c=")</f>
        <v>#REF!</v>
      </c>
      <c r="CK30" t="e">
        <f>AND(Heaters!#REF!,"AAAAAFLo71g=")</f>
        <v>#REF!</v>
      </c>
      <c r="CL30" t="e">
        <f>AND(Heaters!#REF!,"AAAAAFLo71k=")</f>
        <v>#REF!</v>
      </c>
      <c r="CM30" t="e">
        <f>AND(Heaters!#REF!,"AAAAAFLo71o=")</f>
        <v>#REF!</v>
      </c>
      <c r="CN30" t="e">
        <f>IF(Heaters!#REF!,"AAAAAFLo71s=",0)</f>
        <v>#REF!</v>
      </c>
      <c r="CO30" t="e">
        <f>AND(Heaters!#REF!,"AAAAAFLo71w=")</f>
        <v>#REF!</v>
      </c>
      <c r="CP30" t="e">
        <f>AND(Heaters!#REF!,"AAAAAFLo710=")</f>
        <v>#REF!</v>
      </c>
      <c r="CQ30" t="e">
        <f>AND(Heaters!#REF!,"AAAAAFLo714=")</f>
        <v>#REF!</v>
      </c>
      <c r="CR30" t="e">
        <f>AND(Heaters!#REF!,"AAAAAFLo718=")</f>
        <v>#REF!</v>
      </c>
      <c r="CS30" t="e">
        <f>AND(Heaters!#REF!,"AAAAAFLo72A=")</f>
        <v>#REF!</v>
      </c>
      <c r="CT30" t="e">
        <f>AND(Heaters!#REF!,"AAAAAFLo72E=")</f>
        <v>#REF!</v>
      </c>
      <c r="CU30" t="e">
        <f>AND(Heaters!#REF!,"AAAAAFLo72I=")</f>
        <v>#REF!</v>
      </c>
      <c r="CV30" t="e">
        <f>AND(Heaters!#REF!,"AAAAAFLo72M=")</f>
        <v>#REF!</v>
      </c>
      <c r="CW30" t="e">
        <f>AND(Heaters!#REF!,"AAAAAFLo72Q=")</f>
        <v>#REF!</v>
      </c>
      <c r="CX30" t="e">
        <f>AND(Heaters!#REF!,"AAAAAFLo72U=")</f>
        <v>#REF!</v>
      </c>
      <c r="CY30" t="e">
        <f>AND(Heaters!#REF!,"AAAAAFLo72Y=")</f>
        <v>#REF!</v>
      </c>
      <c r="CZ30" t="e">
        <f>AND(Heaters!#REF!,"AAAAAFLo72c=")</f>
        <v>#REF!</v>
      </c>
      <c r="DA30" t="e">
        <f>AND(Heaters!#REF!,"AAAAAFLo72g=")</f>
        <v>#REF!</v>
      </c>
      <c r="DB30" t="e">
        <f>AND(Heaters!#REF!,"AAAAAFLo72k=")</f>
        <v>#REF!</v>
      </c>
      <c r="DC30" t="e">
        <f>AND(Heaters!#REF!,"AAAAAFLo72o=")</f>
        <v>#REF!</v>
      </c>
      <c r="DD30" t="e">
        <f>IF(Heaters!#REF!,"AAAAAFLo72s=",0)</f>
        <v>#REF!</v>
      </c>
      <c r="DE30" t="e">
        <f>AND(Heaters!#REF!,"AAAAAFLo72w=")</f>
        <v>#REF!</v>
      </c>
      <c r="DF30" t="e">
        <f>AND(Heaters!#REF!,"AAAAAFLo720=")</f>
        <v>#REF!</v>
      </c>
      <c r="DG30" t="e">
        <f>AND(Heaters!#REF!,"AAAAAFLo724=")</f>
        <v>#REF!</v>
      </c>
      <c r="DH30" t="e">
        <f>AND(Heaters!#REF!,"AAAAAFLo728=")</f>
        <v>#REF!</v>
      </c>
      <c r="DI30" t="e">
        <f>AND(Heaters!#REF!,"AAAAAFLo73A=")</f>
        <v>#REF!</v>
      </c>
      <c r="DJ30" t="e">
        <f>AND(Heaters!#REF!,"AAAAAFLo73E=")</f>
        <v>#REF!</v>
      </c>
      <c r="DK30" t="e">
        <f>AND(Heaters!#REF!,"AAAAAFLo73I=")</f>
        <v>#REF!</v>
      </c>
      <c r="DL30" t="e">
        <f>AND(Heaters!#REF!,"AAAAAFLo73M=")</f>
        <v>#REF!</v>
      </c>
      <c r="DM30" t="e">
        <f>AND(Heaters!#REF!,"AAAAAFLo73Q=")</f>
        <v>#REF!</v>
      </c>
      <c r="DN30" t="e">
        <f>AND(Heaters!#REF!,"AAAAAFLo73U=")</f>
        <v>#REF!</v>
      </c>
      <c r="DO30" t="e">
        <f>AND(Heaters!#REF!,"AAAAAFLo73Y=")</f>
        <v>#REF!</v>
      </c>
      <c r="DP30" t="e">
        <f>AND(Heaters!#REF!,"AAAAAFLo73c=")</f>
        <v>#REF!</v>
      </c>
      <c r="DQ30" t="e">
        <f>AND(Heaters!#REF!,"AAAAAFLo73g=")</f>
        <v>#REF!</v>
      </c>
      <c r="DR30" t="e">
        <f>AND(Heaters!#REF!,"AAAAAFLo73k=")</f>
        <v>#REF!</v>
      </c>
      <c r="DS30" t="e">
        <f>AND(Heaters!#REF!,"AAAAAFLo73o=")</f>
        <v>#REF!</v>
      </c>
      <c r="DT30" t="e">
        <f>IF(Heaters!#REF!,"AAAAAFLo73s=",0)</f>
        <v>#REF!</v>
      </c>
      <c r="DU30" t="e">
        <f>AND(Heaters!#REF!,"AAAAAFLo73w=")</f>
        <v>#REF!</v>
      </c>
      <c r="DV30" t="e">
        <f>AND(Heaters!#REF!,"AAAAAFLo730=")</f>
        <v>#REF!</v>
      </c>
      <c r="DW30" t="e">
        <f>AND(Heaters!#REF!,"AAAAAFLo734=")</f>
        <v>#REF!</v>
      </c>
      <c r="DX30" t="e">
        <f>AND(Heaters!#REF!,"AAAAAFLo738=")</f>
        <v>#REF!</v>
      </c>
      <c r="DY30" t="e">
        <f>AND(Heaters!#REF!,"AAAAAFLo74A=")</f>
        <v>#REF!</v>
      </c>
      <c r="DZ30" t="e">
        <f>AND(Heaters!#REF!,"AAAAAFLo74E=")</f>
        <v>#REF!</v>
      </c>
      <c r="EA30" t="e">
        <f>AND(Heaters!#REF!,"AAAAAFLo74I=")</f>
        <v>#REF!</v>
      </c>
      <c r="EB30" t="e">
        <f>AND(Heaters!#REF!,"AAAAAFLo74M=")</f>
        <v>#REF!</v>
      </c>
      <c r="EC30" t="e">
        <f>AND(Heaters!#REF!,"AAAAAFLo74Q=")</f>
        <v>#REF!</v>
      </c>
      <c r="ED30" t="e">
        <f>AND(Heaters!#REF!,"AAAAAFLo74U=")</f>
        <v>#REF!</v>
      </c>
      <c r="EE30" t="e">
        <f>AND(Heaters!#REF!,"AAAAAFLo74Y=")</f>
        <v>#REF!</v>
      </c>
      <c r="EF30" t="e">
        <f>AND(Heaters!#REF!,"AAAAAFLo74c=")</f>
        <v>#REF!</v>
      </c>
      <c r="EG30" t="e">
        <f>AND(Heaters!#REF!,"AAAAAFLo74g=")</f>
        <v>#REF!</v>
      </c>
      <c r="EH30" t="e">
        <f>AND(Heaters!#REF!,"AAAAAFLo74k=")</f>
        <v>#REF!</v>
      </c>
      <c r="EI30" t="e">
        <f>AND(Heaters!#REF!,"AAAAAFLo74o=")</f>
        <v>#REF!</v>
      </c>
      <c r="EJ30" t="e">
        <f>IF(Heaters!#REF!,"AAAAAFLo74s=",0)</f>
        <v>#REF!</v>
      </c>
      <c r="EK30" t="e">
        <f>AND(Heaters!#REF!,"AAAAAFLo74w=")</f>
        <v>#REF!</v>
      </c>
      <c r="EL30" t="e">
        <f>AND(Heaters!#REF!,"AAAAAFLo740=")</f>
        <v>#REF!</v>
      </c>
      <c r="EM30" t="e">
        <f>AND(Heaters!#REF!,"AAAAAFLo744=")</f>
        <v>#REF!</v>
      </c>
      <c r="EN30" t="e">
        <f>AND(Heaters!#REF!,"AAAAAFLo748=")</f>
        <v>#REF!</v>
      </c>
      <c r="EO30" t="e">
        <f>AND(Heaters!#REF!,"AAAAAFLo75A=")</f>
        <v>#REF!</v>
      </c>
      <c r="EP30" t="e">
        <f>AND(Heaters!#REF!,"AAAAAFLo75E=")</f>
        <v>#REF!</v>
      </c>
      <c r="EQ30" t="e">
        <f>AND(Heaters!#REF!,"AAAAAFLo75I=")</f>
        <v>#REF!</v>
      </c>
      <c r="ER30" t="e">
        <f>AND(Heaters!#REF!,"AAAAAFLo75M=")</f>
        <v>#REF!</v>
      </c>
      <c r="ES30" t="e">
        <f>AND(Heaters!#REF!,"AAAAAFLo75Q=")</f>
        <v>#REF!</v>
      </c>
      <c r="ET30" t="e">
        <f>AND(Heaters!#REF!,"AAAAAFLo75U=")</f>
        <v>#REF!</v>
      </c>
      <c r="EU30" t="e">
        <f>AND(Heaters!#REF!,"AAAAAFLo75Y=")</f>
        <v>#REF!</v>
      </c>
      <c r="EV30" t="e">
        <f>AND(Heaters!#REF!,"AAAAAFLo75c=")</f>
        <v>#REF!</v>
      </c>
      <c r="EW30" t="e">
        <f>AND(Heaters!#REF!,"AAAAAFLo75g=")</f>
        <v>#REF!</v>
      </c>
      <c r="EX30" t="e">
        <f>AND(Heaters!#REF!,"AAAAAFLo75k=")</f>
        <v>#REF!</v>
      </c>
      <c r="EY30" t="e">
        <f>AND(Heaters!#REF!,"AAAAAFLo75o=")</f>
        <v>#REF!</v>
      </c>
      <c r="EZ30" t="e">
        <f>IF(Heaters!#REF!,"AAAAAFLo75s=",0)</f>
        <v>#REF!</v>
      </c>
      <c r="FA30" t="e">
        <f>AND(Heaters!#REF!,"AAAAAFLo75w=")</f>
        <v>#REF!</v>
      </c>
      <c r="FB30" t="e">
        <f>AND(Heaters!#REF!,"AAAAAFLo750=")</f>
        <v>#REF!</v>
      </c>
      <c r="FC30" t="e">
        <f>AND(Heaters!#REF!,"AAAAAFLo754=")</f>
        <v>#REF!</v>
      </c>
      <c r="FD30" t="e">
        <f>AND(Heaters!#REF!,"AAAAAFLo758=")</f>
        <v>#REF!</v>
      </c>
      <c r="FE30" t="e">
        <f>AND(Heaters!#REF!,"AAAAAFLo76A=")</f>
        <v>#REF!</v>
      </c>
      <c r="FF30" t="e">
        <f>AND(Heaters!#REF!,"AAAAAFLo76E=")</f>
        <v>#REF!</v>
      </c>
      <c r="FG30" t="e">
        <f>AND(Heaters!#REF!,"AAAAAFLo76I=")</f>
        <v>#REF!</v>
      </c>
      <c r="FH30" t="e">
        <f>AND(Heaters!#REF!,"AAAAAFLo76M=")</f>
        <v>#REF!</v>
      </c>
      <c r="FI30" t="e">
        <f>AND(Heaters!#REF!,"AAAAAFLo76Q=")</f>
        <v>#REF!</v>
      </c>
      <c r="FJ30" t="e">
        <f>AND(Heaters!#REF!,"AAAAAFLo76U=")</f>
        <v>#REF!</v>
      </c>
      <c r="FK30" t="e">
        <f>AND(Heaters!#REF!,"AAAAAFLo76Y=")</f>
        <v>#REF!</v>
      </c>
      <c r="FL30" t="e">
        <f>AND(Heaters!#REF!,"AAAAAFLo76c=")</f>
        <v>#REF!</v>
      </c>
      <c r="FM30" t="e">
        <f>AND(Heaters!#REF!,"AAAAAFLo76g=")</f>
        <v>#REF!</v>
      </c>
      <c r="FN30" t="e">
        <f>AND(Heaters!#REF!,"AAAAAFLo76k=")</f>
        <v>#REF!</v>
      </c>
      <c r="FO30" t="e">
        <f>AND(Heaters!#REF!,"AAAAAFLo76o=")</f>
        <v>#REF!</v>
      </c>
      <c r="FP30" t="e">
        <f>IF(Heaters!#REF!,"AAAAAFLo76s=",0)</f>
        <v>#REF!</v>
      </c>
      <c r="FQ30" t="e">
        <f>AND(Heaters!#REF!,"AAAAAFLo76w=")</f>
        <v>#REF!</v>
      </c>
      <c r="FR30" t="e">
        <f>AND(Heaters!#REF!,"AAAAAFLo760=")</f>
        <v>#REF!</v>
      </c>
      <c r="FS30" t="e">
        <f>AND(Heaters!#REF!,"AAAAAFLo764=")</f>
        <v>#REF!</v>
      </c>
      <c r="FT30" t="e">
        <f>AND(Heaters!#REF!,"AAAAAFLo768=")</f>
        <v>#REF!</v>
      </c>
      <c r="FU30" t="e">
        <f>AND(Heaters!#REF!,"AAAAAFLo77A=")</f>
        <v>#REF!</v>
      </c>
      <c r="FV30" t="e">
        <f>AND(Heaters!#REF!,"AAAAAFLo77E=")</f>
        <v>#REF!</v>
      </c>
      <c r="FW30" t="e">
        <f>AND(Heaters!#REF!,"AAAAAFLo77I=")</f>
        <v>#REF!</v>
      </c>
      <c r="FX30" t="e">
        <f>AND(Heaters!#REF!,"AAAAAFLo77M=")</f>
        <v>#REF!</v>
      </c>
      <c r="FY30" t="e">
        <f>AND(Heaters!#REF!,"AAAAAFLo77Q=")</f>
        <v>#REF!</v>
      </c>
      <c r="FZ30" t="e">
        <f>AND(Heaters!#REF!,"AAAAAFLo77U=")</f>
        <v>#REF!</v>
      </c>
      <c r="GA30" t="e">
        <f>AND(Heaters!#REF!,"AAAAAFLo77Y=")</f>
        <v>#REF!</v>
      </c>
      <c r="GB30" t="e">
        <f>AND(Heaters!#REF!,"AAAAAFLo77c=")</f>
        <v>#REF!</v>
      </c>
      <c r="GC30" t="e">
        <f>AND(Heaters!#REF!,"AAAAAFLo77g=")</f>
        <v>#REF!</v>
      </c>
      <c r="GD30" t="e">
        <f>AND(Heaters!#REF!,"AAAAAFLo77k=")</f>
        <v>#REF!</v>
      </c>
      <c r="GE30" t="e">
        <f>AND(Heaters!#REF!,"AAAAAFLo77o=")</f>
        <v>#REF!</v>
      </c>
      <c r="GF30" t="e">
        <f>IF(Heaters!#REF!,"AAAAAFLo77s=",0)</f>
        <v>#REF!</v>
      </c>
      <c r="GG30" t="e">
        <f>AND(Heaters!#REF!,"AAAAAFLo77w=")</f>
        <v>#REF!</v>
      </c>
      <c r="GH30" t="e">
        <f>AND(Heaters!#REF!,"AAAAAFLo770=")</f>
        <v>#REF!</v>
      </c>
      <c r="GI30" t="e">
        <f>AND(Heaters!#REF!,"AAAAAFLo774=")</f>
        <v>#REF!</v>
      </c>
      <c r="GJ30" t="e">
        <f>AND(Heaters!#REF!,"AAAAAFLo778=")</f>
        <v>#REF!</v>
      </c>
      <c r="GK30" t="e">
        <f>AND(Heaters!#REF!,"AAAAAFLo78A=")</f>
        <v>#REF!</v>
      </c>
      <c r="GL30" t="e">
        <f>AND(Heaters!#REF!,"AAAAAFLo78E=")</f>
        <v>#REF!</v>
      </c>
      <c r="GM30" t="e">
        <f>AND(Heaters!#REF!,"AAAAAFLo78I=")</f>
        <v>#REF!</v>
      </c>
      <c r="GN30" t="e">
        <f>AND(Heaters!#REF!,"AAAAAFLo78M=")</f>
        <v>#REF!</v>
      </c>
      <c r="GO30" t="e">
        <f>AND(Heaters!#REF!,"AAAAAFLo78Q=")</f>
        <v>#REF!</v>
      </c>
      <c r="GP30" t="e">
        <f>AND(Heaters!#REF!,"AAAAAFLo78U=")</f>
        <v>#REF!</v>
      </c>
      <c r="GQ30" t="e">
        <f>AND(Heaters!#REF!,"AAAAAFLo78Y=")</f>
        <v>#REF!</v>
      </c>
      <c r="GR30" t="e">
        <f>AND(Heaters!#REF!,"AAAAAFLo78c=")</f>
        <v>#REF!</v>
      </c>
      <c r="GS30" t="e">
        <f>AND(Heaters!#REF!,"AAAAAFLo78g=")</f>
        <v>#REF!</v>
      </c>
      <c r="GT30" t="e">
        <f>AND(Heaters!#REF!,"AAAAAFLo78k=")</f>
        <v>#REF!</v>
      </c>
      <c r="GU30" t="e">
        <f>AND(Heaters!#REF!,"AAAAAFLo78o=")</f>
        <v>#REF!</v>
      </c>
      <c r="GV30" t="e">
        <f>IF(Heaters!#REF!,"AAAAAFLo78s=",0)</f>
        <v>#REF!</v>
      </c>
      <c r="GW30" t="e">
        <f>AND(Heaters!#REF!,"AAAAAFLo78w=")</f>
        <v>#REF!</v>
      </c>
      <c r="GX30" t="e">
        <f>AND(Heaters!#REF!,"AAAAAFLo780=")</f>
        <v>#REF!</v>
      </c>
      <c r="GY30" t="e">
        <f>AND(Heaters!#REF!,"AAAAAFLo784=")</f>
        <v>#REF!</v>
      </c>
      <c r="GZ30" t="e">
        <f>AND(Heaters!#REF!,"AAAAAFLo788=")</f>
        <v>#REF!</v>
      </c>
      <c r="HA30" t="e">
        <f>AND(Heaters!#REF!,"AAAAAFLo79A=")</f>
        <v>#REF!</v>
      </c>
      <c r="HB30" t="e">
        <f>AND(Heaters!#REF!,"AAAAAFLo79E=")</f>
        <v>#REF!</v>
      </c>
      <c r="HC30" t="e">
        <f>AND(Heaters!#REF!,"AAAAAFLo79I=")</f>
        <v>#REF!</v>
      </c>
      <c r="HD30" t="e">
        <f>AND(Heaters!#REF!,"AAAAAFLo79M=")</f>
        <v>#REF!</v>
      </c>
      <c r="HE30" t="e">
        <f>AND(Heaters!#REF!,"AAAAAFLo79Q=")</f>
        <v>#REF!</v>
      </c>
      <c r="HF30" t="e">
        <f>AND(Heaters!#REF!,"AAAAAFLo79U=")</f>
        <v>#REF!</v>
      </c>
      <c r="HG30" t="e">
        <f>AND(Heaters!#REF!,"AAAAAFLo79Y=")</f>
        <v>#REF!</v>
      </c>
      <c r="HH30" t="e">
        <f>AND(Heaters!#REF!,"AAAAAFLo79c=")</f>
        <v>#REF!</v>
      </c>
      <c r="HI30" t="e">
        <f>AND(Heaters!#REF!,"AAAAAFLo79g=")</f>
        <v>#REF!</v>
      </c>
      <c r="HJ30" t="e">
        <f>AND(Heaters!#REF!,"AAAAAFLo79k=")</f>
        <v>#REF!</v>
      </c>
      <c r="HK30" t="e">
        <f>AND(Heaters!#REF!,"AAAAAFLo79o=")</f>
        <v>#REF!</v>
      </c>
      <c r="HL30" t="e">
        <f>IF(Heaters!#REF!,"AAAAAFLo79s=",0)</f>
        <v>#REF!</v>
      </c>
      <c r="HM30" t="e">
        <f>AND(Heaters!#REF!,"AAAAAFLo79w=")</f>
        <v>#REF!</v>
      </c>
      <c r="HN30" t="e">
        <f>AND(Heaters!#REF!,"AAAAAFLo790=")</f>
        <v>#REF!</v>
      </c>
      <c r="HO30" t="e">
        <f>AND(Heaters!#REF!,"AAAAAFLo794=")</f>
        <v>#REF!</v>
      </c>
      <c r="HP30" t="e">
        <f>AND(Heaters!#REF!,"AAAAAFLo798=")</f>
        <v>#REF!</v>
      </c>
      <c r="HQ30" t="e">
        <f>AND(Heaters!#REF!,"AAAAAFLo7+A=")</f>
        <v>#REF!</v>
      </c>
      <c r="HR30" t="e">
        <f>AND(Heaters!#REF!,"AAAAAFLo7+E=")</f>
        <v>#REF!</v>
      </c>
      <c r="HS30" t="e">
        <f>AND(Heaters!#REF!,"AAAAAFLo7+I=")</f>
        <v>#REF!</v>
      </c>
      <c r="HT30" t="e">
        <f>AND(Heaters!#REF!,"AAAAAFLo7+M=")</f>
        <v>#REF!</v>
      </c>
      <c r="HU30" t="e">
        <f>AND(Heaters!#REF!,"AAAAAFLo7+Q=")</f>
        <v>#REF!</v>
      </c>
      <c r="HV30" t="e">
        <f>AND(Heaters!#REF!,"AAAAAFLo7+U=")</f>
        <v>#REF!</v>
      </c>
      <c r="HW30" t="e">
        <f>AND(Heaters!#REF!,"AAAAAFLo7+Y=")</f>
        <v>#REF!</v>
      </c>
      <c r="HX30" t="e">
        <f>AND(Heaters!#REF!,"AAAAAFLo7+c=")</f>
        <v>#REF!</v>
      </c>
      <c r="HY30" t="e">
        <f>AND(Heaters!#REF!,"AAAAAFLo7+g=")</f>
        <v>#REF!</v>
      </c>
      <c r="HZ30" t="e">
        <f>AND(Heaters!#REF!,"AAAAAFLo7+k=")</f>
        <v>#REF!</v>
      </c>
      <c r="IA30" t="e">
        <f>AND(Heaters!#REF!,"AAAAAFLo7+o=")</f>
        <v>#REF!</v>
      </c>
      <c r="IB30" t="e">
        <f>IF(Heaters!#REF!,"AAAAAFLo7+s=",0)</f>
        <v>#REF!</v>
      </c>
      <c r="IC30" t="e">
        <f>AND(Heaters!#REF!,"AAAAAFLo7+w=")</f>
        <v>#REF!</v>
      </c>
      <c r="ID30" t="e">
        <f>AND(Heaters!#REF!,"AAAAAFLo7+0=")</f>
        <v>#REF!</v>
      </c>
      <c r="IE30" t="e">
        <f>AND(Heaters!#REF!,"AAAAAFLo7+4=")</f>
        <v>#REF!</v>
      </c>
      <c r="IF30" t="e">
        <f>AND(Heaters!#REF!,"AAAAAFLo7+8=")</f>
        <v>#REF!</v>
      </c>
      <c r="IG30" t="e">
        <f>AND(Heaters!#REF!,"AAAAAFLo7/A=")</f>
        <v>#REF!</v>
      </c>
      <c r="IH30" t="e">
        <f>AND(Heaters!#REF!,"AAAAAFLo7/E=")</f>
        <v>#REF!</v>
      </c>
      <c r="II30" t="e">
        <f>AND(Heaters!#REF!,"AAAAAFLo7/I=")</f>
        <v>#REF!</v>
      </c>
      <c r="IJ30" t="e">
        <f>AND(Heaters!#REF!,"AAAAAFLo7/M=")</f>
        <v>#REF!</v>
      </c>
      <c r="IK30" t="e">
        <f>AND(Heaters!#REF!,"AAAAAFLo7/Q=")</f>
        <v>#REF!</v>
      </c>
      <c r="IL30" t="e">
        <f>AND(Heaters!#REF!,"AAAAAFLo7/U=")</f>
        <v>#REF!</v>
      </c>
      <c r="IM30" t="e">
        <f>AND(Heaters!#REF!,"AAAAAFLo7/Y=")</f>
        <v>#REF!</v>
      </c>
      <c r="IN30" t="e">
        <f>AND(Heaters!#REF!,"AAAAAFLo7/c=")</f>
        <v>#REF!</v>
      </c>
      <c r="IO30" t="e">
        <f>AND(Heaters!#REF!,"AAAAAFLo7/g=")</f>
        <v>#REF!</v>
      </c>
      <c r="IP30" t="e">
        <f>AND(Heaters!#REF!,"AAAAAFLo7/k=")</f>
        <v>#REF!</v>
      </c>
      <c r="IQ30" t="e">
        <f>AND(Heaters!#REF!,"AAAAAFLo7/o=")</f>
        <v>#REF!</v>
      </c>
      <c r="IR30" t="e">
        <f>IF(Heaters!#REF!,"AAAAAFLo7/s=",0)</f>
        <v>#REF!</v>
      </c>
      <c r="IS30" t="e">
        <f>AND(Heaters!#REF!,"AAAAAFLo7/w=")</f>
        <v>#REF!</v>
      </c>
      <c r="IT30" t="e">
        <f>AND(Heaters!#REF!,"AAAAAFLo7/0=")</f>
        <v>#REF!</v>
      </c>
      <c r="IU30" t="e">
        <f>AND(Heaters!#REF!,"AAAAAFLo7/4=")</f>
        <v>#REF!</v>
      </c>
      <c r="IV30" t="e">
        <f>AND(Heaters!#REF!,"AAAAAFLo7/8=")</f>
        <v>#REF!</v>
      </c>
    </row>
    <row r="31" spans="1:256" x14ac:dyDescent="0.2">
      <c r="A31" t="e">
        <f>AND(Heaters!#REF!,"AAAAAD+/vgA=")</f>
        <v>#REF!</v>
      </c>
      <c r="B31" t="e">
        <f>AND(Heaters!#REF!,"AAAAAD+/vgE=")</f>
        <v>#REF!</v>
      </c>
      <c r="C31" t="e">
        <f>AND(Heaters!#REF!,"AAAAAD+/vgI=")</f>
        <v>#REF!</v>
      </c>
      <c r="D31" t="e">
        <f>AND(Heaters!#REF!,"AAAAAD+/vgM=")</f>
        <v>#REF!</v>
      </c>
      <c r="E31" t="e">
        <f>AND(Heaters!#REF!,"AAAAAD+/vgQ=")</f>
        <v>#REF!</v>
      </c>
      <c r="F31" t="e">
        <f>AND(Heaters!#REF!,"AAAAAD+/vgU=")</f>
        <v>#REF!</v>
      </c>
      <c r="G31" t="e">
        <f>AND(Heaters!#REF!,"AAAAAD+/vgY=")</f>
        <v>#REF!</v>
      </c>
      <c r="H31" t="e">
        <f>AND(Heaters!#REF!,"AAAAAD+/vgc=")</f>
        <v>#REF!</v>
      </c>
      <c r="I31" t="e">
        <f>AND(Heaters!#REF!,"AAAAAD+/vgg=")</f>
        <v>#REF!</v>
      </c>
      <c r="J31" t="e">
        <f>AND(Heaters!#REF!,"AAAAAD+/vgk=")</f>
        <v>#REF!</v>
      </c>
      <c r="K31" t="e">
        <f>AND(Heaters!#REF!,"AAAAAD+/vgo=")</f>
        <v>#REF!</v>
      </c>
      <c r="L31" t="e">
        <f>IF(Heaters!#REF!,"AAAAAD+/vgs=",0)</f>
        <v>#REF!</v>
      </c>
      <c r="M31" t="e">
        <f>AND(Heaters!#REF!,"AAAAAD+/vgw=")</f>
        <v>#REF!</v>
      </c>
      <c r="N31" t="e">
        <f>AND(Heaters!#REF!,"AAAAAD+/vg0=")</f>
        <v>#REF!</v>
      </c>
      <c r="O31" t="e">
        <f>AND(Heaters!#REF!,"AAAAAD+/vg4=")</f>
        <v>#REF!</v>
      </c>
      <c r="P31" t="e">
        <f>AND(Heaters!#REF!,"AAAAAD+/vg8=")</f>
        <v>#REF!</v>
      </c>
      <c r="Q31" t="e">
        <f>AND(Heaters!#REF!,"AAAAAD+/vhA=")</f>
        <v>#REF!</v>
      </c>
      <c r="R31" t="e">
        <f>AND(Heaters!#REF!,"AAAAAD+/vhE=")</f>
        <v>#REF!</v>
      </c>
      <c r="S31" t="e">
        <f>AND(Heaters!#REF!,"AAAAAD+/vhI=")</f>
        <v>#REF!</v>
      </c>
      <c r="T31" t="e">
        <f>AND(Heaters!#REF!,"AAAAAD+/vhM=")</f>
        <v>#REF!</v>
      </c>
      <c r="U31" t="e">
        <f>AND(Heaters!#REF!,"AAAAAD+/vhQ=")</f>
        <v>#REF!</v>
      </c>
      <c r="V31" t="e">
        <f>AND(Heaters!#REF!,"AAAAAD+/vhU=")</f>
        <v>#REF!</v>
      </c>
      <c r="W31" t="e">
        <f>AND(Heaters!#REF!,"AAAAAD+/vhY=")</f>
        <v>#REF!</v>
      </c>
      <c r="X31" t="e">
        <f>AND(Heaters!#REF!,"AAAAAD+/vhc=")</f>
        <v>#REF!</v>
      </c>
      <c r="Y31" t="e">
        <f>AND(Heaters!#REF!,"AAAAAD+/vhg=")</f>
        <v>#REF!</v>
      </c>
      <c r="Z31" t="e">
        <f>AND(Heaters!#REF!,"AAAAAD+/vhk=")</f>
        <v>#REF!</v>
      </c>
      <c r="AA31" t="e">
        <f>AND(Heaters!#REF!,"AAAAAD+/vho=")</f>
        <v>#REF!</v>
      </c>
      <c r="AB31" t="e">
        <f>IF(Heaters!#REF!,"AAAAAD+/vhs=",0)</f>
        <v>#REF!</v>
      </c>
      <c r="AC31" t="e">
        <f>AND(Heaters!#REF!,"AAAAAD+/vhw=")</f>
        <v>#REF!</v>
      </c>
      <c r="AD31" t="e">
        <f>AND(Heaters!#REF!,"AAAAAD+/vh0=")</f>
        <v>#REF!</v>
      </c>
      <c r="AE31" t="e">
        <f>AND(Heaters!#REF!,"AAAAAD+/vh4=")</f>
        <v>#REF!</v>
      </c>
      <c r="AF31" t="e">
        <f>AND(Heaters!#REF!,"AAAAAD+/vh8=")</f>
        <v>#REF!</v>
      </c>
      <c r="AG31" t="e">
        <f>AND(Heaters!#REF!,"AAAAAD+/viA=")</f>
        <v>#REF!</v>
      </c>
      <c r="AH31" t="e">
        <f>AND(Heaters!#REF!,"AAAAAD+/viE=")</f>
        <v>#REF!</v>
      </c>
      <c r="AI31" t="e">
        <f>AND(Heaters!#REF!,"AAAAAD+/viI=")</f>
        <v>#REF!</v>
      </c>
      <c r="AJ31" t="e">
        <f>AND(Heaters!#REF!,"AAAAAD+/viM=")</f>
        <v>#REF!</v>
      </c>
      <c r="AK31" t="e">
        <f>AND(Heaters!#REF!,"AAAAAD+/viQ=")</f>
        <v>#REF!</v>
      </c>
      <c r="AL31" t="e">
        <f>AND(Heaters!#REF!,"AAAAAD+/viU=")</f>
        <v>#REF!</v>
      </c>
      <c r="AM31" t="e">
        <f>AND(Heaters!#REF!,"AAAAAD+/viY=")</f>
        <v>#REF!</v>
      </c>
      <c r="AN31" t="e">
        <f>AND(Heaters!#REF!,"AAAAAD+/vic=")</f>
        <v>#REF!</v>
      </c>
      <c r="AO31" t="e">
        <f>AND(Heaters!#REF!,"AAAAAD+/vig=")</f>
        <v>#REF!</v>
      </c>
      <c r="AP31" t="e">
        <f>AND(Heaters!#REF!,"AAAAAD+/vik=")</f>
        <v>#REF!</v>
      </c>
      <c r="AQ31" t="e">
        <f>AND(Heaters!#REF!,"AAAAAD+/vio=")</f>
        <v>#REF!</v>
      </c>
      <c r="AR31" t="e">
        <f>IF(Heaters!#REF!,"AAAAAD+/vis=",0)</f>
        <v>#REF!</v>
      </c>
      <c r="AS31" t="e">
        <f>AND(Heaters!#REF!,"AAAAAD+/viw=")</f>
        <v>#REF!</v>
      </c>
      <c r="AT31" t="e">
        <f>AND(Heaters!#REF!,"AAAAAD+/vi0=")</f>
        <v>#REF!</v>
      </c>
      <c r="AU31" t="e">
        <f>AND(Heaters!#REF!,"AAAAAD+/vi4=")</f>
        <v>#REF!</v>
      </c>
      <c r="AV31" t="e">
        <f>AND(Heaters!#REF!,"AAAAAD+/vi8=")</f>
        <v>#REF!</v>
      </c>
      <c r="AW31" t="e">
        <f>AND(Heaters!#REF!,"AAAAAD+/vjA=")</f>
        <v>#REF!</v>
      </c>
      <c r="AX31" t="e">
        <f>AND(Heaters!#REF!,"AAAAAD+/vjE=")</f>
        <v>#REF!</v>
      </c>
      <c r="AY31" t="e">
        <f>AND(Heaters!#REF!,"AAAAAD+/vjI=")</f>
        <v>#REF!</v>
      </c>
      <c r="AZ31" t="e">
        <f>AND(Heaters!#REF!,"AAAAAD+/vjM=")</f>
        <v>#REF!</v>
      </c>
      <c r="BA31" t="e">
        <f>AND(Heaters!#REF!,"AAAAAD+/vjQ=")</f>
        <v>#REF!</v>
      </c>
      <c r="BB31" t="e">
        <f>AND(Heaters!#REF!,"AAAAAD+/vjU=")</f>
        <v>#REF!</v>
      </c>
      <c r="BC31" t="e">
        <f>AND(Heaters!#REF!,"AAAAAD+/vjY=")</f>
        <v>#REF!</v>
      </c>
      <c r="BD31" t="e">
        <f>AND(Heaters!#REF!,"AAAAAD+/vjc=")</f>
        <v>#REF!</v>
      </c>
      <c r="BE31" t="e">
        <f>AND(Heaters!#REF!,"AAAAAD+/vjg=")</f>
        <v>#REF!</v>
      </c>
      <c r="BF31" t="e">
        <f>AND(Heaters!#REF!,"AAAAAD+/vjk=")</f>
        <v>#REF!</v>
      </c>
      <c r="BG31" t="e">
        <f>AND(Heaters!#REF!,"AAAAAD+/vjo=")</f>
        <v>#REF!</v>
      </c>
      <c r="BH31" t="e">
        <f>IF(Heaters!#REF!,"AAAAAD+/vjs=",0)</f>
        <v>#REF!</v>
      </c>
      <c r="BI31" t="e">
        <f>AND(Heaters!#REF!,"AAAAAD+/vjw=")</f>
        <v>#REF!</v>
      </c>
      <c r="BJ31" t="e">
        <f>AND(Heaters!#REF!,"AAAAAD+/vj0=")</f>
        <v>#REF!</v>
      </c>
      <c r="BK31" t="e">
        <f>AND(Heaters!#REF!,"AAAAAD+/vj4=")</f>
        <v>#REF!</v>
      </c>
      <c r="BL31" t="e">
        <f>AND(Heaters!#REF!,"AAAAAD+/vj8=")</f>
        <v>#REF!</v>
      </c>
      <c r="BM31" t="e">
        <f>AND(Heaters!#REF!,"AAAAAD+/vkA=")</f>
        <v>#REF!</v>
      </c>
      <c r="BN31" t="e">
        <f>AND(Heaters!#REF!,"AAAAAD+/vkE=")</f>
        <v>#REF!</v>
      </c>
      <c r="BO31" t="e">
        <f>AND(Heaters!#REF!,"AAAAAD+/vkI=")</f>
        <v>#REF!</v>
      </c>
      <c r="BP31" t="e">
        <f>AND(Heaters!#REF!,"AAAAAD+/vkM=")</f>
        <v>#REF!</v>
      </c>
      <c r="BQ31" t="e">
        <f>AND(Heaters!#REF!,"AAAAAD+/vkQ=")</f>
        <v>#REF!</v>
      </c>
      <c r="BR31" t="e">
        <f>AND(Heaters!#REF!,"AAAAAD+/vkU=")</f>
        <v>#REF!</v>
      </c>
      <c r="BS31" t="e">
        <f>AND(Heaters!#REF!,"AAAAAD+/vkY=")</f>
        <v>#REF!</v>
      </c>
      <c r="BT31" t="e">
        <f>AND(Heaters!#REF!,"AAAAAD+/vkc=")</f>
        <v>#REF!</v>
      </c>
      <c r="BU31" t="e">
        <f>AND(Heaters!#REF!,"AAAAAD+/vkg=")</f>
        <v>#REF!</v>
      </c>
      <c r="BV31" t="e">
        <f>AND(Heaters!#REF!,"AAAAAD+/vkk=")</f>
        <v>#REF!</v>
      </c>
      <c r="BW31" t="e">
        <f>AND(Heaters!#REF!,"AAAAAD+/vko=")</f>
        <v>#REF!</v>
      </c>
      <c r="BX31" t="e">
        <f>IF(Heaters!#REF!,"AAAAAD+/vks=",0)</f>
        <v>#REF!</v>
      </c>
      <c r="BY31" t="e">
        <f>AND(Heaters!#REF!,"AAAAAD+/vkw=")</f>
        <v>#REF!</v>
      </c>
      <c r="BZ31" t="e">
        <f>AND(Heaters!#REF!,"AAAAAD+/vk0=")</f>
        <v>#REF!</v>
      </c>
      <c r="CA31" t="e">
        <f>AND(Heaters!#REF!,"AAAAAD+/vk4=")</f>
        <v>#REF!</v>
      </c>
      <c r="CB31" t="e">
        <f>AND(Heaters!#REF!,"AAAAAD+/vk8=")</f>
        <v>#REF!</v>
      </c>
      <c r="CC31" t="e">
        <f>AND(Heaters!#REF!,"AAAAAD+/vlA=")</f>
        <v>#REF!</v>
      </c>
      <c r="CD31" t="e">
        <f>AND(Heaters!#REF!,"AAAAAD+/vlE=")</f>
        <v>#REF!</v>
      </c>
      <c r="CE31" t="e">
        <f>AND(Heaters!#REF!,"AAAAAD+/vlI=")</f>
        <v>#REF!</v>
      </c>
      <c r="CF31" t="e">
        <f>AND(Heaters!#REF!,"AAAAAD+/vlM=")</f>
        <v>#REF!</v>
      </c>
      <c r="CG31" t="e">
        <f>AND(Heaters!#REF!,"AAAAAD+/vlQ=")</f>
        <v>#REF!</v>
      </c>
      <c r="CH31" t="e">
        <f>AND(Heaters!#REF!,"AAAAAD+/vlU=")</f>
        <v>#REF!</v>
      </c>
      <c r="CI31" t="e">
        <f>AND(Heaters!#REF!,"AAAAAD+/vlY=")</f>
        <v>#REF!</v>
      </c>
      <c r="CJ31" t="e">
        <f>AND(Heaters!#REF!,"AAAAAD+/vlc=")</f>
        <v>#REF!</v>
      </c>
      <c r="CK31" t="e">
        <f>AND(Heaters!#REF!,"AAAAAD+/vlg=")</f>
        <v>#REF!</v>
      </c>
      <c r="CL31" t="e">
        <f>AND(Heaters!#REF!,"AAAAAD+/vlk=")</f>
        <v>#REF!</v>
      </c>
      <c r="CM31" t="e">
        <f>AND(Heaters!#REF!,"AAAAAD+/vlo=")</f>
        <v>#REF!</v>
      </c>
      <c r="CN31" t="e">
        <f>IF(Heaters!#REF!,"AAAAAD+/vls=",0)</f>
        <v>#REF!</v>
      </c>
      <c r="CO31" t="e">
        <f>AND(Heaters!#REF!,"AAAAAD+/vlw=")</f>
        <v>#REF!</v>
      </c>
      <c r="CP31" t="e">
        <f>AND(Heaters!#REF!,"AAAAAD+/vl0=")</f>
        <v>#REF!</v>
      </c>
      <c r="CQ31" t="e">
        <f>AND(Heaters!#REF!,"AAAAAD+/vl4=")</f>
        <v>#REF!</v>
      </c>
      <c r="CR31" t="e">
        <f>AND(Heaters!#REF!,"AAAAAD+/vl8=")</f>
        <v>#REF!</v>
      </c>
      <c r="CS31" t="e">
        <f>AND(Heaters!#REF!,"AAAAAD+/vmA=")</f>
        <v>#REF!</v>
      </c>
      <c r="CT31" t="e">
        <f>AND(Heaters!#REF!,"AAAAAD+/vmE=")</f>
        <v>#REF!</v>
      </c>
      <c r="CU31" t="e">
        <f>AND(Heaters!#REF!,"AAAAAD+/vmI=")</f>
        <v>#REF!</v>
      </c>
      <c r="CV31" t="e">
        <f>AND(Heaters!#REF!,"AAAAAD+/vmM=")</f>
        <v>#REF!</v>
      </c>
      <c r="CW31" t="e">
        <f>AND(Heaters!#REF!,"AAAAAD+/vmQ=")</f>
        <v>#REF!</v>
      </c>
      <c r="CX31" t="e">
        <f>AND(Heaters!#REF!,"AAAAAD+/vmU=")</f>
        <v>#REF!</v>
      </c>
      <c r="CY31" t="e">
        <f>AND(Heaters!#REF!,"AAAAAD+/vmY=")</f>
        <v>#REF!</v>
      </c>
      <c r="CZ31" t="e">
        <f>AND(Heaters!#REF!,"AAAAAD+/vmc=")</f>
        <v>#REF!</v>
      </c>
      <c r="DA31" t="e">
        <f>AND(Heaters!#REF!,"AAAAAD+/vmg=")</f>
        <v>#REF!</v>
      </c>
      <c r="DB31" t="e">
        <f>AND(Heaters!#REF!,"AAAAAD+/vmk=")</f>
        <v>#REF!</v>
      </c>
      <c r="DC31" t="e">
        <f>AND(Heaters!#REF!,"AAAAAD+/vmo=")</f>
        <v>#REF!</v>
      </c>
      <c r="DD31" t="e">
        <f>IF(Heaters!#REF!,"AAAAAD+/vms=",0)</f>
        <v>#REF!</v>
      </c>
      <c r="DE31" t="e">
        <f>AND(Heaters!#REF!,"AAAAAD+/vmw=")</f>
        <v>#REF!</v>
      </c>
      <c r="DF31" t="e">
        <f>AND(Heaters!#REF!,"AAAAAD+/vm0=")</f>
        <v>#REF!</v>
      </c>
      <c r="DG31" t="e">
        <f>AND(Heaters!#REF!,"AAAAAD+/vm4=")</f>
        <v>#REF!</v>
      </c>
      <c r="DH31" t="e">
        <f>AND(Heaters!#REF!,"AAAAAD+/vm8=")</f>
        <v>#REF!</v>
      </c>
      <c r="DI31" t="e">
        <f>AND(Heaters!#REF!,"AAAAAD+/vnA=")</f>
        <v>#REF!</v>
      </c>
      <c r="DJ31" t="e">
        <f>AND(Heaters!#REF!,"AAAAAD+/vnE=")</f>
        <v>#REF!</v>
      </c>
      <c r="DK31" t="e">
        <f>AND(Heaters!#REF!,"AAAAAD+/vnI=")</f>
        <v>#REF!</v>
      </c>
      <c r="DL31" t="e">
        <f>AND(Heaters!#REF!,"AAAAAD+/vnM=")</f>
        <v>#REF!</v>
      </c>
      <c r="DM31" t="e">
        <f>AND(Heaters!#REF!,"AAAAAD+/vnQ=")</f>
        <v>#REF!</v>
      </c>
      <c r="DN31" t="e">
        <f>AND(Heaters!#REF!,"AAAAAD+/vnU=")</f>
        <v>#REF!</v>
      </c>
      <c r="DO31" t="e">
        <f>AND(Heaters!#REF!,"AAAAAD+/vnY=")</f>
        <v>#REF!</v>
      </c>
      <c r="DP31" t="e">
        <f>AND(Heaters!#REF!,"AAAAAD+/vnc=")</f>
        <v>#REF!</v>
      </c>
      <c r="DQ31" t="e">
        <f>AND(Heaters!#REF!,"AAAAAD+/vng=")</f>
        <v>#REF!</v>
      </c>
      <c r="DR31" t="e">
        <f>AND(Heaters!#REF!,"AAAAAD+/vnk=")</f>
        <v>#REF!</v>
      </c>
      <c r="DS31" t="e">
        <f>AND(Heaters!#REF!,"AAAAAD+/vno=")</f>
        <v>#REF!</v>
      </c>
      <c r="DT31" t="e">
        <f>IF(Heaters!#REF!,"AAAAAD+/vns=",0)</f>
        <v>#REF!</v>
      </c>
      <c r="DU31" t="e">
        <f>AND(Heaters!#REF!,"AAAAAD+/vnw=")</f>
        <v>#REF!</v>
      </c>
      <c r="DV31" t="e">
        <f>AND(Heaters!#REF!,"AAAAAD+/vn0=")</f>
        <v>#REF!</v>
      </c>
      <c r="DW31" t="e">
        <f>AND(Heaters!#REF!,"AAAAAD+/vn4=")</f>
        <v>#REF!</v>
      </c>
      <c r="DX31" t="e">
        <f>AND(Heaters!#REF!,"AAAAAD+/vn8=")</f>
        <v>#REF!</v>
      </c>
      <c r="DY31" t="e">
        <f>AND(Heaters!#REF!,"AAAAAD+/voA=")</f>
        <v>#REF!</v>
      </c>
      <c r="DZ31" t="e">
        <f>AND(Heaters!#REF!,"AAAAAD+/voE=")</f>
        <v>#REF!</v>
      </c>
      <c r="EA31" t="e">
        <f>AND(Heaters!#REF!,"AAAAAD+/voI=")</f>
        <v>#REF!</v>
      </c>
      <c r="EB31" t="e">
        <f>AND(Heaters!#REF!,"AAAAAD+/voM=")</f>
        <v>#REF!</v>
      </c>
      <c r="EC31" t="e">
        <f>AND(Heaters!#REF!,"AAAAAD+/voQ=")</f>
        <v>#REF!</v>
      </c>
      <c r="ED31" t="e">
        <f>AND(Heaters!#REF!,"AAAAAD+/voU=")</f>
        <v>#REF!</v>
      </c>
      <c r="EE31" t="e">
        <f>AND(Heaters!#REF!,"AAAAAD+/voY=")</f>
        <v>#REF!</v>
      </c>
      <c r="EF31" t="e">
        <f>AND(Heaters!#REF!,"AAAAAD+/voc=")</f>
        <v>#REF!</v>
      </c>
      <c r="EG31" t="e">
        <f>AND(Heaters!#REF!,"AAAAAD+/vog=")</f>
        <v>#REF!</v>
      </c>
      <c r="EH31" t="e">
        <f>AND(Heaters!#REF!,"AAAAAD+/vok=")</f>
        <v>#REF!</v>
      </c>
      <c r="EI31" t="e">
        <f>AND(Heaters!#REF!,"AAAAAD+/voo=")</f>
        <v>#REF!</v>
      </c>
      <c r="EJ31" t="e">
        <f>IF(Heaters!#REF!,"AAAAAD+/vos=",0)</f>
        <v>#REF!</v>
      </c>
      <c r="EK31" t="e">
        <f>AND(Heaters!#REF!,"AAAAAD+/vow=")</f>
        <v>#REF!</v>
      </c>
      <c r="EL31" t="e">
        <f>AND(Heaters!#REF!,"AAAAAD+/vo0=")</f>
        <v>#REF!</v>
      </c>
      <c r="EM31" t="e">
        <f>AND(Heaters!#REF!,"AAAAAD+/vo4=")</f>
        <v>#REF!</v>
      </c>
      <c r="EN31" t="e">
        <f>AND(Heaters!#REF!,"AAAAAD+/vo8=")</f>
        <v>#REF!</v>
      </c>
      <c r="EO31" t="e">
        <f>AND(Heaters!#REF!,"AAAAAD+/vpA=")</f>
        <v>#REF!</v>
      </c>
      <c r="EP31" t="e">
        <f>AND(Heaters!#REF!,"AAAAAD+/vpE=")</f>
        <v>#REF!</v>
      </c>
      <c r="EQ31" t="e">
        <f>AND(Heaters!#REF!,"AAAAAD+/vpI=")</f>
        <v>#REF!</v>
      </c>
      <c r="ER31" t="e">
        <f>AND(Heaters!#REF!,"AAAAAD+/vpM=")</f>
        <v>#REF!</v>
      </c>
      <c r="ES31" t="e">
        <f>AND(Heaters!#REF!,"AAAAAD+/vpQ=")</f>
        <v>#REF!</v>
      </c>
      <c r="ET31" t="e">
        <f>AND(Heaters!#REF!,"AAAAAD+/vpU=")</f>
        <v>#REF!</v>
      </c>
      <c r="EU31" t="e">
        <f>AND(Heaters!#REF!,"AAAAAD+/vpY=")</f>
        <v>#REF!</v>
      </c>
      <c r="EV31" t="e">
        <f>AND(Heaters!#REF!,"AAAAAD+/vpc=")</f>
        <v>#REF!</v>
      </c>
      <c r="EW31" t="e">
        <f>AND(Heaters!#REF!,"AAAAAD+/vpg=")</f>
        <v>#REF!</v>
      </c>
      <c r="EX31" t="e">
        <f>AND(Heaters!#REF!,"AAAAAD+/vpk=")</f>
        <v>#REF!</v>
      </c>
      <c r="EY31" t="e">
        <f>AND(Heaters!#REF!,"AAAAAD+/vpo=")</f>
        <v>#REF!</v>
      </c>
      <c r="EZ31" t="e">
        <f>IF(Heaters!#REF!,"AAAAAD+/vps=",0)</f>
        <v>#REF!</v>
      </c>
      <c r="FA31" t="e">
        <f>AND(Heaters!#REF!,"AAAAAD+/vpw=")</f>
        <v>#REF!</v>
      </c>
      <c r="FB31" t="e">
        <f>AND(Heaters!#REF!,"AAAAAD+/vp0=")</f>
        <v>#REF!</v>
      </c>
      <c r="FC31" t="e">
        <f>AND(Heaters!#REF!,"AAAAAD+/vp4=")</f>
        <v>#REF!</v>
      </c>
      <c r="FD31" t="e">
        <f>AND(Heaters!#REF!,"AAAAAD+/vp8=")</f>
        <v>#REF!</v>
      </c>
      <c r="FE31" t="e">
        <f>AND(Heaters!#REF!,"AAAAAD+/vqA=")</f>
        <v>#REF!</v>
      </c>
      <c r="FF31" t="e">
        <f>AND(Heaters!#REF!,"AAAAAD+/vqE=")</f>
        <v>#REF!</v>
      </c>
      <c r="FG31" t="e">
        <f>AND(Heaters!#REF!,"AAAAAD+/vqI=")</f>
        <v>#REF!</v>
      </c>
      <c r="FH31" t="e">
        <f>AND(Heaters!#REF!,"AAAAAD+/vqM=")</f>
        <v>#REF!</v>
      </c>
      <c r="FI31" t="e">
        <f>AND(Heaters!#REF!,"AAAAAD+/vqQ=")</f>
        <v>#REF!</v>
      </c>
      <c r="FJ31" t="e">
        <f>AND(Heaters!#REF!,"AAAAAD+/vqU=")</f>
        <v>#REF!</v>
      </c>
      <c r="FK31" t="e">
        <f>AND(Heaters!#REF!,"AAAAAD+/vqY=")</f>
        <v>#REF!</v>
      </c>
      <c r="FL31" t="e">
        <f>AND(Heaters!#REF!,"AAAAAD+/vqc=")</f>
        <v>#REF!</v>
      </c>
      <c r="FM31" t="e">
        <f>AND(Heaters!#REF!,"AAAAAD+/vqg=")</f>
        <v>#REF!</v>
      </c>
      <c r="FN31" t="e">
        <f>AND(Heaters!#REF!,"AAAAAD+/vqk=")</f>
        <v>#REF!</v>
      </c>
      <c r="FO31" t="e">
        <f>AND(Heaters!#REF!,"AAAAAD+/vqo=")</f>
        <v>#REF!</v>
      </c>
      <c r="FP31" t="e">
        <f>IF(Heaters!#REF!,"AAAAAD+/vqs=",0)</f>
        <v>#REF!</v>
      </c>
      <c r="FQ31" t="e">
        <f>AND(Heaters!#REF!,"AAAAAD+/vqw=")</f>
        <v>#REF!</v>
      </c>
      <c r="FR31" t="e">
        <f>AND(Heaters!#REF!,"AAAAAD+/vq0=")</f>
        <v>#REF!</v>
      </c>
      <c r="FS31" t="e">
        <f>AND(Heaters!#REF!,"AAAAAD+/vq4=")</f>
        <v>#REF!</v>
      </c>
      <c r="FT31" t="e">
        <f>AND(Heaters!#REF!,"AAAAAD+/vq8=")</f>
        <v>#REF!</v>
      </c>
      <c r="FU31" t="e">
        <f>AND(Heaters!#REF!,"AAAAAD+/vrA=")</f>
        <v>#REF!</v>
      </c>
      <c r="FV31" t="e">
        <f>AND(Heaters!#REF!,"AAAAAD+/vrE=")</f>
        <v>#REF!</v>
      </c>
      <c r="FW31" t="e">
        <f>AND(Heaters!#REF!,"AAAAAD+/vrI=")</f>
        <v>#REF!</v>
      </c>
      <c r="FX31" t="e">
        <f>AND(Heaters!#REF!,"AAAAAD+/vrM=")</f>
        <v>#REF!</v>
      </c>
      <c r="FY31" t="e">
        <f>AND(Heaters!#REF!,"AAAAAD+/vrQ=")</f>
        <v>#REF!</v>
      </c>
      <c r="FZ31" t="e">
        <f>AND(Heaters!#REF!,"AAAAAD+/vrU=")</f>
        <v>#REF!</v>
      </c>
      <c r="GA31" t="e">
        <f>AND(Heaters!#REF!,"AAAAAD+/vrY=")</f>
        <v>#REF!</v>
      </c>
      <c r="GB31" t="e">
        <f>AND(Heaters!#REF!,"AAAAAD+/vrc=")</f>
        <v>#REF!</v>
      </c>
      <c r="GC31" t="e">
        <f>AND(Heaters!#REF!,"AAAAAD+/vrg=")</f>
        <v>#REF!</v>
      </c>
      <c r="GD31" t="e">
        <f>AND(Heaters!#REF!,"AAAAAD+/vrk=")</f>
        <v>#REF!</v>
      </c>
      <c r="GE31" t="e">
        <f>AND(Heaters!#REF!,"AAAAAD+/vro=")</f>
        <v>#REF!</v>
      </c>
      <c r="GF31" t="e">
        <f>IF(Heaters!#REF!,"AAAAAD+/vrs=",0)</f>
        <v>#REF!</v>
      </c>
      <c r="GG31" t="e">
        <f>AND(Heaters!#REF!,"AAAAAD+/vrw=")</f>
        <v>#REF!</v>
      </c>
      <c r="GH31" t="e">
        <f>AND(Heaters!#REF!,"AAAAAD+/vr0=")</f>
        <v>#REF!</v>
      </c>
      <c r="GI31" t="e">
        <f>AND(Heaters!#REF!,"AAAAAD+/vr4=")</f>
        <v>#REF!</v>
      </c>
      <c r="GJ31" t="e">
        <f>AND(Heaters!#REF!,"AAAAAD+/vr8=")</f>
        <v>#REF!</v>
      </c>
      <c r="GK31" t="e">
        <f>AND(Heaters!#REF!,"AAAAAD+/vsA=")</f>
        <v>#REF!</v>
      </c>
      <c r="GL31" t="e">
        <f>AND(Heaters!#REF!,"AAAAAD+/vsE=")</f>
        <v>#REF!</v>
      </c>
      <c r="GM31" t="e">
        <f>AND(Heaters!#REF!,"AAAAAD+/vsI=")</f>
        <v>#REF!</v>
      </c>
      <c r="GN31" t="e">
        <f>AND(Heaters!#REF!,"AAAAAD+/vsM=")</f>
        <v>#REF!</v>
      </c>
      <c r="GO31" t="e">
        <f>AND(Heaters!#REF!,"AAAAAD+/vsQ=")</f>
        <v>#REF!</v>
      </c>
      <c r="GP31" t="e">
        <f>AND(Heaters!#REF!,"AAAAAD+/vsU=")</f>
        <v>#REF!</v>
      </c>
      <c r="GQ31" t="e">
        <f>AND(Heaters!#REF!,"AAAAAD+/vsY=")</f>
        <v>#REF!</v>
      </c>
      <c r="GR31" t="e">
        <f>AND(Heaters!#REF!,"AAAAAD+/vsc=")</f>
        <v>#REF!</v>
      </c>
      <c r="GS31" t="e">
        <f>AND(Heaters!#REF!,"AAAAAD+/vsg=")</f>
        <v>#REF!</v>
      </c>
      <c r="GT31" t="e">
        <f>AND(Heaters!#REF!,"AAAAAD+/vsk=")</f>
        <v>#REF!</v>
      </c>
      <c r="GU31" t="e">
        <f>AND(Heaters!#REF!,"AAAAAD+/vso=")</f>
        <v>#REF!</v>
      </c>
      <c r="GV31" t="e">
        <f>IF(Heaters!#REF!,"AAAAAD+/vss=",0)</f>
        <v>#REF!</v>
      </c>
      <c r="GW31" t="e">
        <f>AND(Heaters!#REF!,"AAAAAD+/vsw=")</f>
        <v>#REF!</v>
      </c>
      <c r="GX31" t="e">
        <f>AND(Heaters!#REF!,"AAAAAD+/vs0=")</f>
        <v>#REF!</v>
      </c>
      <c r="GY31" t="e">
        <f>AND(Heaters!#REF!,"AAAAAD+/vs4=")</f>
        <v>#REF!</v>
      </c>
      <c r="GZ31" t="e">
        <f>AND(Heaters!#REF!,"AAAAAD+/vs8=")</f>
        <v>#REF!</v>
      </c>
      <c r="HA31" t="e">
        <f>AND(Heaters!#REF!,"AAAAAD+/vtA=")</f>
        <v>#REF!</v>
      </c>
      <c r="HB31" t="e">
        <f>AND(Heaters!#REF!,"AAAAAD+/vtE=")</f>
        <v>#REF!</v>
      </c>
      <c r="HC31" t="e">
        <f>AND(Heaters!#REF!,"AAAAAD+/vtI=")</f>
        <v>#REF!</v>
      </c>
      <c r="HD31" t="e">
        <f>AND(Heaters!#REF!,"AAAAAD+/vtM=")</f>
        <v>#REF!</v>
      </c>
      <c r="HE31" t="e">
        <f>AND(Heaters!#REF!,"AAAAAD+/vtQ=")</f>
        <v>#REF!</v>
      </c>
      <c r="HF31" t="e">
        <f>AND(Heaters!#REF!,"AAAAAD+/vtU=")</f>
        <v>#REF!</v>
      </c>
      <c r="HG31" t="e">
        <f>AND(Heaters!#REF!,"AAAAAD+/vtY=")</f>
        <v>#REF!</v>
      </c>
      <c r="HH31" t="e">
        <f>AND(Heaters!#REF!,"AAAAAD+/vtc=")</f>
        <v>#REF!</v>
      </c>
      <c r="HI31" t="e">
        <f>AND(Heaters!#REF!,"AAAAAD+/vtg=")</f>
        <v>#REF!</v>
      </c>
      <c r="HJ31" t="e">
        <f>AND(Heaters!#REF!,"AAAAAD+/vtk=")</f>
        <v>#REF!</v>
      </c>
      <c r="HK31" t="e">
        <f>AND(Heaters!#REF!,"AAAAAD+/vto=")</f>
        <v>#REF!</v>
      </c>
      <c r="HL31" t="e">
        <f>IF(Heaters!#REF!,"AAAAAD+/vts=",0)</f>
        <v>#REF!</v>
      </c>
      <c r="HM31" t="e">
        <f>AND(Heaters!#REF!,"AAAAAD+/vtw=")</f>
        <v>#REF!</v>
      </c>
      <c r="HN31" t="e">
        <f>AND(Heaters!#REF!,"AAAAAD+/vt0=")</f>
        <v>#REF!</v>
      </c>
      <c r="HO31" t="e">
        <f>AND(Heaters!#REF!,"AAAAAD+/vt4=")</f>
        <v>#REF!</v>
      </c>
      <c r="HP31" t="e">
        <f>AND(Heaters!#REF!,"AAAAAD+/vt8=")</f>
        <v>#REF!</v>
      </c>
      <c r="HQ31" t="e">
        <f>AND(Heaters!#REF!,"AAAAAD+/vuA=")</f>
        <v>#REF!</v>
      </c>
      <c r="HR31" t="e">
        <f>AND(Heaters!#REF!,"AAAAAD+/vuE=")</f>
        <v>#REF!</v>
      </c>
      <c r="HS31" t="e">
        <f>AND(Heaters!#REF!,"AAAAAD+/vuI=")</f>
        <v>#REF!</v>
      </c>
      <c r="HT31" t="e">
        <f>AND(Heaters!#REF!,"AAAAAD+/vuM=")</f>
        <v>#REF!</v>
      </c>
      <c r="HU31" t="e">
        <f>AND(Heaters!#REF!,"AAAAAD+/vuQ=")</f>
        <v>#REF!</v>
      </c>
      <c r="HV31" t="e">
        <f>AND(Heaters!#REF!,"AAAAAD+/vuU=")</f>
        <v>#REF!</v>
      </c>
      <c r="HW31" t="e">
        <f>AND(Heaters!#REF!,"AAAAAD+/vuY=")</f>
        <v>#REF!</v>
      </c>
      <c r="HX31" t="e">
        <f>AND(Heaters!#REF!,"AAAAAD+/vuc=")</f>
        <v>#REF!</v>
      </c>
      <c r="HY31" t="e">
        <f>AND(Heaters!#REF!,"AAAAAD+/vug=")</f>
        <v>#REF!</v>
      </c>
      <c r="HZ31" t="e">
        <f>AND(Heaters!#REF!,"AAAAAD+/vuk=")</f>
        <v>#REF!</v>
      </c>
      <c r="IA31" t="e">
        <f>AND(Heaters!#REF!,"AAAAAD+/vuo=")</f>
        <v>#REF!</v>
      </c>
      <c r="IB31" t="e">
        <f>IF(Heaters!#REF!,"AAAAAD+/vus=",0)</f>
        <v>#REF!</v>
      </c>
      <c r="IC31" t="e">
        <f>AND(Heaters!#REF!,"AAAAAD+/vuw=")</f>
        <v>#REF!</v>
      </c>
      <c r="ID31" t="e">
        <f>AND(Heaters!#REF!,"AAAAAD+/vu0=")</f>
        <v>#REF!</v>
      </c>
      <c r="IE31" t="e">
        <f>AND(Heaters!#REF!,"AAAAAD+/vu4=")</f>
        <v>#REF!</v>
      </c>
      <c r="IF31" t="e">
        <f>AND(Heaters!#REF!,"AAAAAD+/vu8=")</f>
        <v>#REF!</v>
      </c>
      <c r="IG31" t="e">
        <f>AND(Heaters!#REF!,"AAAAAD+/vvA=")</f>
        <v>#REF!</v>
      </c>
      <c r="IH31" t="e">
        <f>AND(Heaters!#REF!,"AAAAAD+/vvE=")</f>
        <v>#REF!</v>
      </c>
      <c r="II31" t="e">
        <f>AND(Heaters!#REF!,"AAAAAD+/vvI=")</f>
        <v>#REF!</v>
      </c>
      <c r="IJ31" t="e">
        <f>AND(Heaters!#REF!,"AAAAAD+/vvM=")</f>
        <v>#REF!</v>
      </c>
      <c r="IK31" t="e">
        <f>AND(Heaters!#REF!,"AAAAAD+/vvQ=")</f>
        <v>#REF!</v>
      </c>
      <c r="IL31" t="e">
        <f>AND(Heaters!#REF!,"AAAAAD+/vvU=")</f>
        <v>#REF!</v>
      </c>
      <c r="IM31" t="e">
        <f>AND(Heaters!#REF!,"AAAAAD+/vvY=")</f>
        <v>#REF!</v>
      </c>
      <c r="IN31" t="e">
        <f>AND(Heaters!#REF!,"AAAAAD+/vvc=")</f>
        <v>#REF!</v>
      </c>
      <c r="IO31" t="e">
        <f>AND(Heaters!#REF!,"AAAAAD+/vvg=")</f>
        <v>#REF!</v>
      </c>
      <c r="IP31" t="e">
        <f>AND(Heaters!#REF!,"AAAAAD+/vvk=")</f>
        <v>#REF!</v>
      </c>
      <c r="IQ31" t="e">
        <f>AND(Heaters!#REF!,"AAAAAD+/vvo=")</f>
        <v>#REF!</v>
      </c>
      <c r="IR31" t="e">
        <f>IF(Heaters!#REF!,"AAAAAD+/vvs=",0)</f>
        <v>#REF!</v>
      </c>
      <c r="IS31" t="e">
        <f>AND(Heaters!#REF!,"AAAAAD+/vvw=")</f>
        <v>#REF!</v>
      </c>
      <c r="IT31" t="e">
        <f>AND(Heaters!#REF!,"AAAAAD+/vv0=")</f>
        <v>#REF!</v>
      </c>
      <c r="IU31" t="e">
        <f>AND(Heaters!#REF!,"AAAAAD+/vv4=")</f>
        <v>#REF!</v>
      </c>
      <c r="IV31" t="e">
        <f>AND(Heaters!#REF!,"AAAAAD+/vv8=")</f>
        <v>#REF!</v>
      </c>
    </row>
    <row r="32" spans="1:256" x14ac:dyDescent="0.2">
      <c r="A32" t="e">
        <f>AND(Heaters!#REF!,"AAAAAHdcngA=")</f>
        <v>#REF!</v>
      </c>
      <c r="B32" t="e">
        <f>AND(Heaters!#REF!,"AAAAAHdcngE=")</f>
        <v>#REF!</v>
      </c>
      <c r="C32" t="e">
        <f>AND(Heaters!#REF!,"AAAAAHdcngI=")</f>
        <v>#REF!</v>
      </c>
      <c r="D32" t="e">
        <f>AND(Heaters!#REF!,"AAAAAHdcngM=")</f>
        <v>#REF!</v>
      </c>
      <c r="E32" t="e">
        <f>AND(Heaters!#REF!,"AAAAAHdcngQ=")</f>
        <v>#REF!</v>
      </c>
      <c r="F32" t="e">
        <f>AND(Heaters!#REF!,"AAAAAHdcngU=")</f>
        <v>#REF!</v>
      </c>
      <c r="G32" t="e">
        <f>AND(Heaters!#REF!,"AAAAAHdcngY=")</f>
        <v>#REF!</v>
      </c>
      <c r="H32" t="e">
        <f>AND(Heaters!#REF!,"AAAAAHdcngc=")</f>
        <v>#REF!</v>
      </c>
      <c r="I32" t="e">
        <f>AND(Heaters!#REF!,"AAAAAHdcngg=")</f>
        <v>#REF!</v>
      </c>
      <c r="J32" t="e">
        <f>AND(Heaters!#REF!,"AAAAAHdcngk=")</f>
        <v>#REF!</v>
      </c>
      <c r="K32" t="e">
        <f>AND(Heaters!#REF!,"AAAAAHdcngo=")</f>
        <v>#REF!</v>
      </c>
      <c r="L32" t="e">
        <f>IF(Heaters!#REF!,"AAAAAHdcngs=",0)</f>
        <v>#REF!</v>
      </c>
      <c r="M32" t="e">
        <f>AND(Heaters!#REF!,"AAAAAHdcngw=")</f>
        <v>#REF!</v>
      </c>
      <c r="N32" t="e">
        <f>AND(Heaters!#REF!,"AAAAAHdcng0=")</f>
        <v>#REF!</v>
      </c>
      <c r="O32">
        <f>IF(Heaters!A:A,"AAAAAHdcng4=",0)</f>
        <v>0</v>
      </c>
      <c r="P32" t="e">
        <f>IF(Heaters!B:B,"AAAAAHdcng8=",0)</f>
        <v>#VALUE!</v>
      </c>
      <c r="Q32">
        <f>IF(Heaters!C:C,"AAAAAHdcnhA=",0)</f>
        <v>0</v>
      </c>
      <c r="R32">
        <f>IF(Heaters!D:D,"AAAAAHdcnhE=",0)</f>
        <v>0</v>
      </c>
      <c r="S32">
        <f>IF(Heaters!E:E,"AAAAAHdcnhI=",0)</f>
        <v>0</v>
      </c>
      <c r="T32">
        <f>IF(Heaters!F:F,"AAAAAHdcnhM=",0)</f>
        <v>0</v>
      </c>
      <c r="U32">
        <f>IF(Heaters!G:G,"AAAAAHdcnhQ=",0)</f>
        <v>0</v>
      </c>
      <c r="V32">
        <f>IF(Heaters!H:H,"AAAAAHdcnhU=",0)</f>
        <v>0</v>
      </c>
      <c r="W32">
        <f>IF(Heaters!I:I,"AAAAAHdcnhY=",0)</f>
        <v>0</v>
      </c>
      <c r="X32">
        <f>IF(Heaters!J:J,"AAAAAHdcnhc=",0)</f>
        <v>0</v>
      </c>
      <c r="Y32">
        <f>IF(Heaters!K:K,"AAAAAHdcnhg=",0)</f>
        <v>0</v>
      </c>
      <c r="Z32">
        <f>IF(Heaters!L:L,"AAAAAHdcnhk=",0)</f>
        <v>0</v>
      </c>
      <c r="AA32">
        <f>IF(Heaters!M:M,"AAAAAHdcnho=",0)</f>
        <v>0</v>
      </c>
      <c r="AB32">
        <f>IF(Heaters!N:N,"AAAAAHdcnhs=",0)</f>
        <v>0</v>
      </c>
      <c r="AC32">
        <f>IF(Heaters!O:O,"AAAAAHdcnhw=",0)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4</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S42"/>
  <sheetViews>
    <sheetView workbookViewId="0">
      <selection activeCell="A3" sqref="A3:N3"/>
    </sheetView>
  </sheetViews>
  <sheetFormatPr defaultColWidth="8.7109375" defaultRowHeight="12.75" x14ac:dyDescent="0.2"/>
  <cols>
    <col min="1" max="1" width="14.42578125" customWidth="1"/>
    <col min="2" max="2" width="14.28515625" customWidth="1"/>
    <col min="3" max="3" width="14.42578125" customWidth="1"/>
    <col min="5" max="7" width="11.42578125" customWidth="1"/>
    <col min="8" max="8" width="12.7109375" customWidth="1"/>
    <col min="9" max="13" width="11.42578125" customWidth="1"/>
    <col min="14" max="14" width="12.42578125" customWidth="1"/>
  </cols>
  <sheetData>
    <row r="1" spans="1:19" s="56" customFormat="1" ht="20.25" x14ac:dyDescent="0.3">
      <c r="A1" s="209" t="str">
        <f>Inputs!A1</f>
        <v>Potential To Emit Calculator for Graphic Arts and Printing Operations</v>
      </c>
      <c r="B1" s="209"/>
      <c r="C1" s="209"/>
      <c r="D1" s="209"/>
      <c r="E1" s="209"/>
      <c r="F1" s="209"/>
      <c r="G1" s="209"/>
      <c r="H1" s="209"/>
      <c r="I1" s="209"/>
      <c r="J1" s="209"/>
      <c r="K1" s="209"/>
      <c r="L1" s="209"/>
      <c r="M1" s="209"/>
      <c r="N1" s="209"/>
      <c r="O1" s="57"/>
      <c r="P1" s="10"/>
      <c r="Q1" s="10"/>
    </row>
    <row r="2" spans="1:19" s="56" customFormat="1" x14ac:dyDescent="0.2">
      <c r="A2" s="210">
        <v>42552</v>
      </c>
      <c r="B2" s="210"/>
      <c r="C2" s="210"/>
      <c r="D2" s="210"/>
      <c r="E2" s="210"/>
      <c r="F2" s="210"/>
      <c r="G2" s="210"/>
      <c r="H2" s="210"/>
      <c r="I2" s="210"/>
      <c r="J2" s="210"/>
      <c r="K2" s="210"/>
      <c r="L2" s="210"/>
      <c r="M2" s="210"/>
      <c r="N2" s="210"/>
      <c r="O2" s="11"/>
      <c r="P2" s="11"/>
      <c r="Q2" s="11"/>
      <c r="R2" s="11"/>
      <c r="S2" s="11"/>
    </row>
    <row r="3" spans="1:19" ht="13.35" customHeight="1" x14ac:dyDescent="0.25">
      <c r="A3" s="238" t="s">
        <v>118</v>
      </c>
      <c r="B3" s="238"/>
      <c r="C3" s="238"/>
      <c r="D3" s="238"/>
      <c r="E3" s="238"/>
      <c r="F3" s="238"/>
      <c r="G3" s="238"/>
      <c r="H3" s="238"/>
      <c r="I3" s="238"/>
      <c r="J3" s="238"/>
      <c r="K3" s="238"/>
      <c r="L3" s="238"/>
      <c r="M3" s="238"/>
      <c r="N3" s="238"/>
    </row>
    <row r="4" spans="1:19" x14ac:dyDescent="0.2">
      <c r="A4" s="59"/>
      <c r="B4" s="1"/>
      <c r="C4" s="59"/>
      <c r="D4" s="59"/>
      <c r="E4" s="59"/>
      <c r="F4" s="59"/>
      <c r="G4" s="59"/>
      <c r="H4" s="59"/>
      <c r="I4" s="59"/>
      <c r="J4" s="59"/>
      <c r="K4" s="59"/>
      <c r="L4" s="59"/>
      <c r="M4" s="59"/>
      <c r="N4" s="59"/>
    </row>
    <row r="5" spans="1:19" x14ac:dyDescent="0.2">
      <c r="A5" s="239"/>
      <c r="B5" s="239"/>
      <c r="C5" s="62"/>
      <c r="D5" s="59"/>
      <c r="E5" s="59"/>
      <c r="F5" s="59"/>
      <c r="G5" s="59"/>
      <c r="H5" s="59"/>
      <c r="I5" s="59"/>
      <c r="J5" s="5" t="s">
        <v>1</v>
      </c>
      <c r="K5" s="59"/>
      <c r="L5" s="59"/>
      <c r="M5" s="59"/>
      <c r="N5" s="59"/>
    </row>
    <row r="6" spans="1:19" x14ac:dyDescent="0.2">
      <c r="A6" s="239"/>
      <c r="B6" s="239"/>
      <c r="C6" s="107"/>
      <c r="D6" s="59"/>
      <c r="E6" s="59"/>
      <c r="F6" s="59"/>
      <c r="G6" s="59"/>
      <c r="H6" s="59"/>
      <c r="I6" s="59"/>
      <c r="J6" s="2" t="s">
        <v>22</v>
      </c>
      <c r="K6" s="59"/>
      <c r="L6" s="59"/>
      <c r="M6" s="59"/>
      <c r="N6" s="59"/>
    </row>
    <row r="7" spans="1:19" x14ac:dyDescent="0.2">
      <c r="A7" s="59"/>
      <c r="B7" s="12"/>
      <c r="C7" s="12"/>
      <c r="D7" s="59"/>
      <c r="E7" s="59"/>
      <c r="F7" s="59"/>
      <c r="G7" s="59"/>
      <c r="H7" s="59"/>
      <c r="I7" s="59"/>
      <c r="J7" s="2"/>
      <c r="K7" s="59"/>
      <c r="L7" s="59"/>
      <c r="M7" s="59"/>
      <c r="N7" s="59"/>
    </row>
    <row r="8" spans="1:19" ht="13.5" thickBot="1" x14ac:dyDescent="0.25">
      <c r="A8" s="59"/>
      <c r="B8" s="59"/>
      <c r="C8" s="59"/>
      <c r="D8" s="59"/>
      <c r="E8" s="59"/>
      <c r="F8" s="59"/>
      <c r="G8" s="59"/>
      <c r="H8" s="59"/>
      <c r="I8" s="59"/>
      <c r="J8" s="59"/>
      <c r="K8" s="59"/>
      <c r="L8" s="59"/>
      <c r="M8" s="59"/>
      <c r="N8" s="59"/>
    </row>
    <row r="9" spans="1:19" ht="12" customHeight="1" thickTop="1" x14ac:dyDescent="0.2">
      <c r="A9" s="118"/>
      <c r="B9" s="118"/>
      <c r="C9" s="118"/>
      <c r="D9" s="118"/>
      <c r="E9" s="118"/>
      <c r="F9" s="118"/>
      <c r="G9" s="118"/>
      <c r="H9" s="118"/>
      <c r="I9" s="118"/>
      <c r="J9" s="118"/>
      <c r="K9" s="118"/>
      <c r="L9" s="118"/>
      <c r="M9" s="118"/>
      <c r="N9" s="118"/>
    </row>
    <row r="10" spans="1:19" ht="13.5" thickBot="1" x14ac:dyDescent="0.25">
      <c r="A10" s="1"/>
      <c r="B10" s="1" t="s">
        <v>98</v>
      </c>
      <c r="C10" s="59"/>
      <c r="D10" s="119"/>
      <c r="E10" s="12"/>
      <c r="F10" s="12"/>
      <c r="G10" s="12"/>
      <c r="H10" s="59" t="s">
        <v>10</v>
      </c>
      <c r="I10" s="59" t="s">
        <v>10</v>
      </c>
      <c r="J10" s="47"/>
      <c r="K10" s="48" t="s">
        <v>10</v>
      </c>
      <c r="L10" s="59"/>
      <c r="M10" s="59"/>
      <c r="N10" s="59"/>
    </row>
    <row r="11" spans="1:19" s="17" customFormat="1" ht="12.75" customHeight="1" x14ac:dyDescent="0.2">
      <c r="A11" s="59"/>
      <c r="B11" s="132"/>
      <c r="C11" s="117"/>
      <c r="D11" s="117"/>
      <c r="E11" s="117"/>
      <c r="F11" s="117"/>
      <c r="G11" s="117"/>
      <c r="H11" s="117"/>
      <c r="I11" s="117"/>
      <c r="J11" s="117"/>
      <c r="K11" s="117"/>
      <c r="L11" s="146"/>
      <c r="M11" s="146"/>
      <c r="N11" s="147"/>
      <c r="O11" s="23"/>
      <c r="P11" s="23"/>
    </row>
    <row r="12" spans="1:19" s="17" customFormat="1" ht="19.5" customHeight="1" x14ac:dyDescent="0.2">
      <c r="A12" s="58"/>
      <c r="B12" s="232" t="s">
        <v>99</v>
      </c>
      <c r="C12" s="233"/>
      <c r="D12" s="233"/>
      <c r="E12" s="236" t="str">
        <f>Inputs!D31</f>
        <v>Actual Usage (lb/yr)</v>
      </c>
      <c r="F12" s="236" t="str">
        <f>Inputs!E31</f>
        <v>% VOC</v>
      </c>
      <c r="G12" s="236" t="str">
        <f>Inputs!F31</f>
        <v>% HAP</v>
      </c>
      <c r="H12" s="236" t="s">
        <v>132</v>
      </c>
      <c r="I12" s="236" t="str">
        <f>Inputs!H31</f>
        <v>Operating Hours (hr/yr)</v>
      </c>
      <c r="J12" s="236" t="s">
        <v>101</v>
      </c>
      <c r="K12" s="236" t="s">
        <v>102</v>
      </c>
      <c r="L12" s="236" t="s">
        <v>103</v>
      </c>
      <c r="M12" s="236" t="s">
        <v>100</v>
      </c>
      <c r="N12" s="241" t="s">
        <v>135</v>
      </c>
      <c r="O12" s="23"/>
      <c r="P12" s="23"/>
      <c r="Q12" s="23"/>
    </row>
    <row r="13" spans="1:19" s="17" customFormat="1" ht="19.5" customHeight="1" x14ac:dyDescent="0.2">
      <c r="A13" s="58"/>
      <c r="B13" s="234"/>
      <c r="C13" s="235"/>
      <c r="D13" s="235"/>
      <c r="E13" s="240"/>
      <c r="F13" s="240"/>
      <c r="G13" s="240"/>
      <c r="H13" s="240"/>
      <c r="I13" s="240"/>
      <c r="J13" s="240"/>
      <c r="K13" s="240"/>
      <c r="L13" s="240"/>
      <c r="M13" s="236"/>
      <c r="N13" s="241"/>
      <c r="O13" s="23"/>
      <c r="P13" s="23"/>
      <c r="Q13" s="23"/>
    </row>
    <row r="14" spans="1:19" s="17" customFormat="1" x14ac:dyDescent="0.2">
      <c r="A14" s="58"/>
      <c r="B14" s="230" t="str">
        <f>Inputs!C32</f>
        <v xml:space="preserve"> Ink #1 (specify)</v>
      </c>
      <c r="C14" s="231"/>
      <c r="D14" s="231"/>
      <c r="E14" s="187">
        <f>Inputs!D32</f>
        <v>0</v>
      </c>
      <c r="F14" s="187">
        <f>Inputs!E32</f>
        <v>10</v>
      </c>
      <c r="G14" s="187">
        <f>Inputs!F32</f>
        <v>1</v>
      </c>
      <c r="H14" s="187">
        <f>Inputs!G32</f>
        <v>5</v>
      </c>
      <c r="I14" s="187">
        <f>Inputs!H32</f>
        <v>8760</v>
      </c>
      <c r="J14" s="187" t="str">
        <f>Inputs!I32</f>
        <v>N</v>
      </c>
      <c r="K14" s="187">
        <f>Inputs!K32</f>
        <v>0</v>
      </c>
      <c r="L14" s="187">
        <f>Inputs!M32</f>
        <v>95</v>
      </c>
      <c r="M14" s="192">
        <f t="shared" ref="M14:M32" si="0">IF(J14="Y",E14*F14/100*H14/100*8760/I14*1/2000*(1-K14/100*L14/100),E14*F14/100*H14/100*8760/I14*1/2000)</f>
        <v>0</v>
      </c>
      <c r="N14" s="185">
        <f>IF(J14="Y",E14*G14/100*H14/100*8760/I14*1/2000*(1-K14/100*L14/100),E14*G14/100*H14/100*8760/I14*1/2000)</f>
        <v>0</v>
      </c>
      <c r="O14" s="23"/>
      <c r="P14" s="27"/>
      <c r="Q14" s="23"/>
    </row>
    <row r="15" spans="1:19" s="17" customFormat="1" x14ac:dyDescent="0.2">
      <c r="A15" s="58"/>
      <c r="B15" s="230" t="str">
        <f>Inputs!C33</f>
        <v xml:space="preserve"> Ink #2 (specify)</v>
      </c>
      <c r="C15" s="231"/>
      <c r="D15" s="231"/>
      <c r="E15" s="187">
        <f>Inputs!D33</f>
        <v>0</v>
      </c>
      <c r="F15" s="187">
        <f>Inputs!E33</f>
        <v>10</v>
      </c>
      <c r="G15" s="187">
        <f>Inputs!F33</f>
        <v>1</v>
      </c>
      <c r="H15" s="187">
        <f>Inputs!G33</f>
        <v>5</v>
      </c>
      <c r="I15" s="187">
        <f>Inputs!H33</f>
        <v>8760</v>
      </c>
      <c r="J15" s="187" t="str">
        <f>Inputs!I33</f>
        <v>N</v>
      </c>
      <c r="K15" s="187">
        <f>Inputs!K33</f>
        <v>0</v>
      </c>
      <c r="L15" s="187">
        <f>Inputs!M33</f>
        <v>95</v>
      </c>
      <c r="M15" s="192">
        <f t="shared" si="0"/>
        <v>0</v>
      </c>
      <c r="N15" s="185">
        <f t="shared" ref="N15:N31" si="1">IF(J15="Y",E15*G15/100*H15/100*8760/I15*1/2000*(1-K15/100*L15/100),E15*G15/100*H15/100*8760/I15*1/2000)</f>
        <v>0</v>
      </c>
      <c r="O15" s="23"/>
      <c r="P15" s="27"/>
      <c r="Q15" s="23"/>
    </row>
    <row r="16" spans="1:19" s="17" customFormat="1" x14ac:dyDescent="0.2">
      <c r="A16" s="58"/>
      <c r="B16" s="230" t="str">
        <f>Inputs!C34</f>
        <v xml:space="preserve"> Ink #3 (specify)</v>
      </c>
      <c r="C16" s="231"/>
      <c r="D16" s="231"/>
      <c r="E16" s="187">
        <f>Inputs!D34</f>
        <v>0</v>
      </c>
      <c r="F16" s="187">
        <f>Inputs!E34</f>
        <v>10</v>
      </c>
      <c r="G16" s="187">
        <f>Inputs!F34</f>
        <v>1</v>
      </c>
      <c r="H16" s="187">
        <f>Inputs!G34</f>
        <v>5</v>
      </c>
      <c r="I16" s="187">
        <f>Inputs!H34</f>
        <v>8760</v>
      </c>
      <c r="J16" s="187" t="str">
        <f>Inputs!I34</f>
        <v>N</v>
      </c>
      <c r="K16" s="187">
        <f>Inputs!K34</f>
        <v>0</v>
      </c>
      <c r="L16" s="187">
        <f>Inputs!M34</f>
        <v>95</v>
      </c>
      <c r="M16" s="192">
        <f t="shared" si="0"/>
        <v>0</v>
      </c>
      <c r="N16" s="185">
        <f t="shared" si="1"/>
        <v>0</v>
      </c>
      <c r="O16" s="23"/>
      <c r="P16" s="27"/>
      <c r="Q16" s="23"/>
    </row>
    <row r="17" spans="1:17" s="17" customFormat="1" x14ac:dyDescent="0.2">
      <c r="A17" s="58"/>
      <c r="B17" s="230" t="str">
        <f>Inputs!C35</f>
        <v xml:space="preserve"> Ink #4 (specify)</v>
      </c>
      <c r="C17" s="231"/>
      <c r="D17" s="231"/>
      <c r="E17" s="187">
        <f>Inputs!D35</f>
        <v>0</v>
      </c>
      <c r="F17" s="187">
        <f>Inputs!E35</f>
        <v>10</v>
      </c>
      <c r="G17" s="187">
        <f>Inputs!F35</f>
        <v>1</v>
      </c>
      <c r="H17" s="187">
        <f>Inputs!G35</f>
        <v>5</v>
      </c>
      <c r="I17" s="187">
        <f>Inputs!H35</f>
        <v>8760</v>
      </c>
      <c r="J17" s="187" t="str">
        <f>Inputs!I35</f>
        <v>N</v>
      </c>
      <c r="K17" s="187">
        <f>Inputs!K35</f>
        <v>0</v>
      </c>
      <c r="L17" s="187">
        <f>Inputs!M35</f>
        <v>95</v>
      </c>
      <c r="M17" s="192">
        <f t="shared" si="0"/>
        <v>0</v>
      </c>
      <c r="N17" s="185">
        <f t="shared" si="1"/>
        <v>0</v>
      </c>
      <c r="O17" s="23"/>
      <c r="P17" s="27"/>
      <c r="Q17" s="23"/>
    </row>
    <row r="18" spans="1:17" s="17" customFormat="1" x14ac:dyDescent="0.2">
      <c r="A18" s="58"/>
      <c r="B18" s="230" t="str">
        <f>Inputs!C36</f>
        <v xml:space="preserve"> Ink #5 (specify)</v>
      </c>
      <c r="C18" s="231"/>
      <c r="D18" s="231"/>
      <c r="E18" s="187">
        <f>Inputs!D36</f>
        <v>0</v>
      </c>
      <c r="F18" s="187">
        <f>Inputs!E36</f>
        <v>10</v>
      </c>
      <c r="G18" s="187">
        <f>Inputs!F36</f>
        <v>1</v>
      </c>
      <c r="H18" s="187">
        <f>Inputs!G36</f>
        <v>5</v>
      </c>
      <c r="I18" s="187">
        <f>Inputs!H36</f>
        <v>8760</v>
      </c>
      <c r="J18" s="187" t="str">
        <f>Inputs!I36</f>
        <v>N</v>
      </c>
      <c r="K18" s="187">
        <f>Inputs!K36</f>
        <v>0</v>
      </c>
      <c r="L18" s="187">
        <f>Inputs!M36</f>
        <v>95</v>
      </c>
      <c r="M18" s="192">
        <f t="shared" si="0"/>
        <v>0</v>
      </c>
      <c r="N18" s="185">
        <f t="shared" si="1"/>
        <v>0</v>
      </c>
      <c r="O18" s="23"/>
      <c r="P18" s="27"/>
      <c r="Q18" s="23"/>
    </row>
    <row r="19" spans="1:17" s="17" customFormat="1" x14ac:dyDescent="0.2">
      <c r="A19" s="58"/>
      <c r="B19" s="230" t="str">
        <f>Inputs!C37</f>
        <v xml:space="preserve"> Ink #6 (specify)</v>
      </c>
      <c r="C19" s="231"/>
      <c r="D19" s="231"/>
      <c r="E19" s="187">
        <f>Inputs!D37</f>
        <v>0</v>
      </c>
      <c r="F19" s="187">
        <f>Inputs!E37</f>
        <v>10</v>
      </c>
      <c r="G19" s="187">
        <f>Inputs!F37</f>
        <v>1</v>
      </c>
      <c r="H19" s="187">
        <f>Inputs!G37</f>
        <v>5</v>
      </c>
      <c r="I19" s="187">
        <f>Inputs!H37</f>
        <v>8760</v>
      </c>
      <c r="J19" s="187" t="str">
        <f>Inputs!I37</f>
        <v>N</v>
      </c>
      <c r="K19" s="187">
        <f>Inputs!K37</f>
        <v>0</v>
      </c>
      <c r="L19" s="187">
        <f>Inputs!M37</f>
        <v>95</v>
      </c>
      <c r="M19" s="192">
        <f t="shared" si="0"/>
        <v>0</v>
      </c>
      <c r="N19" s="185">
        <f t="shared" si="1"/>
        <v>0</v>
      </c>
      <c r="O19" s="23"/>
      <c r="P19" s="27"/>
      <c r="Q19" s="23"/>
    </row>
    <row r="20" spans="1:17" s="17" customFormat="1" x14ac:dyDescent="0.2">
      <c r="A20" s="58"/>
      <c r="B20" s="230" t="str">
        <f>Inputs!C38</f>
        <v xml:space="preserve"> Ink #7 (specify)</v>
      </c>
      <c r="C20" s="231"/>
      <c r="D20" s="231"/>
      <c r="E20" s="187">
        <f>Inputs!D38</f>
        <v>0</v>
      </c>
      <c r="F20" s="187">
        <f>Inputs!E38</f>
        <v>10</v>
      </c>
      <c r="G20" s="187">
        <f>Inputs!F38</f>
        <v>1</v>
      </c>
      <c r="H20" s="187">
        <f>Inputs!G38</f>
        <v>5</v>
      </c>
      <c r="I20" s="187">
        <f>Inputs!H38</f>
        <v>8760</v>
      </c>
      <c r="J20" s="187" t="str">
        <f>Inputs!I38</f>
        <v>N</v>
      </c>
      <c r="K20" s="187">
        <f>Inputs!K38</f>
        <v>0</v>
      </c>
      <c r="L20" s="187">
        <f>Inputs!M38</f>
        <v>95</v>
      </c>
      <c r="M20" s="192">
        <f t="shared" si="0"/>
        <v>0</v>
      </c>
      <c r="N20" s="185">
        <f t="shared" si="1"/>
        <v>0</v>
      </c>
      <c r="O20" s="23"/>
      <c r="P20" s="27"/>
      <c r="Q20" s="23"/>
    </row>
    <row r="21" spans="1:17" s="17" customFormat="1" x14ac:dyDescent="0.2">
      <c r="A21" s="58"/>
      <c r="B21" s="230" t="str">
        <f>Inputs!C39</f>
        <v>Varnish</v>
      </c>
      <c r="C21" s="231"/>
      <c r="D21" s="231"/>
      <c r="E21" s="187">
        <f>Inputs!D39</f>
        <v>0</v>
      </c>
      <c r="F21" s="187">
        <f>Inputs!E39</f>
        <v>10</v>
      </c>
      <c r="G21" s="187">
        <f>Inputs!F39</f>
        <v>1</v>
      </c>
      <c r="H21" s="187">
        <f>Inputs!G39</f>
        <v>5</v>
      </c>
      <c r="I21" s="187">
        <f>Inputs!H39</f>
        <v>8760</v>
      </c>
      <c r="J21" s="187" t="str">
        <f>Inputs!I39</f>
        <v>Y</v>
      </c>
      <c r="K21" s="187">
        <f>Inputs!K39</f>
        <v>0</v>
      </c>
      <c r="L21" s="187">
        <f>Inputs!M39</f>
        <v>95</v>
      </c>
      <c r="M21" s="192">
        <f t="shared" si="0"/>
        <v>0</v>
      </c>
      <c r="N21" s="185">
        <f t="shared" si="1"/>
        <v>0</v>
      </c>
      <c r="O21" s="23"/>
      <c r="P21" s="27"/>
      <c r="Q21" s="23"/>
    </row>
    <row r="22" spans="1:17" s="17" customFormat="1" x14ac:dyDescent="0.2">
      <c r="A22" s="58"/>
      <c r="B22" s="230" t="str">
        <f>Inputs!C40</f>
        <v>Coating</v>
      </c>
      <c r="C22" s="231"/>
      <c r="D22" s="231"/>
      <c r="E22" s="187">
        <f>Inputs!D40</f>
        <v>0</v>
      </c>
      <c r="F22" s="187">
        <f>Inputs!E40</f>
        <v>10</v>
      </c>
      <c r="G22" s="187">
        <f>Inputs!F40</f>
        <v>1</v>
      </c>
      <c r="H22" s="187">
        <f>Inputs!G40</f>
        <v>5</v>
      </c>
      <c r="I22" s="187">
        <f>Inputs!H40</f>
        <v>8760</v>
      </c>
      <c r="J22" s="187" t="str">
        <f>Inputs!I40</f>
        <v>Y</v>
      </c>
      <c r="K22" s="187">
        <f>Inputs!K40</f>
        <v>0</v>
      </c>
      <c r="L22" s="187">
        <f>Inputs!M40</f>
        <v>95</v>
      </c>
      <c r="M22" s="192">
        <f t="shared" si="0"/>
        <v>0</v>
      </c>
      <c r="N22" s="185">
        <f t="shared" si="1"/>
        <v>0</v>
      </c>
      <c r="O22" s="23"/>
      <c r="P22" s="27"/>
      <c r="Q22" s="23"/>
    </row>
    <row r="23" spans="1:17" s="17" customFormat="1" x14ac:dyDescent="0.2">
      <c r="A23" s="58"/>
      <c r="B23" s="230" t="str">
        <f>Inputs!C41</f>
        <v>Fountain Solution</v>
      </c>
      <c r="C23" s="231"/>
      <c r="D23" s="231"/>
      <c r="E23" s="187">
        <f>Inputs!D41</f>
        <v>0</v>
      </c>
      <c r="F23" s="187">
        <f>Inputs!E41</f>
        <v>10</v>
      </c>
      <c r="G23" s="187">
        <f>Inputs!F41</f>
        <v>1</v>
      </c>
      <c r="H23" s="187">
        <f>Inputs!G41</f>
        <v>100</v>
      </c>
      <c r="I23" s="187">
        <f>Inputs!H41</f>
        <v>8760</v>
      </c>
      <c r="J23" s="187" t="str">
        <f>Inputs!I41</f>
        <v>Y</v>
      </c>
      <c r="K23" s="187">
        <f>Inputs!K41</f>
        <v>0</v>
      </c>
      <c r="L23" s="187">
        <f>Inputs!M41</f>
        <v>95</v>
      </c>
      <c r="M23" s="192">
        <f t="shared" si="0"/>
        <v>0</v>
      </c>
      <c r="N23" s="185">
        <f t="shared" si="1"/>
        <v>0</v>
      </c>
      <c r="O23" s="23"/>
      <c r="P23" s="27"/>
      <c r="Q23" s="23"/>
    </row>
    <row r="24" spans="1:17" s="17" customFormat="1" x14ac:dyDescent="0.2">
      <c r="A24" s="58"/>
      <c r="B24" s="230" t="str">
        <f>Inputs!C42</f>
        <v>Blanket Wash</v>
      </c>
      <c r="C24" s="231"/>
      <c r="D24" s="231"/>
      <c r="E24" s="187">
        <f>Inputs!D42</f>
        <v>0</v>
      </c>
      <c r="F24" s="187">
        <f>Inputs!E42</f>
        <v>10</v>
      </c>
      <c r="G24" s="187">
        <f>Inputs!F42</f>
        <v>1</v>
      </c>
      <c r="H24" s="187">
        <f>Inputs!G42</f>
        <v>100</v>
      </c>
      <c r="I24" s="187">
        <f>Inputs!H42</f>
        <v>8760</v>
      </c>
      <c r="J24" s="187" t="str">
        <f>Inputs!I42</f>
        <v>Y</v>
      </c>
      <c r="K24" s="187">
        <f>Inputs!K42</f>
        <v>0</v>
      </c>
      <c r="L24" s="187">
        <f>Inputs!M42</f>
        <v>95</v>
      </c>
      <c r="M24" s="192">
        <f t="shared" si="0"/>
        <v>0</v>
      </c>
      <c r="N24" s="185">
        <f t="shared" si="1"/>
        <v>0</v>
      </c>
      <c r="O24" s="23"/>
      <c r="P24" s="27"/>
      <c r="Q24" s="23"/>
    </row>
    <row r="25" spans="1:17" s="17" customFormat="1" x14ac:dyDescent="0.2">
      <c r="A25" s="58"/>
      <c r="B25" s="230" t="str">
        <f>Inputs!C43</f>
        <v>Solvent</v>
      </c>
      <c r="C25" s="231"/>
      <c r="D25" s="231"/>
      <c r="E25" s="187">
        <f>Inputs!D43</f>
        <v>0</v>
      </c>
      <c r="F25" s="187">
        <f>Inputs!E43</f>
        <v>10</v>
      </c>
      <c r="G25" s="187">
        <f>Inputs!F43</f>
        <v>1</v>
      </c>
      <c r="H25" s="187">
        <f>Inputs!G43</f>
        <v>100</v>
      </c>
      <c r="I25" s="187">
        <f>Inputs!H43</f>
        <v>8760</v>
      </c>
      <c r="J25" s="187" t="str">
        <f>Inputs!I43</f>
        <v>N</v>
      </c>
      <c r="K25" s="187">
        <f>Inputs!K43</f>
        <v>0</v>
      </c>
      <c r="L25" s="187">
        <f>Inputs!M43</f>
        <v>95</v>
      </c>
      <c r="M25" s="192">
        <f t="shared" si="0"/>
        <v>0</v>
      </c>
      <c r="N25" s="185">
        <f t="shared" si="1"/>
        <v>0</v>
      </c>
      <c r="O25" s="23"/>
      <c r="P25" s="27"/>
      <c r="Q25" s="23"/>
    </row>
    <row r="26" spans="1:17" s="17" customFormat="1" x14ac:dyDescent="0.2">
      <c r="A26" s="58"/>
      <c r="B26" s="230" t="str">
        <f>Inputs!C44</f>
        <v>[Other: specify]</v>
      </c>
      <c r="C26" s="231"/>
      <c r="D26" s="231"/>
      <c r="E26" s="187">
        <f>Inputs!D44</f>
        <v>0</v>
      </c>
      <c r="F26" s="187">
        <f>Inputs!E44</f>
        <v>10</v>
      </c>
      <c r="G26" s="187">
        <f>Inputs!F44</f>
        <v>1</v>
      </c>
      <c r="H26" s="187">
        <f>Inputs!G44</f>
        <v>100</v>
      </c>
      <c r="I26" s="187">
        <f>Inputs!H44</f>
        <v>8760</v>
      </c>
      <c r="J26" s="187" t="str">
        <f>Inputs!I44</f>
        <v>Y</v>
      </c>
      <c r="K26" s="187">
        <f>Inputs!K44</f>
        <v>0</v>
      </c>
      <c r="L26" s="187">
        <f>Inputs!M44</f>
        <v>95</v>
      </c>
      <c r="M26" s="192">
        <f t="shared" si="0"/>
        <v>0</v>
      </c>
      <c r="N26" s="185">
        <f t="shared" si="1"/>
        <v>0</v>
      </c>
      <c r="O26" s="23"/>
      <c r="P26" s="27"/>
      <c r="Q26" s="23"/>
    </row>
    <row r="27" spans="1:17" s="17" customFormat="1" ht="15" customHeight="1" x14ac:dyDescent="0.2">
      <c r="A27" s="58"/>
      <c r="B27" s="230" t="str">
        <f>Inputs!C45</f>
        <v>[Other: specify]</v>
      </c>
      <c r="C27" s="231"/>
      <c r="D27" s="231"/>
      <c r="E27" s="187">
        <f>Inputs!D45</f>
        <v>0</v>
      </c>
      <c r="F27" s="187">
        <f>Inputs!E45</f>
        <v>10</v>
      </c>
      <c r="G27" s="187">
        <f>Inputs!F45</f>
        <v>1</v>
      </c>
      <c r="H27" s="187">
        <f>Inputs!G45</f>
        <v>100</v>
      </c>
      <c r="I27" s="187">
        <f>Inputs!H45</f>
        <v>8760</v>
      </c>
      <c r="J27" s="187" t="str">
        <f>Inputs!I45</f>
        <v>Y</v>
      </c>
      <c r="K27" s="187">
        <f>Inputs!K45</f>
        <v>0</v>
      </c>
      <c r="L27" s="187">
        <f>Inputs!M45</f>
        <v>95</v>
      </c>
      <c r="M27" s="192">
        <f t="shared" si="0"/>
        <v>0</v>
      </c>
      <c r="N27" s="185">
        <f t="shared" si="1"/>
        <v>0</v>
      </c>
      <c r="O27" s="23"/>
      <c r="P27" s="27"/>
      <c r="Q27" s="23"/>
    </row>
    <row r="28" spans="1:17" s="17" customFormat="1" ht="15" customHeight="1" x14ac:dyDescent="0.2">
      <c r="A28" s="58"/>
      <c r="B28" s="230" t="str">
        <f>Inputs!C46</f>
        <v>[Other: specify]</v>
      </c>
      <c r="C28" s="231"/>
      <c r="D28" s="231"/>
      <c r="E28" s="187">
        <f>Inputs!D46</f>
        <v>0</v>
      </c>
      <c r="F28" s="187">
        <f>Inputs!E46</f>
        <v>10</v>
      </c>
      <c r="G28" s="187">
        <f>Inputs!F46</f>
        <v>1</v>
      </c>
      <c r="H28" s="187">
        <f>Inputs!G46</f>
        <v>100</v>
      </c>
      <c r="I28" s="187">
        <f>Inputs!H46</f>
        <v>8760</v>
      </c>
      <c r="J28" s="187" t="str">
        <f>Inputs!I46</f>
        <v>N</v>
      </c>
      <c r="K28" s="187">
        <f>Inputs!K46</f>
        <v>0</v>
      </c>
      <c r="L28" s="187">
        <f>Inputs!M46</f>
        <v>95</v>
      </c>
      <c r="M28" s="192">
        <f t="shared" si="0"/>
        <v>0</v>
      </c>
      <c r="N28" s="185">
        <f t="shared" si="1"/>
        <v>0</v>
      </c>
      <c r="O28" s="23"/>
      <c r="P28" s="27"/>
      <c r="Q28" s="23"/>
    </row>
    <row r="29" spans="1:17" s="17" customFormat="1" ht="15" customHeight="1" x14ac:dyDescent="0.2">
      <c r="A29" s="58"/>
      <c r="B29" s="230" t="str">
        <f>Inputs!C47</f>
        <v>[Other: specify]</v>
      </c>
      <c r="C29" s="231"/>
      <c r="D29" s="231"/>
      <c r="E29" s="187">
        <f>Inputs!D47</f>
        <v>0</v>
      </c>
      <c r="F29" s="187">
        <f>Inputs!E47</f>
        <v>10</v>
      </c>
      <c r="G29" s="187">
        <f>Inputs!F47</f>
        <v>1</v>
      </c>
      <c r="H29" s="187">
        <f>Inputs!G47</f>
        <v>100</v>
      </c>
      <c r="I29" s="187">
        <f>Inputs!H47</f>
        <v>8760</v>
      </c>
      <c r="J29" s="187" t="str">
        <f>Inputs!I47</f>
        <v>N</v>
      </c>
      <c r="K29" s="187">
        <f>Inputs!K47</f>
        <v>0</v>
      </c>
      <c r="L29" s="187">
        <f>Inputs!M47</f>
        <v>95</v>
      </c>
      <c r="M29" s="192">
        <f t="shared" si="0"/>
        <v>0</v>
      </c>
      <c r="N29" s="185">
        <f t="shared" si="1"/>
        <v>0</v>
      </c>
      <c r="O29" s="23"/>
      <c r="P29" s="27"/>
      <c r="Q29" s="23"/>
    </row>
    <row r="30" spans="1:17" s="17" customFormat="1" ht="15" customHeight="1" x14ac:dyDescent="0.2">
      <c r="A30" s="58"/>
      <c r="B30" s="230" t="str">
        <f>Inputs!C48</f>
        <v>[Other: specify]</v>
      </c>
      <c r="C30" s="231"/>
      <c r="D30" s="231"/>
      <c r="E30" s="187">
        <f>Inputs!D48</f>
        <v>0</v>
      </c>
      <c r="F30" s="187">
        <f>Inputs!E48</f>
        <v>10</v>
      </c>
      <c r="G30" s="187">
        <f>Inputs!F48</f>
        <v>1</v>
      </c>
      <c r="H30" s="187">
        <f>Inputs!G48</f>
        <v>100</v>
      </c>
      <c r="I30" s="187">
        <f>Inputs!H48</f>
        <v>8760</v>
      </c>
      <c r="J30" s="187" t="str">
        <f>Inputs!I48</f>
        <v>N</v>
      </c>
      <c r="K30" s="187">
        <f>Inputs!K48</f>
        <v>0</v>
      </c>
      <c r="L30" s="187">
        <f>Inputs!M48</f>
        <v>95</v>
      </c>
      <c r="M30" s="192">
        <f t="shared" si="0"/>
        <v>0</v>
      </c>
      <c r="N30" s="185">
        <f t="shared" si="1"/>
        <v>0</v>
      </c>
      <c r="O30" s="23"/>
      <c r="P30" s="27"/>
      <c r="Q30" s="23"/>
    </row>
    <row r="31" spans="1:17" s="17" customFormat="1" ht="15" customHeight="1" x14ac:dyDescent="0.2">
      <c r="A31" s="58"/>
      <c r="B31" s="230" t="str">
        <f>Inputs!C49</f>
        <v>[Other: specify]</v>
      </c>
      <c r="C31" s="231"/>
      <c r="D31" s="231"/>
      <c r="E31" s="187">
        <f>Inputs!D49</f>
        <v>0</v>
      </c>
      <c r="F31" s="187">
        <f>Inputs!E49</f>
        <v>10</v>
      </c>
      <c r="G31" s="187">
        <f>Inputs!F49</f>
        <v>1</v>
      </c>
      <c r="H31" s="187">
        <f>Inputs!G49</f>
        <v>100</v>
      </c>
      <c r="I31" s="187">
        <f>Inputs!H49</f>
        <v>8760</v>
      </c>
      <c r="J31" s="187" t="str">
        <f>Inputs!I49</f>
        <v>N</v>
      </c>
      <c r="K31" s="187">
        <f>Inputs!K49</f>
        <v>0</v>
      </c>
      <c r="L31" s="187">
        <f>Inputs!M49</f>
        <v>95</v>
      </c>
      <c r="M31" s="192">
        <f t="shared" si="0"/>
        <v>0</v>
      </c>
      <c r="N31" s="185">
        <f t="shared" si="1"/>
        <v>0</v>
      </c>
      <c r="O31" s="23"/>
      <c r="P31" s="27"/>
      <c r="Q31" s="23"/>
    </row>
    <row r="32" spans="1:17" s="17" customFormat="1" ht="15" customHeight="1" x14ac:dyDescent="0.2">
      <c r="A32" s="58"/>
      <c r="B32" s="230" t="str">
        <f>Inputs!C50</f>
        <v>[Other: specify]</v>
      </c>
      <c r="C32" s="231"/>
      <c r="D32" s="231"/>
      <c r="E32" s="187">
        <f>Inputs!D50</f>
        <v>0</v>
      </c>
      <c r="F32" s="187">
        <f>Inputs!E50</f>
        <v>10</v>
      </c>
      <c r="G32" s="187">
        <f>Inputs!F50</f>
        <v>1</v>
      </c>
      <c r="H32" s="187">
        <f>Inputs!G50</f>
        <v>100</v>
      </c>
      <c r="I32" s="187">
        <f>Inputs!H50</f>
        <v>8760</v>
      </c>
      <c r="J32" s="187" t="str">
        <f>Inputs!I50</f>
        <v>N</v>
      </c>
      <c r="K32" s="187">
        <f>Inputs!K50</f>
        <v>0</v>
      </c>
      <c r="L32" s="187">
        <f>Inputs!M50</f>
        <v>95</v>
      </c>
      <c r="M32" s="192">
        <f t="shared" si="0"/>
        <v>0</v>
      </c>
      <c r="N32" s="185">
        <f>IF(J32="Y",E32*G32/100*H32/100*8760/I32*1/2000*(1-K32/100*L32/100),E32*G32/100*H32/100*8760/I32*1/2000)</f>
        <v>0</v>
      </c>
      <c r="O32" s="23"/>
      <c r="P32" s="27"/>
      <c r="Q32" s="23"/>
    </row>
    <row r="33" spans="1:17" s="17" customFormat="1" ht="15" customHeight="1" x14ac:dyDescent="0.2">
      <c r="A33" s="58"/>
      <c r="B33" s="242"/>
      <c r="C33" s="243"/>
      <c r="D33" s="244"/>
      <c r="E33" s="113" t="str">
        <f>IF($C6="Electrostatic Precipitator",0.054+0.017,"")</f>
        <v/>
      </c>
      <c r="F33" s="120" t="str">
        <f>IF($C6="Electrostatic Precipitator",0.04,"")</f>
        <v/>
      </c>
      <c r="G33" s="120"/>
      <c r="H33" s="120" t="str">
        <f>IF($C6="Electrostatic Precipitator",0.035,"")</f>
        <v/>
      </c>
      <c r="I33" s="113"/>
      <c r="J33" s="114"/>
      <c r="K33" s="115"/>
      <c r="L33" s="116"/>
      <c r="M33" s="116"/>
      <c r="N33" s="111"/>
      <c r="O33" s="23"/>
      <c r="P33" s="23"/>
      <c r="Q33" s="23"/>
    </row>
    <row r="34" spans="1:17" s="17" customFormat="1" ht="13.5" thickBot="1" x14ac:dyDescent="0.25">
      <c r="A34" s="58"/>
      <c r="B34" s="121"/>
      <c r="C34" s="122"/>
      <c r="D34" s="122"/>
      <c r="E34" s="123"/>
      <c r="F34" s="123"/>
      <c r="G34" s="124"/>
      <c r="H34" s="124"/>
      <c r="I34" s="123"/>
      <c r="J34" s="123"/>
      <c r="K34" s="123"/>
      <c r="L34" s="125"/>
      <c r="M34" s="125"/>
      <c r="N34" s="112"/>
      <c r="O34" s="23"/>
      <c r="P34" s="23"/>
      <c r="Q34" s="23"/>
    </row>
    <row r="35" spans="1:17" s="17" customFormat="1" ht="13.5" thickTop="1" x14ac:dyDescent="0.2">
      <c r="A35" s="58"/>
      <c r="B35" s="109"/>
      <c r="C35" s="58"/>
      <c r="D35" s="58"/>
      <c r="E35" s="145"/>
      <c r="F35" s="145"/>
      <c r="G35" s="145"/>
      <c r="H35" s="138"/>
      <c r="I35" s="145"/>
      <c r="J35" s="145"/>
      <c r="K35" s="145"/>
      <c r="L35" s="145"/>
      <c r="M35" s="145"/>
      <c r="N35" s="165"/>
      <c r="O35" s="23"/>
      <c r="P35" s="23"/>
      <c r="Q35" s="23"/>
    </row>
    <row r="36" spans="1:17" s="16" customFormat="1" x14ac:dyDescent="0.2">
      <c r="A36" s="30"/>
      <c r="B36" s="109" t="s">
        <v>100</v>
      </c>
      <c r="C36" s="30"/>
      <c r="D36" s="30"/>
      <c r="E36" s="68"/>
      <c r="F36" s="68"/>
      <c r="G36" s="68"/>
      <c r="H36" s="68"/>
      <c r="I36" s="68"/>
      <c r="J36" s="68"/>
      <c r="K36" s="68"/>
      <c r="L36" s="68"/>
      <c r="M36" s="46">
        <f>SUM(M14:M33)</f>
        <v>0</v>
      </c>
      <c r="N36" s="193">
        <f>SUM(N14:N33)</f>
        <v>0</v>
      </c>
      <c r="O36" s="24"/>
      <c r="P36" s="24"/>
      <c r="Q36" s="24"/>
    </row>
    <row r="37" spans="1:17" s="17" customFormat="1" ht="13.5" thickBot="1" x14ac:dyDescent="0.25">
      <c r="A37" s="58"/>
      <c r="B37" s="126"/>
      <c r="C37" s="127"/>
      <c r="D37" s="127"/>
      <c r="E37" s="128"/>
      <c r="F37" s="129"/>
      <c r="G37" s="129"/>
      <c r="H37" s="129"/>
      <c r="I37" s="130" t="s">
        <v>10</v>
      </c>
      <c r="J37" s="130"/>
      <c r="K37" s="130"/>
      <c r="L37" s="131"/>
      <c r="M37" s="131"/>
      <c r="N37" s="133"/>
      <c r="O37" s="23"/>
      <c r="P37" s="23"/>
      <c r="Q37" s="23"/>
    </row>
    <row r="38" spans="1:17" s="17" customFormat="1" x14ac:dyDescent="0.2">
      <c r="A38" s="59"/>
      <c r="B38" s="30" t="s">
        <v>12</v>
      </c>
      <c r="C38" s="58"/>
      <c r="D38" s="58"/>
      <c r="E38" s="134"/>
      <c r="F38" s="135"/>
      <c r="G38" s="188"/>
      <c r="H38" s="135"/>
      <c r="I38" s="135"/>
      <c r="J38" s="135"/>
      <c r="K38" s="135"/>
      <c r="L38" s="135"/>
      <c r="M38" s="188"/>
      <c r="N38" s="58"/>
      <c r="O38" s="23"/>
      <c r="P38" s="23"/>
      <c r="Q38" s="23"/>
    </row>
    <row r="39" spans="1:17" s="17" customFormat="1" ht="26.25" customHeight="1" x14ac:dyDescent="0.2">
      <c r="A39" s="59"/>
      <c r="B39" s="237" t="s">
        <v>115</v>
      </c>
      <c r="C39" s="237"/>
      <c r="D39" s="237"/>
      <c r="E39" s="237"/>
      <c r="F39" s="237"/>
      <c r="G39" s="237"/>
      <c r="H39" s="237"/>
      <c r="I39" s="237"/>
      <c r="J39" s="237"/>
      <c r="K39" s="237"/>
      <c r="L39" s="237"/>
      <c r="M39" s="237"/>
      <c r="N39" s="237"/>
    </row>
    <row r="40" spans="1:17" s="17" customFormat="1" x14ac:dyDescent="0.2">
      <c r="A40" s="59"/>
      <c r="B40" s="59"/>
      <c r="C40" s="59"/>
      <c r="D40" s="59"/>
      <c r="E40" s="59"/>
      <c r="F40" s="59"/>
      <c r="G40" s="59"/>
      <c r="H40" s="59"/>
      <c r="I40" s="59"/>
      <c r="J40" s="59"/>
      <c r="K40" s="59"/>
      <c r="L40" s="59"/>
      <c r="M40" s="59"/>
      <c r="N40" s="59"/>
    </row>
    <row r="41" spans="1:17" s="17" customFormat="1" x14ac:dyDescent="0.2">
      <c r="A41" s="59"/>
      <c r="B41" s="1" t="s">
        <v>11</v>
      </c>
      <c r="C41" s="59"/>
      <c r="D41" s="59"/>
      <c r="E41" s="59"/>
      <c r="F41" s="59"/>
      <c r="G41" s="59"/>
      <c r="H41" s="59"/>
      <c r="I41" s="59"/>
      <c r="J41" s="59"/>
      <c r="K41" s="59"/>
      <c r="L41" s="59"/>
      <c r="M41" s="59"/>
      <c r="N41" s="59"/>
    </row>
    <row r="42" spans="1:17" s="17" customFormat="1" ht="26.25" customHeight="1" x14ac:dyDescent="0.2">
      <c r="A42" s="59"/>
      <c r="B42" s="237" t="s">
        <v>114</v>
      </c>
      <c r="C42" s="237"/>
      <c r="D42" s="237"/>
      <c r="E42" s="237"/>
      <c r="F42" s="237"/>
      <c r="G42" s="237"/>
      <c r="H42" s="237"/>
      <c r="I42" s="237"/>
      <c r="J42" s="237"/>
      <c r="K42" s="237"/>
      <c r="L42" s="237"/>
      <c r="M42" s="237"/>
      <c r="N42" s="237"/>
    </row>
  </sheetData>
  <mergeCells count="39">
    <mergeCell ref="B42:N42"/>
    <mergeCell ref="F12:F13"/>
    <mergeCell ref="H12:H13"/>
    <mergeCell ref="I12:I13"/>
    <mergeCell ref="J12:J13"/>
    <mergeCell ref="K12:K13"/>
    <mergeCell ref="B28:D28"/>
    <mergeCell ref="B31:D31"/>
    <mergeCell ref="B32:D32"/>
    <mergeCell ref="B33:D33"/>
    <mergeCell ref="E12:E13"/>
    <mergeCell ref="B23:D23"/>
    <mergeCell ref="B24:D24"/>
    <mergeCell ref="B21:D21"/>
    <mergeCell ref="B22:D22"/>
    <mergeCell ref="L12:L13"/>
    <mergeCell ref="M12:M13"/>
    <mergeCell ref="B39:N39"/>
    <mergeCell ref="A1:N1"/>
    <mergeCell ref="A2:N2"/>
    <mergeCell ref="A3:N3"/>
    <mergeCell ref="A5:B5"/>
    <mergeCell ref="A6:B6"/>
    <mergeCell ref="G12:G13"/>
    <mergeCell ref="N12:N13"/>
    <mergeCell ref="B29:D29"/>
    <mergeCell ref="B30:D30"/>
    <mergeCell ref="B15:D15"/>
    <mergeCell ref="B16:D16"/>
    <mergeCell ref="B17:D17"/>
    <mergeCell ref="B18:D18"/>
    <mergeCell ref="B19:D19"/>
    <mergeCell ref="B20:D20"/>
    <mergeCell ref="B25:D25"/>
    <mergeCell ref="B26:D26"/>
    <mergeCell ref="B27:D27"/>
    <mergeCell ref="B12:D12"/>
    <mergeCell ref="B13:D13"/>
    <mergeCell ref="B14:D14"/>
  </mergeCells>
  <pageMargins left="0.75" right="0.75" top="1" bottom="1" header="0.5" footer="0.5"/>
  <pageSetup scale="72" orientation="landscape"/>
  <headerFooter alignWithMargins="0">
    <oddFooter>Page &amp;P of &amp;N</oddFooter>
  </headerFooter>
  <colBreaks count="1" manualBreakCount="1">
    <brk id="15"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O56"/>
  <sheetViews>
    <sheetView workbookViewId="0">
      <selection activeCell="A3" sqref="A3:M3"/>
    </sheetView>
  </sheetViews>
  <sheetFormatPr defaultColWidth="8.7109375" defaultRowHeight="12.75" x14ac:dyDescent="0.2"/>
  <cols>
    <col min="1" max="1" width="11.42578125" customWidth="1"/>
    <col min="2" max="2" width="22.28515625" customWidth="1"/>
    <col min="4" max="4" width="7" customWidth="1"/>
  </cols>
  <sheetData>
    <row r="1" spans="1:15" ht="20.25" x14ac:dyDescent="0.3">
      <c r="A1" s="209" t="str">
        <f>Inputs!A1</f>
        <v>Potential To Emit Calculator for Graphic Arts and Printing Operations</v>
      </c>
      <c r="B1" s="209"/>
      <c r="C1" s="209"/>
      <c r="D1" s="209"/>
      <c r="E1" s="209"/>
      <c r="F1" s="209"/>
      <c r="G1" s="209"/>
      <c r="H1" s="209"/>
      <c r="I1" s="209"/>
      <c r="J1" s="209"/>
      <c r="K1" s="209"/>
      <c r="L1" s="209"/>
      <c r="M1" s="209"/>
      <c r="N1" s="10"/>
      <c r="O1" s="10"/>
    </row>
    <row r="2" spans="1:15" x14ac:dyDescent="0.2">
      <c r="A2" s="210">
        <v>42552</v>
      </c>
      <c r="B2" s="210"/>
      <c r="C2" s="210"/>
      <c r="D2" s="210"/>
      <c r="E2" s="210"/>
      <c r="F2" s="210"/>
      <c r="G2" s="210"/>
      <c r="H2" s="210"/>
      <c r="I2" s="210"/>
      <c r="J2" s="210"/>
      <c r="K2" s="210"/>
      <c r="L2" s="210"/>
      <c r="M2" s="210"/>
      <c r="N2" s="11"/>
      <c r="O2" s="11"/>
    </row>
    <row r="3" spans="1:15" ht="13.35" customHeight="1" x14ac:dyDescent="0.25">
      <c r="A3" s="238" t="s">
        <v>79</v>
      </c>
      <c r="B3" s="238"/>
      <c r="C3" s="238"/>
      <c r="D3" s="238"/>
      <c r="E3" s="238"/>
      <c r="F3" s="238"/>
      <c r="G3" s="238"/>
      <c r="H3" s="238"/>
      <c r="I3" s="238"/>
      <c r="J3" s="238"/>
      <c r="K3" s="238"/>
      <c r="L3" s="238"/>
      <c r="M3" s="238"/>
    </row>
    <row r="4" spans="1:15" x14ac:dyDescent="0.2">
      <c r="A4" s="59"/>
      <c r="B4" s="136"/>
      <c r="C4" s="136" t="s">
        <v>52</v>
      </c>
      <c r="D4" s="137">
        <f>Inputs!D21</f>
        <v>10</v>
      </c>
      <c r="E4" s="94" t="s">
        <v>32</v>
      </c>
      <c r="F4" s="59"/>
      <c r="G4" s="59"/>
      <c r="H4" s="59"/>
      <c r="I4" s="59"/>
      <c r="J4" s="59"/>
      <c r="K4" s="59"/>
      <c r="L4" s="59"/>
      <c r="M4" s="59"/>
    </row>
    <row r="5" spans="1:15" x14ac:dyDescent="0.2">
      <c r="A5" s="59"/>
      <c r="B5" s="136"/>
      <c r="C5" s="136" t="s">
        <v>53</v>
      </c>
      <c r="D5" s="137">
        <f>Inputs!D22</f>
        <v>0</v>
      </c>
      <c r="E5" s="94" t="s">
        <v>32</v>
      </c>
      <c r="F5" s="59"/>
      <c r="G5" s="59"/>
      <c r="H5" s="59"/>
      <c r="I5" s="5" t="s">
        <v>1</v>
      </c>
      <c r="J5" s="59"/>
      <c r="K5" s="59"/>
      <c r="L5" s="59"/>
      <c r="M5" s="59"/>
    </row>
    <row r="6" spans="1:15" x14ac:dyDescent="0.2">
      <c r="A6" s="59"/>
      <c r="B6" s="136"/>
      <c r="C6" s="136" t="s">
        <v>54</v>
      </c>
      <c r="D6" s="137">
        <f>Inputs!D23</f>
        <v>0</v>
      </c>
      <c r="E6" s="94" t="s">
        <v>32</v>
      </c>
      <c r="F6" s="59"/>
      <c r="G6" s="59"/>
      <c r="H6" s="59"/>
      <c r="I6" s="2" t="s">
        <v>22</v>
      </c>
      <c r="J6" s="59"/>
      <c r="K6" s="59"/>
      <c r="L6" s="59"/>
      <c r="M6" s="59"/>
    </row>
    <row r="7" spans="1:15" s="17" customFormat="1" ht="12.75" customHeight="1" thickBot="1" x14ac:dyDescent="0.25">
      <c r="A7" s="59"/>
      <c r="B7" s="135"/>
      <c r="C7" s="135"/>
      <c r="D7" s="135"/>
      <c r="E7" s="135"/>
      <c r="F7" s="135"/>
      <c r="G7" s="135"/>
      <c r="H7" s="135" t="s">
        <v>10</v>
      </c>
      <c r="I7" s="135"/>
      <c r="J7" s="135"/>
      <c r="K7" s="58"/>
      <c r="L7" s="58"/>
      <c r="M7" s="58"/>
      <c r="N7" s="23"/>
    </row>
    <row r="8" spans="1:15" s="17" customFormat="1" ht="15.75" x14ac:dyDescent="0.3">
      <c r="A8" s="58"/>
      <c r="B8" s="30" t="s">
        <v>31</v>
      </c>
      <c r="C8" s="30"/>
      <c r="D8" s="58"/>
      <c r="E8" s="141" t="s">
        <v>17</v>
      </c>
      <c r="F8" s="142" t="s">
        <v>6</v>
      </c>
      <c r="G8" s="142" t="s">
        <v>5</v>
      </c>
      <c r="H8" s="142" t="s">
        <v>7</v>
      </c>
      <c r="I8" s="142" t="s">
        <v>8</v>
      </c>
      <c r="J8" s="142" t="s">
        <v>18</v>
      </c>
      <c r="K8" s="142" t="s">
        <v>20</v>
      </c>
      <c r="L8" s="143" t="s">
        <v>68</v>
      </c>
      <c r="M8" s="58"/>
      <c r="N8" s="23"/>
      <c r="O8" s="23"/>
    </row>
    <row r="9" spans="1:15" s="17" customFormat="1" ht="15" customHeight="1" thickBot="1" x14ac:dyDescent="0.25">
      <c r="A9" s="58"/>
      <c r="B9" s="58" t="s">
        <v>10</v>
      </c>
      <c r="C9" s="58"/>
      <c r="D9" s="58"/>
      <c r="E9" s="82">
        <f>SUM(E17,E32,E47)</f>
        <v>0.32635294117647062</v>
      </c>
      <c r="F9" s="83">
        <f t="shared" ref="F9:K9" si="0">SUM(F17,F32,F47)</f>
        <v>0.32635294117647062</v>
      </c>
      <c r="G9" s="83">
        <f t="shared" si="0"/>
        <v>0.32635294117647062</v>
      </c>
      <c r="H9" s="83">
        <f t="shared" si="0"/>
        <v>2.5764705882352943E-2</v>
      </c>
      <c r="I9" s="83">
        <f t="shared" si="0"/>
        <v>4.2941176470588234</v>
      </c>
      <c r="J9" s="83">
        <f t="shared" si="0"/>
        <v>3.6070588235294117</v>
      </c>
      <c r="K9" s="83">
        <f t="shared" si="0"/>
        <v>0.23617647058823529</v>
      </c>
      <c r="L9" s="144">
        <f>SUM(L17,L32,L47)</f>
        <v>8.1025705882352958E-2</v>
      </c>
      <c r="M9" s="58"/>
      <c r="N9" s="23"/>
      <c r="O9" s="23"/>
    </row>
    <row r="10" spans="1:15" ht="13.5" thickBot="1" x14ac:dyDescent="0.25">
      <c r="A10" s="59"/>
      <c r="B10" s="59"/>
      <c r="C10" s="59"/>
      <c r="D10" s="59"/>
      <c r="E10" s="59"/>
      <c r="F10" s="59"/>
      <c r="G10" s="59"/>
      <c r="H10" s="59"/>
      <c r="I10" s="59"/>
      <c r="J10" s="59"/>
      <c r="K10" s="59"/>
      <c r="L10" s="59"/>
      <c r="M10" s="59"/>
    </row>
    <row r="11" spans="1:15" ht="13.5" thickTop="1" x14ac:dyDescent="0.2">
      <c r="A11" s="118"/>
      <c r="B11" s="118"/>
      <c r="C11" s="118"/>
      <c r="D11" s="118"/>
      <c r="E11" s="118"/>
      <c r="F11" s="118"/>
      <c r="G11" s="118"/>
      <c r="H11" s="118"/>
      <c r="I11" s="118"/>
      <c r="J11" s="118"/>
      <c r="K11" s="118"/>
      <c r="L11" s="118"/>
      <c r="M11" s="59"/>
    </row>
    <row r="12" spans="1:15" ht="13.5" thickBot="1" x14ac:dyDescent="0.25">
      <c r="A12" s="1" t="s">
        <v>23</v>
      </c>
      <c r="B12" s="1" t="s">
        <v>21</v>
      </c>
      <c r="C12" s="59"/>
      <c r="D12" s="119" t="s">
        <v>75</v>
      </c>
      <c r="E12" s="62" t="str">
        <f>IF(D4&gt;0,"Y","")</f>
        <v>Y</v>
      </c>
      <c r="F12" s="59"/>
      <c r="G12" s="59"/>
      <c r="H12" s="59"/>
      <c r="I12" s="59"/>
      <c r="J12" s="59"/>
      <c r="K12" s="59"/>
      <c r="L12" s="59"/>
      <c r="M12" s="59"/>
    </row>
    <row r="13" spans="1:15" s="17" customFormat="1" ht="12.75" customHeight="1" x14ac:dyDescent="0.2">
      <c r="A13" s="59"/>
      <c r="B13" s="132"/>
      <c r="C13" s="117"/>
      <c r="D13" s="117"/>
      <c r="E13" s="117"/>
      <c r="F13" s="117"/>
      <c r="G13" s="117"/>
      <c r="H13" s="117" t="s">
        <v>19</v>
      </c>
      <c r="I13" s="117"/>
      <c r="J13" s="117"/>
      <c r="K13" s="146"/>
      <c r="L13" s="147"/>
      <c r="M13" s="58"/>
      <c r="N13" s="23"/>
    </row>
    <row r="14" spans="1:15" s="17" customFormat="1" ht="15.75" x14ac:dyDescent="0.3">
      <c r="A14" s="58"/>
      <c r="B14" s="109"/>
      <c r="C14" s="58"/>
      <c r="D14" s="58"/>
      <c r="E14" s="64" t="s">
        <v>17</v>
      </c>
      <c r="F14" s="64" t="s">
        <v>14</v>
      </c>
      <c r="G14" s="64" t="s">
        <v>5</v>
      </c>
      <c r="H14" s="64" t="s">
        <v>7</v>
      </c>
      <c r="I14" s="64" t="s">
        <v>8</v>
      </c>
      <c r="J14" s="64" t="s">
        <v>18</v>
      </c>
      <c r="K14" s="64" t="s">
        <v>20</v>
      </c>
      <c r="L14" s="149" t="s">
        <v>68</v>
      </c>
      <c r="M14" s="58"/>
      <c r="N14" s="23"/>
      <c r="O14" s="23"/>
    </row>
    <row r="15" spans="1:15" s="17" customFormat="1" ht="15" customHeight="1" thickBot="1" x14ac:dyDescent="0.25">
      <c r="A15" s="58"/>
      <c r="B15" s="121" t="s">
        <v>71</v>
      </c>
      <c r="C15" s="122"/>
      <c r="D15" s="157"/>
      <c r="E15" s="158">
        <v>7.6</v>
      </c>
      <c r="F15" s="158">
        <v>7.6</v>
      </c>
      <c r="G15" s="158">
        <v>7.6</v>
      </c>
      <c r="H15" s="158">
        <v>0.6</v>
      </c>
      <c r="I15" s="158">
        <v>100</v>
      </c>
      <c r="J15" s="158">
        <v>84</v>
      </c>
      <c r="K15" s="159">
        <v>5.5</v>
      </c>
      <c r="L15" s="160">
        <v>1.8869</v>
      </c>
      <c r="M15" s="58"/>
      <c r="N15" s="23"/>
      <c r="O15" s="23"/>
    </row>
    <row r="16" spans="1:15" s="17" customFormat="1" ht="13.5" thickTop="1" x14ac:dyDescent="0.2">
      <c r="A16" s="58"/>
      <c r="B16" s="109"/>
      <c r="C16" s="58"/>
      <c r="D16" s="58"/>
      <c r="E16" s="145"/>
      <c r="F16" s="145"/>
      <c r="G16" s="145"/>
      <c r="H16" s="145"/>
      <c r="I16" s="145"/>
      <c r="J16" s="145"/>
      <c r="K16" s="145"/>
      <c r="L16" s="156"/>
      <c r="M16" s="58"/>
      <c r="N16" s="23"/>
      <c r="O16" s="23"/>
    </row>
    <row r="17" spans="1:15" s="16" customFormat="1" x14ac:dyDescent="0.2">
      <c r="A17" s="30"/>
      <c r="B17" s="109" t="s">
        <v>25</v>
      </c>
      <c r="C17" s="30"/>
      <c r="D17" s="30"/>
      <c r="E17" s="68">
        <f>IF($E$12="Y",$D$4/1020*E15*8760/2000,0)</f>
        <v>0.32635294117647062</v>
      </c>
      <c r="F17" s="68">
        <f t="shared" ref="F17:L17" si="1">IF($E$12="Y",$D$4/1020*F15*8760/2000,0)</f>
        <v>0.32635294117647062</v>
      </c>
      <c r="G17" s="68">
        <f t="shared" si="1"/>
        <v>0.32635294117647062</v>
      </c>
      <c r="H17" s="68">
        <f t="shared" si="1"/>
        <v>2.5764705882352943E-2</v>
      </c>
      <c r="I17" s="68">
        <f t="shared" si="1"/>
        <v>4.2941176470588234</v>
      </c>
      <c r="J17" s="68">
        <f t="shared" si="1"/>
        <v>3.6070588235294117</v>
      </c>
      <c r="K17" s="68">
        <f t="shared" si="1"/>
        <v>0.23617647058823529</v>
      </c>
      <c r="L17" s="110">
        <f t="shared" si="1"/>
        <v>8.1025705882352958E-2</v>
      </c>
      <c r="M17" s="30"/>
      <c r="N17" s="24"/>
      <c r="O17" s="24"/>
    </row>
    <row r="18" spans="1:15" s="17" customFormat="1" ht="13.5" thickBot="1" x14ac:dyDescent="0.25">
      <c r="A18" s="58"/>
      <c r="B18" s="126"/>
      <c r="C18" s="127"/>
      <c r="D18" s="127"/>
      <c r="E18" s="148"/>
      <c r="F18" s="131"/>
      <c r="G18" s="131"/>
      <c r="H18" s="131" t="s">
        <v>10</v>
      </c>
      <c r="I18" s="131"/>
      <c r="J18" s="131"/>
      <c r="K18" s="131"/>
      <c r="L18" s="133"/>
      <c r="M18" s="58"/>
      <c r="N18" s="23"/>
      <c r="O18" s="23"/>
    </row>
    <row r="19" spans="1:15" s="17" customFormat="1" x14ac:dyDescent="0.2">
      <c r="A19" s="59"/>
      <c r="B19" s="30" t="s">
        <v>12</v>
      </c>
      <c r="C19" s="58"/>
      <c r="D19" s="58"/>
      <c r="E19" s="134"/>
      <c r="F19" s="135"/>
      <c r="G19" s="135"/>
      <c r="H19" s="135"/>
      <c r="I19" s="135"/>
      <c r="J19" s="135"/>
      <c r="K19" s="135"/>
      <c r="L19" s="58"/>
      <c r="M19" s="58"/>
      <c r="N19" s="23"/>
      <c r="O19" s="23"/>
    </row>
    <row r="20" spans="1:15" s="17" customFormat="1" x14ac:dyDescent="0.2">
      <c r="A20" s="59"/>
      <c r="B20" s="58" t="s">
        <v>78</v>
      </c>
      <c r="C20" s="58"/>
      <c r="D20" s="58"/>
      <c r="E20" s="134"/>
      <c r="F20" s="135"/>
      <c r="G20" s="135"/>
      <c r="H20" s="135"/>
      <c r="I20" s="135"/>
      <c r="J20" s="135"/>
      <c r="K20" s="135"/>
      <c r="L20" s="58"/>
      <c r="M20" s="58"/>
      <c r="N20" s="23"/>
      <c r="O20" s="23"/>
    </row>
    <row r="21" spans="1:15" s="17" customFormat="1" ht="15.75" x14ac:dyDescent="0.3">
      <c r="A21" s="59"/>
      <c r="B21" s="59" t="s">
        <v>74</v>
      </c>
      <c r="C21" s="59"/>
      <c r="D21" s="59"/>
      <c r="E21" s="59"/>
      <c r="F21" s="59"/>
      <c r="G21" s="59"/>
      <c r="H21" s="59"/>
      <c r="I21" s="59"/>
      <c r="J21" s="59"/>
      <c r="K21" s="59"/>
      <c r="L21" s="59"/>
      <c r="M21" s="59"/>
    </row>
    <row r="22" spans="1:15" s="17" customFormat="1" x14ac:dyDescent="0.2">
      <c r="A22" s="59"/>
      <c r="B22" s="59"/>
      <c r="C22" s="59"/>
      <c r="D22" s="59"/>
      <c r="E22" s="59"/>
      <c r="F22" s="59"/>
      <c r="G22" s="59"/>
      <c r="H22" s="59"/>
      <c r="I22" s="59"/>
      <c r="J22" s="59"/>
      <c r="K22" s="59"/>
      <c r="L22" s="59"/>
      <c r="M22" s="59"/>
    </row>
    <row r="23" spans="1:15" s="17" customFormat="1" x14ac:dyDescent="0.2">
      <c r="A23" s="59"/>
      <c r="B23" s="1" t="s">
        <v>11</v>
      </c>
      <c r="C23" s="59"/>
      <c r="D23" s="59"/>
      <c r="E23" s="59"/>
      <c r="F23" s="59"/>
      <c r="G23" s="59"/>
      <c r="H23" s="59"/>
      <c r="I23" s="59"/>
      <c r="J23" s="59"/>
      <c r="K23" s="59"/>
      <c r="L23" s="59"/>
      <c r="M23" s="59"/>
    </row>
    <row r="24" spans="1:15" s="17" customFormat="1" x14ac:dyDescent="0.2">
      <c r="A24" s="59"/>
      <c r="B24" s="59" t="s">
        <v>26</v>
      </c>
      <c r="C24" s="59"/>
      <c r="D24" s="59"/>
      <c r="E24" s="59"/>
      <c r="F24" s="59"/>
      <c r="G24" s="59"/>
      <c r="H24" s="59"/>
      <c r="I24" s="59"/>
      <c r="J24" s="59"/>
      <c r="K24" s="59"/>
      <c r="L24" s="59"/>
      <c r="M24" s="59"/>
    </row>
    <row r="25" spans="1:15" s="17" customFormat="1" x14ac:dyDescent="0.2">
      <c r="A25" s="59"/>
      <c r="B25" s="59"/>
      <c r="C25" s="59"/>
      <c r="D25" s="59"/>
      <c r="E25" s="59"/>
      <c r="F25" s="59"/>
      <c r="G25" s="59"/>
      <c r="H25" s="59"/>
      <c r="I25" s="59"/>
      <c r="J25" s="59"/>
      <c r="K25" s="59"/>
      <c r="L25" s="59"/>
      <c r="M25" s="59"/>
    </row>
    <row r="26" spans="1:15" x14ac:dyDescent="0.2">
      <c r="A26" s="59"/>
      <c r="B26" s="59"/>
      <c r="C26" s="59"/>
      <c r="D26" s="59"/>
      <c r="E26" s="59"/>
      <c r="F26" s="59"/>
      <c r="G26" s="59"/>
      <c r="H26" s="59"/>
      <c r="I26" s="59"/>
      <c r="J26" s="59"/>
      <c r="K26" s="59"/>
      <c r="L26" s="59"/>
      <c r="M26" s="59"/>
    </row>
    <row r="27" spans="1:15" ht="13.5" thickBot="1" x14ac:dyDescent="0.25">
      <c r="A27" s="1" t="s">
        <v>23</v>
      </c>
      <c r="B27" s="1" t="s">
        <v>27</v>
      </c>
      <c r="C27" s="59"/>
      <c r="D27" s="119" t="s">
        <v>75</v>
      </c>
      <c r="E27" s="62" t="str">
        <f>IF(D5&gt;0,"Y","")</f>
        <v/>
      </c>
      <c r="F27" s="59"/>
      <c r="G27" s="59" t="s">
        <v>28</v>
      </c>
      <c r="H27" s="59"/>
      <c r="I27" s="151">
        <f>Inputs!I22</f>
        <v>1.5E-3</v>
      </c>
      <c r="J27" s="59" t="s">
        <v>0</v>
      </c>
      <c r="K27" s="59"/>
      <c r="L27" s="59"/>
      <c r="M27" s="59"/>
    </row>
    <row r="28" spans="1:15" s="17" customFormat="1" ht="12.75" customHeight="1" x14ac:dyDescent="0.2">
      <c r="A28" s="59"/>
      <c r="B28" s="132"/>
      <c r="C28" s="117"/>
      <c r="D28" s="117"/>
      <c r="E28" s="117"/>
      <c r="F28" s="117"/>
      <c r="G28" s="117"/>
      <c r="H28" s="117" t="s">
        <v>19</v>
      </c>
      <c r="I28" s="117"/>
      <c r="J28" s="117"/>
      <c r="K28" s="146"/>
      <c r="L28" s="147"/>
      <c r="M28" s="58"/>
      <c r="N28" s="23"/>
    </row>
    <row r="29" spans="1:15" s="17" customFormat="1" ht="15.75" x14ac:dyDescent="0.3">
      <c r="A29" s="58"/>
      <c r="B29" s="109"/>
      <c r="C29" s="58"/>
      <c r="D29" s="58"/>
      <c r="E29" s="64" t="s">
        <v>17</v>
      </c>
      <c r="F29" s="64" t="s">
        <v>14</v>
      </c>
      <c r="G29" s="64" t="s">
        <v>5</v>
      </c>
      <c r="H29" s="64" t="s">
        <v>7</v>
      </c>
      <c r="I29" s="64" t="s">
        <v>8</v>
      </c>
      <c r="J29" s="64" t="s">
        <v>18</v>
      </c>
      <c r="K29" s="64" t="s">
        <v>20</v>
      </c>
      <c r="L29" s="149" t="s">
        <v>68</v>
      </c>
      <c r="M29" s="58"/>
      <c r="N29" s="23"/>
      <c r="O29" s="23"/>
    </row>
    <row r="30" spans="1:15" s="17" customFormat="1" ht="15" customHeight="1" thickBot="1" x14ac:dyDescent="0.25">
      <c r="A30" s="58"/>
      <c r="B30" s="121" t="s">
        <v>72</v>
      </c>
      <c r="C30" s="122"/>
      <c r="D30" s="157"/>
      <c r="E30" s="158">
        <v>0.7</v>
      </c>
      <c r="F30" s="158">
        <v>0.7</v>
      </c>
      <c r="G30" s="158">
        <v>0.7</v>
      </c>
      <c r="H30" s="158">
        <f>0.1*I27</f>
        <v>1.5000000000000001E-4</v>
      </c>
      <c r="I30" s="158">
        <v>13</v>
      </c>
      <c r="J30" s="158">
        <v>7.5</v>
      </c>
      <c r="K30" s="159">
        <v>1</v>
      </c>
      <c r="L30" s="198"/>
      <c r="M30" s="58"/>
      <c r="N30" s="23"/>
      <c r="O30" s="23"/>
    </row>
    <row r="31" spans="1:15" s="17" customFormat="1" ht="13.5" thickTop="1" x14ac:dyDescent="0.2">
      <c r="A31" s="58"/>
      <c r="B31" s="109"/>
      <c r="C31" s="58"/>
      <c r="D31" s="58"/>
      <c r="E31" s="145"/>
      <c r="F31" s="145"/>
      <c r="G31" s="145"/>
      <c r="H31" s="145"/>
      <c r="I31" s="145"/>
      <c r="J31" s="145"/>
      <c r="K31" s="145"/>
      <c r="L31" s="156"/>
      <c r="M31" s="58"/>
      <c r="N31" s="23"/>
      <c r="O31" s="23"/>
    </row>
    <row r="32" spans="1:15" s="16" customFormat="1" x14ac:dyDescent="0.2">
      <c r="A32" s="30"/>
      <c r="B32" s="109" t="s">
        <v>25</v>
      </c>
      <c r="C32" s="30"/>
      <c r="D32" s="30"/>
      <c r="E32" s="68">
        <f>IF($E$27="Y",$D$5/91.5*E30*8760/2000,0)</f>
        <v>0</v>
      </c>
      <c r="F32" s="68">
        <f t="shared" ref="F32:K32" si="2">IF($E$27="Y",$D$5/91.5*F30*8760/2000,0)</f>
        <v>0</v>
      </c>
      <c r="G32" s="68">
        <f t="shared" si="2"/>
        <v>0</v>
      </c>
      <c r="H32" s="68">
        <f t="shared" si="2"/>
        <v>0</v>
      </c>
      <c r="I32" s="68">
        <f t="shared" si="2"/>
        <v>0</v>
      </c>
      <c r="J32" s="68">
        <f t="shared" si="2"/>
        <v>0</v>
      </c>
      <c r="K32" s="68">
        <f t="shared" si="2"/>
        <v>0</v>
      </c>
      <c r="L32" s="110">
        <f>IF($E$27="Y",$D$5/91.5*L30*8760/2000,0)</f>
        <v>0</v>
      </c>
      <c r="M32" s="30"/>
      <c r="N32" s="24"/>
      <c r="O32" s="24"/>
    </row>
    <row r="33" spans="1:15" s="17" customFormat="1" ht="13.5" thickBot="1" x14ac:dyDescent="0.25">
      <c r="A33" s="58"/>
      <c r="B33" s="126"/>
      <c r="C33" s="127"/>
      <c r="D33" s="127"/>
      <c r="E33" s="148"/>
      <c r="F33" s="131"/>
      <c r="G33" s="131"/>
      <c r="H33" s="131" t="s">
        <v>10</v>
      </c>
      <c r="I33" s="131"/>
      <c r="J33" s="131"/>
      <c r="K33" s="131"/>
      <c r="L33" s="133"/>
      <c r="M33" s="58"/>
      <c r="N33" s="23"/>
      <c r="O33" s="23"/>
    </row>
    <row r="34" spans="1:15" s="17" customFormat="1" x14ac:dyDescent="0.2">
      <c r="A34" s="59"/>
      <c r="B34" s="30" t="s">
        <v>12</v>
      </c>
      <c r="C34" s="58"/>
      <c r="D34" s="58"/>
      <c r="E34" s="134"/>
      <c r="F34" s="135"/>
      <c r="G34" s="135"/>
      <c r="H34" s="135"/>
      <c r="I34" s="135"/>
      <c r="J34" s="135"/>
      <c r="K34" s="135"/>
      <c r="L34" s="58"/>
      <c r="M34" s="58"/>
      <c r="N34" s="23"/>
      <c r="O34" s="23"/>
    </row>
    <row r="35" spans="1:15" s="17" customFormat="1" x14ac:dyDescent="0.2">
      <c r="A35" s="59"/>
      <c r="B35" s="58" t="s">
        <v>33</v>
      </c>
      <c r="C35" s="58"/>
      <c r="D35" s="58"/>
      <c r="E35" s="134"/>
      <c r="F35" s="135"/>
      <c r="G35" s="135"/>
      <c r="H35" s="135"/>
      <c r="I35" s="135"/>
      <c r="J35" s="135"/>
      <c r="K35" s="135"/>
      <c r="L35" s="58"/>
      <c r="M35" s="58"/>
      <c r="N35" s="23"/>
      <c r="O35" s="23"/>
    </row>
    <row r="36" spans="1:15" s="17" customFormat="1" ht="15.75" x14ac:dyDescent="0.3">
      <c r="A36" s="59"/>
      <c r="B36" s="59" t="s">
        <v>74</v>
      </c>
      <c r="C36" s="59"/>
      <c r="D36" s="59"/>
      <c r="E36" s="59"/>
      <c r="F36" s="59"/>
      <c r="G36" s="59"/>
      <c r="H36" s="59"/>
      <c r="I36" s="59"/>
      <c r="J36" s="59"/>
      <c r="K36" s="59"/>
      <c r="L36" s="59"/>
      <c r="M36" s="59"/>
    </row>
    <row r="37" spans="1:15" s="17" customFormat="1" x14ac:dyDescent="0.2">
      <c r="A37" s="59"/>
      <c r="B37" s="59"/>
      <c r="C37" s="59"/>
      <c r="D37" s="59"/>
      <c r="E37" s="59"/>
      <c r="F37" s="59"/>
      <c r="G37" s="59"/>
      <c r="H37" s="59"/>
      <c r="I37" s="59"/>
      <c r="J37" s="59"/>
      <c r="K37" s="59"/>
      <c r="L37" s="59"/>
      <c r="M37" s="59"/>
    </row>
    <row r="38" spans="1:15" s="17" customFormat="1" x14ac:dyDescent="0.2">
      <c r="A38" s="59"/>
      <c r="B38" s="1" t="s">
        <v>11</v>
      </c>
      <c r="C38" s="59"/>
      <c r="D38" s="59"/>
      <c r="E38" s="59"/>
      <c r="F38" s="59"/>
      <c r="G38" s="59"/>
      <c r="H38" s="59"/>
      <c r="I38" s="59"/>
      <c r="J38" s="59"/>
      <c r="K38" s="59"/>
      <c r="L38" s="59"/>
      <c r="M38" s="59"/>
    </row>
    <row r="39" spans="1:15" s="17" customFormat="1" x14ac:dyDescent="0.2">
      <c r="A39" s="59"/>
      <c r="B39" s="59" t="s">
        <v>29</v>
      </c>
      <c r="C39" s="59"/>
      <c r="D39" s="59"/>
      <c r="E39" s="59"/>
      <c r="F39" s="59"/>
      <c r="G39" s="59"/>
      <c r="H39" s="59"/>
      <c r="I39" s="59"/>
      <c r="J39" s="59"/>
      <c r="K39" s="59"/>
      <c r="L39" s="59"/>
      <c r="M39" s="59"/>
    </row>
    <row r="40" spans="1:15" x14ac:dyDescent="0.2">
      <c r="A40" s="59"/>
      <c r="B40" s="59"/>
      <c r="C40" s="59"/>
      <c r="D40" s="59"/>
      <c r="E40" s="59"/>
      <c r="F40" s="59"/>
      <c r="G40" s="59"/>
      <c r="H40" s="59"/>
      <c r="I40" s="59"/>
      <c r="J40" s="59"/>
      <c r="K40" s="59"/>
      <c r="L40" s="59"/>
      <c r="M40" s="59"/>
    </row>
    <row r="41" spans="1:15" x14ac:dyDescent="0.2">
      <c r="A41" s="59"/>
      <c r="B41" s="59"/>
      <c r="C41" s="59"/>
      <c r="D41" s="59"/>
      <c r="E41" s="59"/>
      <c r="F41" s="59"/>
      <c r="G41" s="59"/>
      <c r="H41" s="59"/>
      <c r="I41" s="59"/>
      <c r="J41" s="59"/>
      <c r="K41" s="59"/>
      <c r="L41" s="59"/>
      <c r="M41" s="59"/>
    </row>
    <row r="42" spans="1:15" ht="13.5" thickBot="1" x14ac:dyDescent="0.25">
      <c r="A42" s="1" t="s">
        <v>23</v>
      </c>
      <c r="B42" s="1" t="s">
        <v>70</v>
      </c>
      <c r="C42" s="59"/>
      <c r="D42" s="119" t="s">
        <v>75</v>
      </c>
      <c r="E42" s="62" t="str">
        <f>IF(D6&gt;0,"Y","")</f>
        <v/>
      </c>
      <c r="F42" s="59"/>
      <c r="G42" s="59" t="s">
        <v>28</v>
      </c>
      <c r="H42" s="59"/>
      <c r="I42" s="151">
        <f>Inputs!I23</f>
        <v>1.5E-3</v>
      </c>
      <c r="J42" s="59" t="s">
        <v>0</v>
      </c>
      <c r="K42" s="59"/>
      <c r="L42" s="59"/>
      <c r="M42" s="59"/>
    </row>
    <row r="43" spans="1:15" s="17" customFormat="1" ht="12.75" customHeight="1" x14ac:dyDescent="0.2">
      <c r="A43" s="59"/>
      <c r="B43" s="132"/>
      <c r="C43" s="117"/>
      <c r="D43" s="117"/>
      <c r="E43" s="117"/>
      <c r="F43" s="117"/>
      <c r="G43" s="117"/>
      <c r="H43" s="117" t="s">
        <v>19</v>
      </c>
      <c r="I43" s="117"/>
      <c r="J43" s="117"/>
      <c r="K43" s="146"/>
      <c r="L43" s="147"/>
      <c r="M43" s="58"/>
      <c r="N43" s="23"/>
    </row>
    <row r="44" spans="1:15" s="17" customFormat="1" ht="15.75" x14ac:dyDescent="0.2">
      <c r="A44" s="58"/>
      <c r="B44" s="109"/>
      <c r="C44" s="58"/>
      <c r="D44" s="58"/>
      <c r="E44" s="139" t="s">
        <v>37</v>
      </c>
      <c r="F44" s="139" t="s">
        <v>6</v>
      </c>
      <c r="G44" s="139" t="s">
        <v>5</v>
      </c>
      <c r="H44" s="139" t="s">
        <v>7</v>
      </c>
      <c r="I44" s="139" t="s">
        <v>8</v>
      </c>
      <c r="J44" s="139" t="s">
        <v>18</v>
      </c>
      <c r="K44" s="139" t="s">
        <v>20</v>
      </c>
      <c r="L44" s="84" t="s">
        <v>68</v>
      </c>
      <c r="M44" s="58"/>
      <c r="N44" s="23"/>
      <c r="O44" s="23"/>
    </row>
    <row r="45" spans="1:15" s="17" customFormat="1" ht="15" customHeight="1" thickBot="1" x14ac:dyDescent="0.25">
      <c r="A45" s="58"/>
      <c r="B45" s="121" t="s">
        <v>73</v>
      </c>
      <c r="C45" s="122"/>
      <c r="D45" s="122"/>
      <c r="E45" s="161">
        <v>2</v>
      </c>
      <c r="F45" s="162">
        <v>3.3</v>
      </c>
      <c r="G45" s="162">
        <v>2.5499999999999998</v>
      </c>
      <c r="H45" s="162">
        <f>142*I42</f>
        <v>0.21299999999999999</v>
      </c>
      <c r="I45" s="162">
        <v>20</v>
      </c>
      <c r="J45" s="161">
        <v>5</v>
      </c>
      <c r="K45" s="163">
        <v>0.34</v>
      </c>
      <c r="L45" s="164">
        <v>0.55369999999999997</v>
      </c>
      <c r="M45" s="58"/>
      <c r="N45" s="23"/>
      <c r="O45" s="23"/>
    </row>
    <row r="46" spans="1:15" s="17" customFormat="1" ht="13.5" thickTop="1" x14ac:dyDescent="0.2">
      <c r="A46" s="58"/>
      <c r="B46" s="109"/>
      <c r="C46" s="58"/>
      <c r="D46" s="58"/>
      <c r="E46" s="145"/>
      <c r="F46" s="145"/>
      <c r="G46" s="145"/>
      <c r="H46" s="145"/>
      <c r="I46" s="145"/>
      <c r="J46" s="145"/>
      <c r="K46" s="145"/>
      <c r="L46" s="156"/>
      <c r="M46" s="58"/>
      <c r="N46" s="23"/>
      <c r="O46" s="23"/>
    </row>
    <row r="47" spans="1:15" s="16" customFormat="1" x14ac:dyDescent="0.2">
      <c r="A47" s="30"/>
      <c r="B47" s="109" t="s">
        <v>25</v>
      </c>
      <c r="C47" s="30"/>
      <c r="D47" s="30"/>
      <c r="E47" s="68">
        <f>IF($E$42="Y",$D$6/140*E45*8760/2000,0)</f>
        <v>0</v>
      </c>
      <c r="F47" s="68">
        <f t="shared" ref="F47:L47" si="3">IF($E$42="Y",$D$6/140*F45*8760/2000,0)</f>
        <v>0</v>
      </c>
      <c r="G47" s="68">
        <f t="shared" si="3"/>
        <v>0</v>
      </c>
      <c r="H47" s="68">
        <f t="shared" si="3"/>
        <v>0</v>
      </c>
      <c r="I47" s="68">
        <f t="shared" si="3"/>
        <v>0</v>
      </c>
      <c r="J47" s="68">
        <f t="shared" si="3"/>
        <v>0</v>
      </c>
      <c r="K47" s="68">
        <f t="shared" si="3"/>
        <v>0</v>
      </c>
      <c r="L47" s="110">
        <f t="shared" si="3"/>
        <v>0</v>
      </c>
      <c r="M47" s="30"/>
      <c r="N47" s="24"/>
      <c r="O47" s="24"/>
    </row>
    <row r="48" spans="1:15" s="17" customFormat="1" ht="13.5" thickBot="1" x14ac:dyDescent="0.25">
      <c r="A48" s="58"/>
      <c r="B48" s="126"/>
      <c r="C48" s="127"/>
      <c r="D48" s="127"/>
      <c r="E48" s="148"/>
      <c r="F48" s="131"/>
      <c r="G48" s="131"/>
      <c r="H48" s="131" t="s">
        <v>10</v>
      </c>
      <c r="I48" s="131"/>
      <c r="J48" s="131"/>
      <c r="K48" s="131"/>
      <c r="L48" s="133"/>
      <c r="M48" s="58"/>
      <c r="N48" s="23"/>
      <c r="O48" s="23"/>
    </row>
    <row r="49" spans="1:15" s="17" customFormat="1" x14ac:dyDescent="0.2">
      <c r="A49" s="59"/>
      <c r="B49" s="30" t="s">
        <v>12</v>
      </c>
      <c r="C49" s="58"/>
      <c r="D49" s="58"/>
      <c r="E49" s="134"/>
      <c r="F49" s="135"/>
      <c r="G49" s="135"/>
      <c r="H49" s="135"/>
      <c r="I49" s="135"/>
      <c r="J49" s="135"/>
      <c r="K49" s="135"/>
      <c r="L49" s="58"/>
      <c r="M49" s="58"/>
      <c r="N49" s="23"/>
      <c r="O49" s="23"/>
    </row>
    <row r="50" spans="1:15" s="17" customFormat="1" x14ac:dyDescent="0.2">
      <c r="A50" s="59"/>
      <c r="B50" s="58" t="s">
        <v>77</v>
      </c>
      <c r="C50" s="58"/>
      <c r="D50" s="58"/>
      <c r="E50" s="134"/>
      <c r="F50" s="135"/>
      <c r="G50" s="135"/>
      <c r="H50" s="135"/>
      <c r="I50" s="135"/>
      <c r="J50" s="135"/>
      <c r="K50" s="135"/>
      <c r="L50" s="58"/>
      <c r="M50" s="58"/>
      <c r="N50" s="23"/>
      <c r="O50" s="23"/>
    </row>
    <row r="51" spans="1:15" s="17" customFormat="1" x14ac:dyDescent="0.2">
      <c r="A51" s="59"/>
      <c r="B51" s="59" t="s">
        <v>47</v>
      </c>
      <c r="C51" s="59"/>
      <c r="D51" s="59"/>
      <c r="E51" s="59"/>
      <c r="F51" s="59"/>
      <c r="G51" s="59"/>
      <c r="H51" s="59"/>
      <c r="I51" s="59"/>
      <c r="J51" s="59"/>
      <c r="K51" s="58"/>
      <c r="L51" s="58"/>
      <c r="M51" s="58"/>
      <c r="N51" s="23"/>
    </row>
    <row r="52" spans="1:15" s="17" customFormat="1" x14ac:dyDescent="0.2">
      <c r="A52" s="59"/>
      <c r="B52" s="59"/>
      <c r="C52" s="59"/>
      <c r="D52" s="59"/>
      <c r="E52" s="59"/>
      <c r="F52" s="59"/>
      <c r="G52" s="59"/>
      <c r="H52" s="59"/>
      <c r="I52" s="59"/>
      <c r="J52" s="59"/>
      <c r="K52" s="59"/>
      <c r="L52" s="59"/>
      <c r="M52" s="59"/>
    </row>
    <row r="53" spans="1:15" s="17" customFormat="1" x14ac:dyDescent="0.2">
      <c r="A53" s="59"/>
      <c r="B53" s="1" t="s">
        <v>11</v>
      </c>
      <c r="C53" s="59"/>
      <c r="D53" s="59"/>
      <c r="E53" s="59"/>
      <c r="F53" s="59"/>
      <c r="G53" s="59"/>
      <c r="H53" s="59"/>
      <c r="I53" s="59"/>
      <c r="J53" s="59"/>
      <c r="K53" s="59"/>
      <c r="L53" s="59"/>
      <c r="M53" s="59"/>
    </row>
    <row r="54" spans="1:15" s="17" customFormat="1" x14ac:dyDescent="0.2">
      <c r="A54" s="59"/>
      <c r="B54" s="59" t="s">
        <v>30</v>
      </c>
      <c r="C54" s="59"/>
      <c r="D54" s="59"/>
      <c r="E54" s="59"/>
      <c r="F54" s="59"/>
      <c r="G54" s="59"/>
      <c r="H54" s="59"/>
      <c r="I54" s="59"/>
      <c r="J54" s="59"/>
      <c r="K54" s="59"/>
      <c r="L54" s="59"/>
      <c r="M54" s="59"/>
    </row>
    <row r="55" spans="1:15" x14ac:dyDescent="0.2">
      <c r="A55" s="59"/>
      <c r="B55" s="59"/>
      <c r="C55" s="59"/>
      <c r="D55" s="59"/>
      <c r="E55" s="59"/>
      <c r="F55" s="59"/>
      <c r="G55" s="59"/>
      <c r="H55" s="59"/>
      <c r="I55" s="59"/>
      <c r="J55" s="59"/>
      <c r="K55" s="59"/>
      <c r="L55" s="59"/>
      <c r="M55" s="59"/>
    </row>
    <row r="56" spans="1:15" x14ac:dyDescent="0.2">
      <c r="A56" s="59"/>
      <c r="B56" s="59"/>
      <c r="C56" s="59"/>
      <c r="D56" s="59"/>
      <c r="E56" s="59"/>
      <c r="F56" s="59"/>
      <c r="G56" s="59"/>
      <c r="H56" s="59"/>
      <c r="I56" s="59"/>
      <c r="J56" s="59"/>
      <c r="K56" s="59"/>
      <c r="L56" s="59"/>
      <c r="M56" s="59"/>
    </row>
  </sheetData>
  <mergeCells count="3">
    <mergeCell ref="A1:M1"/>
    <mergeCell ref="A2:M2"/>
    <mergeCell ref="A3:M3"/>
  </mergeCells>
  <phoneticPr fontId="2" type="noConversion"/>
  <pageMargins left="0.75" right="0.75" top="1" bottom="1" header="0.5" footer="0.5"/>
  <pageSetup scale="70" orientation="portrait"/>
  <headerFooter alignWithMargins="0">
    <oddFooter>Page &amp;P of &amp;N</oddFooter>
  </headerFooter>
  <colBreaks count="1" manualBreakCount="1">
    <brk id="13" max="1048575" man="1"/>
  </colBreaks>
  <customProperties>
    <customPr name="DVSECTION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Q57"/>
  <sheetViews>
    <sheetView tabSelected="1" workbookViewId="0">
      <selection activeCell="A3" sqref="A3:L3"/>
    </sheetView>
  </sheetViews>
  <sheetFormatPr defaultColWidth="8.7109375" defaultRowHeight="12.75" x14ac:dyDescent="0.2"/>
  <cols>
    <col min="1" max="1" width="18.85546875" customWidth="1"/>
    <col min="2" max="2" width="14.28515625" customWidth="1"/>
    <col min="3" max="3" width="10.28515625" customWidth="1"/>
    <col min="5" max="12" width="10.28515625" customWidth="1"/>
  </cols>
  <sheetData>
    <row r="1" spans="1:17" s="56" customFormat="1" ht="20.25" x14ac:dyDescent="0.3">
      <c r="A1" s="209" t="str">
        <f>Inputs!A1</f>
        <v>Potential To Emit Calculator for Graphic Arts and Printing Operations</v>
      </c>
      <c r="B1" s="209"/>
      <c r="C1" s="209"/>
      <c r="D1" s="209"/>
      <c r="E1" s="209"/>
      <c r="F1" s="209"/>
      <c r="G1" s="209"/>
      <c r="H1" s="209"/>
      <c r="I1" s="209"/>
      <c r="J1" s="209"/>
      <c r="K1" s="209"/>
      <c r="L1" s="209"/>
      <c r="M1" s="55"/>
      <c r="N1" s="10"/>
      <c r="O1" s="10"/>
    </row>
    <row r="2" spans="1:17" s="56" customFormat="1" x14ac:dyDescent="0.2">
      <c r="A2" s="210">
        <v>42552</v>
      </c>
      <c r="B2" s="210"/>
      <c r="C2" s="210"/>
      <c r="D2" s="210"/>
      <c r="E2" s="210"/>
      <c r="F2" s="210"/>
      <c r="G2" s="210"/>
      <c r="H2" s="210"/>
      <c r="I2" s="210"/>
      <c r="J2" s="210"/>
      <c r="K2" s="210"/>
      <c r="L2" s="210"/>
      <c r="M2" s="11"/>
      <c r="N2" s="11"/>
      <c r="O2" s="11"/>
      <c r="P2" s="11"/>
      <c r="Q2" s="11"/>
    </row>
    <row r="3" spans="1:17" ht="13.35" customHeight="1" x14ac:dyDescent="0.25">
      <c r="A3" s="238" t="s">
        <v>69</v>
      </c>
      <c r="B3" s="238"/>
      <c r="C3" s="238"/>
      <c r="D3" s="238"/>
      <c r="E3" s="238"/>
      <c r="F3" s="238"/>
      <c r="G3" s="238"/>
      <c r="H3" s="238"/>
      <c r="I3" s="238"/>
      <c r="J3" s="238"/>
      <c r="K3" s="238"/>
      <c r="L3" s="238"/>
    </row>
    <row r="4" spans="1:17" ht="15.75" x14ac:dyDescent="0.25">
      <c r="B4" s="15"/>
    </row>
    <row r="5" spans="1:17" x14ac:dyDescent="0.2">
      <c r="A5" s="251" t="s">
        <v>56</v>
      </c>
      <c r="B5" s="251"/>
      <c r="C5" s="251"/>
      <c r="D5" s="62">
        <f>Inputs!D24</f>
        <v>1000</v>
      </c>
      <c r="E5" s="3" t="s">
        <v>36</v>
      </c>
      <c r="I5" s="5" t="s">
        <v>1</v>
      </c>
    </row>
    <row r="6" spans="1:17" x14ac:dyDescent="0.2">
      <c r="A6" s="251" t="s">
        <v>57</v>
      </c>
      <c r="B6" s="251"/>
      <c r="C6" s="251"/>
      <c r="D6" s="62">
        <f>Inputs!D25</f>
        <v>0</v>
      </c>
      <c r="E6" s="3" t="s">
        <v>36</v>
      </c>
      <c r="I6" s="2" t="s">
        <v>22</v>
      </c>
    </row>
    <row r="7" spans="1:17" ht="13.5" thickBot="1" x14ac:dyDescent="0.25">
      <c r="A7" s="3"/>
      <c r="C7" s="12"/>
      <c r="D7" s="3"/>
      <c r="I7" s="5"/>
    </row>
    <row r="8" spans="1:17" s="17" customFormat="1" ht="15.75" x14ac:dyDescent="0.2">
      <c r="A8" s="23"/>
      <c r="B8" s="30" t="s">
        <v>31</v>
      </c>
      <c r="C8" s="30"/>
      <c r="D8" s="9"/>
      <c r="E8" s="80" t="s">
        <v>17</v>
      </c>
      <c r="F8" s="81" t="s">
        <v>6</v>
      </c>
      <c r="G8" s="81" t="s">
        <v>5</v>
      </c>
      <c r="H8" s="81" t="s">
        <v>7</v>
      </c>
      <c r="I8" s="81" t="s">
        <v>8</v>
      </c>
      <c r="J8" s="81" t="s">
        <v>18</v>
      </c>
      <c r="K8" s="81" t="s">
        <v>20</v>
      </c>
      <c r="L8" s="85" t="s">
        <v>68</v>
      </c>
      <c r="M8" s="23"/>
      <c r="N8" s="23"/>
      <c r="O8" s="23"/>
    </row>
    <row r="9" spans="1:17" s="17" customFormat="1" ht="15" customHeight="1" thickBot="1" x14ac:dyDescent="0.25">
      <c r="A9" s="23"/>
      <c r="B9" s="9" t="s">
        <v>10</v>
      </c>
      <c r="C9" s="9"/>
      <c r="D9" s="9"/>
      <c r="E9" s="82">
        <f>MAX(E17,E33)+E49</f>
        <v>0.17499999999999999</v>
      </c>
      <c r="F9" s="83">
        <f t="shared" ref="F9:K9" si="0">MAX(F17,F33)+F49</f>
        <v>0.17499999999999999</v>
      </c>
      <c r="G9" s="83">
        <f t="shared" si="0"/>
        <v>0.17499999999999999</v>
      </c>
      <c r="H9" s="83">
        <f t="shared" si="0"/>
        <v>3.03375E-3</v>
      </c>
      <c r="I9" s="83">
        <f t="shared" si="0"/>
        <v>6</v>
      </c>
      <c r="J9" s="83">
        <f t="shared" si="0"/>
        <v>1.375</v>
      </c>
      <c r="K9" s="83">
        <f t="shared" si="0"/>
        <v>0.17624999999999999</v>
      </c>
      <c r="L9" s="196">
        <f>MAX(L17,L33, L49)</f>
        <v>7.4934650000000004E-3</v>
      </c>
      <c r="M9" s="23"/>
      <c r="N9" s="23"/>
      <c r="O9" s="23"/>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40</v>
      </c>
      <c r="B12" s="1" t="s">
        <v>41</v>
      </c>
      <c r="D12" s="49" t="s">
        <v>24</v>
      </c>
      <c r="E12" s="12" t="str">
        <f>IF(D5&gt;600,"No","Yes")</f>
        <v>No</v>
      </c>
      <c r="F12" s="12"/>
      <c r="G12" s="3" t="s">
        <v>10</v>
      </c>
      <c r="H12" s="3" t="s">
        <v>10</v>
      </c>
      <c r="I12" s="47"/>
      <c r="J12" s="48" t="s">
        <v>10</v>
      </c>
    </row>
    <row r="13" spans="1:17" s="17" customFormat="1" ht="12.75" customHeight="1" x14ac:dyDescent="0.2">
      <c r="B13" s="71"/>
      <c r="C13" s="72"/>
      <c r="D13" s="72"/>
      <c r="E13" s="71"/>
      <c r="F13" s="72"/>
      <c r="G13" s="72"/>
      <c r="H13" s="72" t="s">
        <v>19</v>
      </c>
      <c r="I13" s="72"/>
      <c r="J13" s="72"/>
      <c r="K13" s="73"/>
      <c r="L13" s="74"/>
      <c r="M13" s="23"/>
      <c r="N13" s="23"/>
    </row>
    <row r="14" spans="1:17" s="17" customFormat="1" ht="15.75" x14ac:dyDescent="0.2">
      <c r="A14" s="23"/>
      <c r="B14" s="75"/>
      <c r="C14" s="9"/>
      <c r="D14" s="9"/>
      <c r="E14" s="65" t="s">
        <v>37</v>
      </c>
      <c r="F14" s="66" t="s">
        <v>6</v>
      </c>
      <c r="G14" s="66" t="s">
        <v>15</v>
      </c>
      <c r="H14" s="66" t="s">
        <v>7</v>
      </c>
      <c r="I14" s="66" t="s">
        <v>8</v>
      </c>
      <c r="J14" s="66" t="s">
        <v>18</v>
      </c>
      <c r="K14" s="66" t="s">
        <v>13</v>
      </c>
      <c r="L14" s="84" t="s">
        <v>68</v>
      </c>
      <c r="M14" s="23"/>
      <c r="N14" s="23"/>
      <c r="O14" s="23"/>
    </row>
    <row r="15" spans="1:17" s="17" customFormat="1" ht="15" customHeight="1" thickBot="1" x14ac:dyDescent="0.25">
      <c r="A15" s="23"/>
      <c r="B15" s="76" t="s">
        <v>43</v>
      </c>
      <c r="C15" s="40"/>
      <c r="D15" s="40"/>
      <c r="E15" s="52">
        <v>2.2000000000000001E-3</v>
      </c>
      <c r="F15" s="53">
        <v>2.2000000000000001E-3</v>
      </c>
      <c r="G15" s="53">
        <v>2.2000000000000001E-3</v>
      </c>
      <c r="H15" s="51">
        <v>2.0500000000000002E-3</v>
      </c>
      <c r="I15" s="54">
        <v>3.1E-2</v>
      </c>
      <c r="J15" s="51">
        <v>6.6800000000000002E-3</v>
      </c>
      <c r="K15" s="69">
        <v>2.47E-3</v>
      </c>
      <c r="L15" s="195">
        <f>(0.000933+0.000409+0.000285+0.0000391+0.00118+0.000767+0.0000925+0.0000848)*7000/1000000</f>
        <v>2.6532799999999998E-5</v>
      </c>
      <c r="M15" s="23"/>
      <c r="N15" s="23"/>
      <c r="O15" s="23"/>
    </row>
    <row r="16" spans="1:17" s="17" customFormat="1" x14ac:dyDescent="0.2">
      <c r="A16" s="23"/>
      <c r="B16" s="75"/>
      <c r="C16" s="9"/>
      <c r="D16" s="9"/>
      <c r="E16" s="36"/>
      <c r="F16" s="29"/>
      <c r="G16" s="29"/>
      <c r="H16" s="28"/>
      <c r="I16" s="28"/>
      <c r="J16" s="28"/>
      <c r="K16" s="70"/>
      <c r="L16" s="77"/>
      <c r="M16" s="23"/>
      <c r="N16" s="23"/>
      <c r="O16" s="23"/>
    </row>
    <row r="17" spans="1:15" s="16" customFormat="1" x14ac:dyDescent="0.2">
      <c r="A17" s="24"/>
      <c r="B17" s="75" t="s">
        <v>25</v>
      </c>
      <c r="C17" s="30"/>
      <c r="D17" s="30"/>
      <c r="E17" s="45">
        <f t="shared" ref="E17:K17" si="1">IF($E$12="Yes",$D$5*E15*500/2000,0)</f>
        <v>0</v>
      </c>
      <c r="F17" s="46">
        <f t="shared" si="1"/>
        <v>0</v>
      </c>
      <c r="G17" s="46">
        <f t="shared" si="1"/>
        <v>0</v>
      </c>
      <c r="H17" s="46">
        <f t="shared" si="1"/>
        <v>0</v>
      </c>
      <c r="I17" s="46">
        <f t="shared" si="1"/>
        <v>0</v>
      </c>
      <c r="J17" s="46">
        <f t="shared" si="1"/>
        <v>0</v>
      </c>
      <c r="K17" s="68">
        <f t="shared" si="1"/>
        <v>0</v>
      </c>
      <c r="L17" s="78">
        <f>IF($E$12="Yes",$D$5*L15*500/2000,0)</f>
        <v>0</v>
      </c>
      <c r="M17" s="24"/>
      <c r="N17" s="24"/>
      <c r="O17" s="24"/>
    </row>
    <row r="18" spans="1:15" s="17" customFormat="1" ht="13.5" thickBot="1" x14ac:dyDescent="0.25">
      <c r="A18" s="23"/>
      <c r="B18" s="76"/>
      <c r="C18" s="40"/>
      <c r="D18" s="40"/>
      <c r="E18" s="44"/>
      <c r="F18" s="42"/>
      <c r="G18" s="42"/>
      <c r="H18" s="43" t="s">
        <v>10</v>
      </c>
      <c r="I18" s="43"/>
      <c r="J18" s="43"/>
      <c r="K18" s="43"/>
      <c r="L18" s="79"/>
      <c r="M18" s="23"/>
      <c r="N18" s="23"/>
      <c r="O18" s="23"/>
    </row>
    <row r="19" spans="1:15" s="17" customFormat="1" ht="12" x14ac:dyDescent="0.2">
      <c r="B19" s="24" t="s">
        <v>12</v>
      </c>
      <c r="C19" s="23"/>
      <c r="D19" s="23"/>
      <c r="E19" s="26"/>
      <c r="F19" s="27"/>
      <c r="G19" s="27"/>
      <c r="H19" s="27"/>
      <c r="I19" s="27"/>
      <c r="J19" s="27"/>
      <c r="K19" s="27"/>
      <c r="L19" s="23"/>
      <c r="M19" s="23"/>
      <c r="N19" s="23"/>
      <c r="O19" s="23"/>
    </row>
    <row r="20" spans="1:15" s="17" customFormat="1" ht="12" x14ac:dyDescent="0.2">
      <c r="B20" s="23" t="s">
        <v>67</v>
      </c>
      <c r="C20" s="23"/>
      <c r="D20" s="23"/>
      <c r="E20" s="26"/>
      <c r="F20" s="27"/>
      <c r="G20" s="27"/>
      <c r="H20" s="27"/>
      <c r="I20" s="27"/>
      <c r="J20" s="27"/>
      <c r="K20" s="27"/>
      <c r="L20" s="23"/>
      <c r="M20" s="23"/>
      <c r="N20" s="23"/>
      <c r="O20" s="23"/>
    </row>
    <row r="21" spans="1:15" s="17" customFormat="1" ht="13.5" x14ac:dyDescent="0.25">
      <c r="B21" s="17" t="s">
        <v>38</v>
      </c>
    </row>
    <row r="22" spans="1:15" s="17" customFormat="1" ht="12" x14ac:dyDescent="0.2">
      <c r="B22" s="17" t="s">
        <v>34</v>
      </c>
    </row>
    <row r="23" spans="1:15" s="17" customFormat="1" ht="12" x14ac:dyDescent="0.2">
      <c r="B23" s="17" t="s">
        <v>48</v>
      </c>
    </row>
    <row r="24" spans="1:15" s="17" customFormat="1" ht="12" x14ac:dyDescent="0.2">
      <c r="B24" s="16" t="s">
        <v>11</v>
      </c>
    </row>
    <row r="25" spans="1:15" s="17" customFormat="1" ht="12" x14ac:dyDescent="0.2">
      <c r="B25" s="17" t="s">
        <v>66</v>
      </c>
    </row>
    <row r="28" spans="1:15" ht="13.5" thickBot="1" x14ac:dyDescent="0.25">
      <c r="A28" s="1" t="s">
        <v>40</v>
      </c>
      <c r="B28" s="1" t="s">
        <v>39</v>
      </c>
      <c r="D28" s="25" t="s">
        <v>24</v>
      </c>
      <c r="E28" s="12" t="str">
        <f>IF(D5&gt;600,"Yes","No")</f>
        <v>Yes</v>
      </c>
      <c r="F28" s="12"/>
      <c r="G28" s="3" t="s">
        <v>28</v>
      </c>
      <c r="H28" s="3"/>
      <c r="I28" s="63">
        <f>Inputs!I24</f>
        <v>1.5E-3</v>
      </c>
      <c r="J28" s="59" t="s">
        <v>0</v>
      </c>
    </row>
    <row r="29" spans="1:15" s="17" customFormat="1" ht="12.75" customHeight="1" x14ac:dyDescent="0.2">
      <c r="B29" s="71"/>
      <c r="C29" s="72"/>
      <c r="D29" s="72"/>
      <c r="E29" s="245" t="s">
        <v>19</v>
      </c>
      <c r="F29" s="246"/>
      <c r="G29" s="246"/>
      <c r="H29" s="246"/>
      <c r="I29" s="246"/>
      <c r="J29" s="246"/>
      <c r="K29" s="246"/>
      <c r="L29" s="247"/>
      <c r="M29" s="23"/>
      <c r="N29" s="23"/>
    </row>
    <row r="30" spans="1:15" s="17" customFormat="1" ht="15.75" x14ac:dyDescent="0.3">
      <c r="A30" s="23"/>
      <c r="B30" s="75"/>
      <c r="C30" s="9"/>
      <c r="D30" s="9"/>
      <c r="E30" s="38" t="s">
        <v>17</v>
      </c>
      <c r="F30" s="31" t="s">
        <v>6</v>
      </c>
      <c r="G30" s="31" t="s">
        <v>15</v>
      </c>
      <c r="H30" s="31" t="s">
        <v>7</v>
      </c>
      <c r="I30" s="31" t="s">
        <v>8</v>
      </c>
      <c r="J30" s="31" t="s">
        <v>18</v>
      </c>
      <c r="K30" s="31" t="s">
        <v>13</v>
      </c>
      <c r="L30" s="84" t="s">
        <v>68</v>
      </c>
      <c r="M30" s="23"/>
      <c r="N30" s="23"/>
      <c r="O30" s="23"/>
    </row>
    <row r="31" spans="1:15" s="17" customFormat="1" ht="15" customHeight="1" thickBot="1" x14ac:dyDescent="0.25">
      <c r="A31" s="23"/>
      <c r="B31" s="76" t="s">
        <v>43</v>
      </c>
      <c r="C31" s="40"/>
      <c r="D31" s="40"/>
      <c r="E31" s="41">
        <v>6.9999999999999999E-4</v>
      </c>
      <c r="F31" s="42">
        <v>6.9999999999999999E-4</v>
      </c>
      <c r="G31" s="42">
        <v>6.9999999999999999E-4</v>
      </c>
      <c r="H31" s="51">
        <f>0.00809*I28</f>
        <v>1.2135E-5</v>
      </c>
      <c r="I31" s="18">
        <v>2.4E-2</v>
      </c>
      <c r="J31" s="51">
        <v>5.4999999999999997E-3</v>
      </c>
      <c r="K31" s="69">
        <v>7.0500000000000001E-4</v>
      </c>
      <c r="L31" s="195">
        <f>(0.000776+0.000281+0.000193+0.00279+0.0000789+0.0000252+0.00000788+0.00013)*7000/1000000</f>
        <v>2.9973860000000002E-5</v>
      </c>
      <c r="M31" s="23"/>
      <c r="N31" s="23"/>
      <c r="O31" s="23"/>
    </row>
    <row r="32" spans="1:15" s="17" customFormat="1" x14ac:dyDescent="0.2">
      <c r="A32" s="23"/>
      <c r="B32" s="75"/>
      <c r="C32" s="9"/>
      <c r="D32" s="9"/>
      <c r="E32" s="36"/>
      <c r="F32" s="29"/>
      <c r="G32" s="29"/>
      <c r="H32" s="28"/>
      <c r="I32" s="28"/>
      <c r="J32" s="28"/>
      <c r="K32" s="67"/>
      <c r="L32" s="87"/>
      <c r="M32" s="23"/>
      <c r="N32" s="23"/>
      <c r="O32" s="23"/>
    </row>
    <row r="33" spans="1:15" s="16" customFormat="1" x14ac:dyDescent="0.2">
      <c r="A33" s="24"/>
      <c r="B33" s="75" t="s">
        <v>35</v>
      </c>
      <c r="C33" s="30"/>
      <c r="D33" s="30"/>
      <c r="E33" s="45">
        <f t="shared" ref="E33:K33" si="2">IF($E$28="Yes",$D$5*E31*500/2000,0)</f>
        <v>0.17499999999999999</v>
      </c>
      <c r="F33" s="46">
        <f t="shared" si="2"/>
        <v>0.17499999999999999</v>
      </c>
      <c r="G33" s="46">
        <f t="shared" si="2"/>
        <v>0.17499999999999999</v>
      </c>
      <c r="H33" s="46">
        <f t="shared" si="2"/>
        <v>3.03375E-3</v>
      </c>
      <c r="I33" s="46">
        <f t="shared" si="2"/>
        <v>6</v>
      </c>
      <c r="J33" s="46">
        <f t="shared" si="2"/>
        <v>1.375</v>
      </c>
      <c r="K33" s="68">
        <f t="shared" si="2"/>
        <v>0.17624999999999999</v>
      </c>
      <c r="L33" s="78">
        <f>IF($E$28="Yes",$D$5*L31*500/2000,0)</f>
        <v>7.4934650000000004E-3</v>
      </c>
      <c r="M33" s="24"/>
      <c r="N33" s="24"/>
      <c r="O33" s="24"/>
    </row>
    <row r="34" spans="1:15" s="17" customFormat="1" ht="13.5" thickBot="1" x14ac:dyDescent="0.25">
      <c r="A34" s="23"/>
      <c r="B34" s="76"/>
      <c r="C34" s="40"/>
      <c r="D34" s="40"/>
      <c r="E34" s="44"/>
      <c r="F34" s="42"/>
      <c r="G34" s="42"/>
      <c r="H34" s="43" t="s">
        <v>10</v>
      </c>
      <c r="I34" s="43"/>
      <c r="J34" s="43"/>
      <c r="K34" s="88"/>
      <c r="L34" s="89"/>
      <c r="M34" s="23"/>
      <c r="N34" s="23"/>
      <c r="O34" s="23"/>
    </row>
    <row r="35" spans="1:15" s="17" customFormat="1" ht="12" x14ac:dyDescent="0.2">
      <c r="B35" s="24" t="s">
        <v>12</v>
      </c>
      <c r="C35" s="23"/>
      <c r="D35" s="23"/>
      <c r="E35" s="26"/>
      <c r="F35" s="27"/>
      <c r="G35" s="27"/>
      <c r="H35" s="27"/>
      <c r="I35" s="27"/>
      <c r="J35" s="27"/>
      <c r="K35" s="27"/>
      <c r="L35" s="23"/>
      <c r="M35" s="23"/>
      <c r="N35" s="23"/>
      <c r="O35" s="23"/>
    </row>
    <row r="36" spans="1:15" s="17" customFormat="1" ht="12" x14ac:dyDescent="0.2">
      <c r="B36" s="23" t="s">
        <v>63</v>
      </c>
      <c r="C36" s="23"/>
      <c r="D36" s="23"/>
      <c r="E36" s="26"/>
      <c r="F36" s="27"/>
      <c r="G36" s="27"/>
      <c r="H36" s="27"/>
      <c r="I36" s="27"/>
      <c r="J36" s="27"/>
      <c r="K36" s="27"/>
      <c r="L36" s="23"/>
      <c r="M36" s="23"/>
      <c r="N36" s="23"/>
      <c r="O36" s="23"/>
    </row>
    <row r="37" spans="1:15" s="17" customFormat="1" ht="13.5" x14ac:dyDescent="0.25">
      <c r="B37" s="17" t="s">
        <v>16</v>
      </c>
    </row>
    <row r="38" spans="1:15" s="17" customFormat="1" ht="12" x14ac:dyDescent="0.2">
      <c r="B38" s="17" t="s">
        <v>34</v>
      </c>
    </row>
    <row r="39" spans="1:15" s="17" customFormat="1" ht="12" x14ac:dyDescent="0.2">
      <c r="B39" s="17" t="s">
        <v>48</v>
      </c>
    </row>
    <row r="40" spans="1:15" s="17" customFormat="1" ht="12" x14ac:dyDescent="0.2">
      <c r="B40" s="16" t="s">
        <v>11</v>
      </c>
    </row>
    <row r="41" spans="1:15" s="17" customFormat="1" ht="12" x14ac:dyDescent="0.2">
      <c r="B41" s="17" t="s">
        <v>66</v>
      </c>
    </row>
    <row r="44" spans="1:15" ht="13.5" thickBot="1" x14ac:dyDescent="0.25">
      <c r="A44" s="1" t="s">
        <v>40</v>
      </c>
      <c r="B44" s="1" t="s">
        <v>64</v>
      </c>
      <c r="D44" s="25" t="s">
        <v>24</v>
      </c>
      <c r="E44" s="12" t="str">
        <f>IF(D6&gt;0,"Yes","No")</f>
        <v>No</v>
      </c>
      <c r="F44" s="12"/>
      <c r="G44" s="3"/>
      <c r="H44" s="3"/>
      <c r="I44" s="63"/>
      <c r="J44" s="48"/>
    </row>
    <row r="45" spans="1:15" ht="13.5" thickTop="1" x14ac:dyDescent="0.2">
      <c r="A45" s="17"/>
      <c r="B45" s="34"/>
      <c r="C45" s="35"/>
      <c r="D45" s="35"/>
      <c r="E45" s="248" t="s">
        <v>19</v>
      </c>
      <c r="F45" s="249"/>
      <c r="G45" s="249"/>
      <c r="H45" s="249"/>
      <c r="I45" s="249"/>
      <c r="J45" s="249"/>
      <c r="K45" s="249"/>
      <c r="L45" s="250"/>
    </row>
    <row r="46" spans="1:15" ht="15.75" x14ac:dyDescent="0.3">
      <c r="A46" s="23"/>
      <c r="B46" s="13"/>
      <c r="C46" s="9"/>
      <c r="D46" s="9"/>
      <c r="E46" s="38" t="s">
        <v>17</v>
      </c>
      <c r="F46" s="31" t="s">
        <v>6</v>
      </c>
      <c r="G46" s="31" t="s">
        <v>15</v>
      </c>
      <c r="H46" s="31" t="s">
        <v>7</v>
      </c>
      <c r="I46" s="31" t="s">
        <v>8</v>
      </c>
      <c r="J46" s="31" t="s">
        <v>18</v>
      </c>
      <c r="K46" s="31" t="s">
        <v>13</v>
      </c>
      <c r="L46" s="202" t="s">
        <v>134</v>
      </c>
    </row>
    <row r="47" spans="1:15" ht="15" thickBot="1" x14ac:dyDescent="0.25">
      <c r="A47" s="23"/>
      <c r="B47" s="39" t="s">
        <v>43</v>
      </c>
      <c r="C47" s="40"/>
      <c r="D47" s="40"/>
      <c r="E47" s="52">
        <v>7.2099999999999996E-4</v>
      </c>
      <c r="F47" s="53">
        <v>7.2099999999999996E-4</v>
      </c>
      <c r="G47" s="53">
        <v>7.2099999999999996E-4</v>
      </c>
      <c r="H47" s="51">
        <v>5.9100000000000005E-4</v>
      </c>
      <c r="I47" s="18">
        <v>1.0999999999999999E-2</v>
      </c>
      <c r="J47" s="51">
        <v>6.96E-3</v>
      </c>
      <c r="K47" s="51">
        <f>0.015+0.00483+0.000661</f>
        <v>2.0490999999999999E-2</v>
      </c>
      <c r="L47" s="199"/>
    </row>
    <row r="48" spans="1:15" x14ac:dyDescent="0.2">
      <c r="A48" s="23"/>
      <c r="B48" s="13"/>
      <c r="C48" s="9"/>
      <c r="D48" s="9"/>
      <c r="E48" s="36"/>
      <c r="F48" s="29"/>
      <c r="G48" s="29"/>
      <c r="H48" s="28"/>
      <c r="I48" s="28"/>
      <c r="J48" s="28"/>
      <c r="K48" s="28"/>
      <c r="L48" s="200"/>
    </row>
    <row r="49" spans="1:12" x14ac:dyDescent="0.2">
      <c r="A49" s="24"/>
      <c r="B49" s="13" t="s">
        <v>35</v>
      </c>
      <c r="C49" s="30"/>
      <c r="D49" s="30"/>
      <c r="E49" s="45">
        <f>IF($E$44="Yes",$D$6*E47*500/2000,0)</f>
        <v>0</v>
      </c>
      <c r="F49" s="46">
        <f t="shared" ref="F49:L49" si="3">IF($E$44="Yes",$D$6*F47*500/2000,0)</f>
        <v>0</v>
      </c>
      <c r="G49" s="46">
        <f t="shared" si="3"/>
        <v>0</v>
      </c>
      <c r="H49" s="46">
        <f t="shared" si="3"/>
        <v>0</v>
      </c>
      <c r="I49" s="46">
        <f t="shared" si="3"/>
        <v>0</v>
      </c>
      <c r="J49" s="46">
        <f t="shared" si="3"/>
        <v>0</v>
      </c>
      <c r="K49" s="46">
        <f t="shared" si="3"/>
        <v>0</v>
      </c>
      <c r="L49" s="204">
        <f t="shared" si="3"/>
        <v>0</v>
      </c>
    </row>
    <row r="50" spans="1:12" ht="13.5" thickBot="1" x14ac:dyDescent="0.25">
      <c r="A50" s="23"/>
      <c r="B50" s="19"/>
      <c r="C50" s="22"/>
      <c r="D50" s="22"/>
      <c r="E50" s="37"/>
      <c r="F50" s="32"/>
      <c r="G50" s="32"/>
      <c r="H50" s="33" t="s">
        <v>10</v>
      </c>
      <c r="I50" s="33"/>
      <c r="J50" s="33"/>
      <c r="K50" s="33"/>
      <c r="L50" s="201"/>
    </row>
    <row r="51" spans="1:12" ht="13.5" thickTop="1" x14ac:dyDescent="0.2">
      <c r="A51" s="17"/>
      <c r="B51" s="24" t="s">
        <v>12</v>
      </c>
      <c r="C51" s="23"/>
      <c r="D51" s="23"/>
      <c r="E51" s="26"/>
      <c r="F51" s="27"/>
      <c r="G51" s="27"/>
      <c r="H51" s="27"/>
      <c r="I51" s="27"/>
      <c r="J51" s="27"/>
      <c r="K51" s="27"/>
    </row>
    <row r="52" spans="1:12" x14ac:dyDescent="0.2">
      <c r="A52" s="17"/>
      <c r="B52" s="23" t="s">
        <v>65</v>
      </c>
      <c r="C52" s="23"/>
      <c r="D52" s="23"/>
      <c r="E52" s="26"/>
      <c r="F52" s="27"/>
      <c r="G52" s="27"/>
      <c r="H52" s="27"/>
      <c r="I52" s="27"/>
      <c r="J52" s="27"/>
      <c r="K52" s="27"/>
    </row>
    <row r="53" spans="1:12" ht="13.5" x14ac:dyDescent="0.25">
      <c r="A53" s="17"/>
      <c r="B53" s="17" t="s">
        <v>38</v>
      </c>
      <c r="C53" s="17"/>
      <c r="D53" s="17"/>
      <c r="E53" s="17"/>
      <c r="F53" s="17"/>
      <c r="G53" s="17"/>
      <c r="H53" s="17"/>
      <c r="I53" s="17"/>
      <c r="J53" s="17"/>
      <c r="K53" s="17"/>
    </row>
    <row r="54" spans="1:12" x14ac:dyDescent="0.2">
      <c r="A54" s="17"/>
      <c r="B54" s="17" t="s">
        <v>34</v>
      </c>
      <c r="C54" s="17"/>
      <c r="D54" s="17"/>
      <c r="E54" s="17"/>
      <c r="F54" s="17"/>
      <c r="G54" s="17"/>
      <c r="H54" s="17"/>
      <c r="I54" s="17"/>
      <c r="J54" s="17"/>
      <c r="K54" s="17"/>
    </row>
    <row r="55" spans="1:12" x14ac:dyDescent="0.2">
      <c r="A55" s="17"/>
      <c r="B55" s="17" t="s">
        <v>48</v>
      </c>
      <c r="C55" s="17"/>
      <c r="D55" s="17"/>
      <c r="E55" s="17"/>
      <c r="F55" s="17"/>
      <c r="G55" s="17"/>
      <c r="H55" s="17"/>
      <c r="I55" s="17"/>
      <c r="J55" s="17"/>
      <c r="K55" s="17"/>
    </row>
    <row r="56" spans="1:12" x14ac:dyDescent="0.2">
      <c r="A56" s="17"/>
      <c r="B56" s="16" t="s">
        <v>11</v>
      </c>
      <c r="C56" s="17"/>
      <c r="D56" s="17"/>
      <c r="E56" s="17"/>
      <c r="F56" s="17"/>
      <c r="G56" s="17"/>
      <c r="H56" s="17"/>
      <c r="I56" s="17"/>
      <c r="J56" s="17"/>
      <c r="K56" s="17"/>
    </row>
    <row r="57" spans="1:12" x14ac:dyDescent="0.2">
      <c r="A57" s="17"/>
      <c r="B57" s="17" t="s">
        <v>66</v>
      </c>
      <c r="C57" s="17"/>
      <c r="D57" s="17"/>
      <c r="E57" s="17"/>
      <c r="F57" s="17"/>
      <c r="G57" s="17"/>
      <c r="H57" s="17"/>
      <c r="I57" s="17"/>
      <c r="J57" s="17"/>
      <c r="K57" s="17"/>
    </row>
  </sheetData>
  <mergeCells count="7">
    <mergeCell ref="E29:L29"/>
    <mergeCell ref="E45:L45"/>
    <mergeCell ref="A2:L2"/>
    <mergeCell ref="A1:L1"/>
    <mergeCell ref="A3:L3"/>
    <mergeCell ref="A5:C5"/>
    <mergeCell ref="A6:C6"/>
  </mergeCells>
  <phoneticPr fontId="20" type="noConversion"/>
  <pageMargins left="0.75" right="0.75" top="1" bottom="1" header="0.5" footer="0.5"/>
  <pageSetup scale="61" orientation="landscape"/>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Inputs</vt:lpstr>
      <vt:lpstr>Output</vt:lpstr>
      <vt:lpstr>Printing</vt:lpstr>
      <vt:lpstr>Heaters</vt:lpstr>
      <vt:lpstr>Emergency Generator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2014-02-19T15:55:14Z</cp:lastPrinted>
  <dcterms:created xsi:type="dcterms:W3CDTF">2007-09-11T16:38:45Z</dcterms:created>
  <dcterms:modified xsi:type="dcterms:W3CDTF">2016-07-01T17:14:52Z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