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0" yWindow="0" windowWidth="28605" windowHeight="17325" tabRatio="852" firstSheet="1" activeTab="9"/>
  </bookViews>
  <sheets>
    <sheet name="Inputs" sheetId="8" r:id="rId1"/>
    <sheet name="Output" sheetId="13" r:id="rId2"/>
    <sheet name="DV-IDENTITY-0" sheetId="20" state="veryHidden" r:id="rId3"/>
    <sheet name="Wood-Fired Boiler" sheetId="32" r:id="rId4"/>
    <sheet name="Auxiliary Heater" sheetId="4" r:id="rId5"/>
    <sheet name="Log Preparation" sheetId="37" r:id="rId6"/>
    <sheet name="Sawmill" sheetId="34" r:id="rId7"/>
    <sheet name="Kiln Drying" sheetId="33" r:id="rId8"/>
    <sheet name="Planing" sheetId="39" r:id="rId9"/>
    <sheet name="Emergency Generator" sheetId="27" r:id="rId10"/>
  </sheets>
  <definedNames>
    <definedName name="_xlnm.Print_Area" localSheetId="0">Inputs!$A$1:$M$32</definedName>
    <definedName name="_xlnm.Print_Area" localSheetId="7">#REF!</definedName>
    <definedName name="_xlnm.Print_Area" localSheetId="5">#REF!</definedName>
    <definedName name="_xlnm.Print_Area" localSheetId="8">#REF!</definedName>
    <definedName name="_xlnm.Print_Area" localSheetId="6">#REF!</definedName>
    <definedName name="_xlnm.Print_Area" localSheetId="3">#REF!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5" i="32" l="1"/>
  <c r="L18" i="32"/>
  <c r="J11" i="13" s="1"/>
  <c r="J20" i="13" s="1"/>
  <c r="E11" i="33"/>
  <c r="G11" i="33"/>
  <c r="C6" i="34"/>
  <c r="E12" i="34"/>
  <c r="C6" i="37"/>
  <c r="G14" i="37"/>
  <c r="C8" i="37"/>
  <c r="F19" i="37" s="1"/>
  <c r="G15" i="37"/>
  <c r="C5" i="37"/>
  <c r="C7" i="37"/>
  <c r="F16" i="37"/>
  <c r="F18" i="37"/>
  <c r="E18" i="37"/>
  <c r="E15" i="37"/>
  <c r="C5" i="34"/>
  <c r="E16" i="34" s="1"/>
  <c r="B10" i="13" s="1"/>
  <c r="E13" i="34"/>
  <c r="C11" i="33"/>
  <c r="F24" i="33" s="1"/>
  <c r="C12" i="33"/>
  <c r="C13" i="33"/>
  <c r="C14" i="33"/>
  <c r="C15" i="33"/>
  <c r="K28" i="33" s="1"/>
  <c r="C16" i="33"/>
  <c r="C17" i="33"/>
  <c r="C18" i="33"/>
  <c r="C19" i="33"/>
  <c r="L32" i="33" s="1"/>
  <c r="C6" i="39"/>
  <c r="E12" i="39" s="1"/>
  <c r="F12" i="34"/>
  <c r="C6" i="32"/>
  <c r="H18" i="32"/>
  <c r="E11" i="13" s="1"/>
  <c r="M13" i="32"/>
  <c r="M14" i="32"/>
  <c r="M15" i="32"/>
  <c r="C5" i="39"/>
  <c r="E15" i="39" s="1"/>
  <c r="K16" i="34"/>
  <c r="J16" i="34"/>
  <c r="I16" i="34"/>
  <c r="H16" i="34"/>
  <c r="K15" i="39"/>
  <c r="J15" i="39"/>
  <c r="I15" i="39"/>
  <c r="H15" i="39"/>
  <c r="A2" i="39"/>
  <c r="A1" i="39"/>
  <c r="D5" i="4"/>
  <c r="E13" i="4" s="1"/>
  <c r="D6" i="4"/>
  <c r="E28" i="4"/>
  <c r="I33" i="4" s="1"/>
  <c r="E33" i="4"/>
  <c r="B15" i="13" s="1"/>
  <c r="S32" i="20"/>
  <c r="D7" i="4"/>
  <c r="E43" i="4"/>
  <c r="E48" i="4" s="1"/>
  <c r="D5" i="27"/>
  <c r="E12" i="27" s="1"/>
  <c r="D6" i="27"/>
  <c r="E44" i="27"/>
  <c r="I49" i="27" s="1"/>
  <c r="F11" i="33"/>
  <c r="E12" i="33"/>
  <c r="L12" i="33"/>
  <c r="L25" i="33"/>
  <c r="E13" i="33"/>
  <c r="E14" i="33"/>
  <c r="E15" i="33"/>
  <c r="J15" i="33" s="1"/>
  <c r="L15" i="33"/>
  <c r="E16" i="33"/>
  <c r="L16" i="33"/>
  <c r="L29" i="33"/>
  <c r="E17" i="33"/>
  <c r="E18" i="33"/>
  <c r="J18" i="33" s="1"/>
  <c r="J31" i="33" s="1"/>
  <c r="L18" i="33"/>
  <c r="E19" i="33"/>
  <c r="J19" i="33" s="1"/>
  <c r="L19" i="33"/>
  <c r="J11" i="33"/>
  <c r="J12" i="33"/>
  <c r="J16" i="33"/>
  <c r="J29" i="33" s="1"/>
  <c r="K15" i="33"/>
  <c r="K18" i="33"/>
  <c r="K31" i="33" s="1"/>
  <c r="F12" i="33"/>
  <c r="C5" i="33"/>
  <c r="J32" i="8"/>
  <c r="J33" i="8"/>
  <c r="J34" i="8"/>
  <c r="J35" i="8"/>
  <c r="J36" i="8"/>
  <c r="J37" i="8"/>
  <c r="J38" i="8"/>
  <c r="J39" i="8"/>
  <c r="J31" i="8"/>
  <c r="D40" i="8"/>
  <c r="K22" i="37"/>
  <c r="J22" i="37"/>
  <c r="I22" i="37"/>
  <c r="H22" i="37"/>
  <c r="I28" i="4"/>
  <c r="H31" i="4"/>
  <c r="J33" i="4"/>
  <c r="G15" i="13" s="1"/>
  <c r="I43" i="4"/>
  <c r="H46" i="4"/>
  <c r="I28" i="27"/>
  <c r="H31" i="27" s="1"/>
  <c r="L31" i="27"/>
  <c r="L15" i="27"/>
  <c r="K47" i="27"/>
  <c r="A2" i="37"/>
  <c r="A1" i="37"/>
  <c r="A2" i="34"/>
  <c r="A1" i="34"/>
  <c r="A2" i="33"/>
  <c r="A1" i="33"/>
  <c r="A2" i="32"/>
  <c r="A1" i="32"/>
  <c r="A1" i="27"/>
  <c r="A1" i="4"/>
  <c r="A1" i="13"/>
  <c r="A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F9"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Y32" i="20"/>
  <c r="HV42" i="20"/>
  <c r="AA32" i="20"/>
  <c r="AL34" i="20"/>
  <c r="HU42" i="20"/>
  <c r="M76" i="20"/>
  <c r="AM34" i="20"/>
  <c r="AS25" i="20"/>
  <c r="HW42" i="20"/>
  <c r="W32" i="20"/>
  <c r="GI68" i="20"/>
  <c r="GC68" i="20"/>
  <c r="GB68" i="20"/>
  <c r="FY68" i="20"/>
  <c r="O17" i="20"/>
  <c r="AT25" i="20"/>
  <c r="FZ68" i="20"/>
  <c r="GE68" i="20"/>
  <c r="GD68" i="20"/>
  <c r="J10" i="20"/>
  <c r="F40" i="20"/>
  <c r="K18" i="20"/>
  <c r="X32" i="20"/>
  <c r="J11" i="20"/>
  <c r="J12" i="20"/>
  <c r="BY18" i="20"/>
  <c r="BZ18" i="20"/>
  <c r="J13" i="20"/>
  <c r="CC18" i="20"/>
  <c r="CB18" i="20"/>
  <c r="CD18" i="20"/>
  <c r="Q32" i="20"/>
  <c r="L27" i="20"/>
  <c r="CA18" i="20"/>
  <c r="AQ25" i="20"/>
  <c r="AR25" i="20"/>
  <c r="FI13" i="20"/>
  <c r="FE13" i="20"/>
  <c r="HR42" i="20"/>
  <c r="HQ42" i="20"/>
  <c r="FH13" i="20"/>
  <c r="HS42" i="20"/>
  <c r="HT42" i="20"/>
  <c r="AG34" i="20"/>
  <c r="AH34" i="20"/>
  <c r="E9" i="20"/>
  <c r="AI34" i="20"/>
  <c r="B9" i="20"/>
  <c r="D9" i="20"/>
  <c r="C9" i="20"/>
  <c r="K13" i="33"/>
  <c r="K26" i="33" s="1"/>
  <c r="H18" i="33"/>
  <c r="M18" i="32"/>
  <c r="K11" i="13"/>
  <c r="F14" i="32"/>
  <c r="G13" i="32"/>
  <c r="G15" i="32"/>
  <c r="G18" i="32" s="1"/>
  <c r="D11" i="13" s="1"/>
  <c r="F15" i="32"/>
  <c r="G14" i="32"/>
  <c r="E15" i="32"/>
  <c r="G13" i="34"/>
  <c r="K16" i="33"/>
  <c r="K29" i="33" s="1"/>
  <c r="K12" i="33"/>
  <c r="K25" i="33"/>
  <c r="F19" i="33"/>
  <c r="F16" i="33"/>
  <c r="F29" i="33"/>
  <c r="H16" i="33"/>
  <c r="H29" i="33"/>
  <c r="F15" i="33"/>
  <c r="F28" i="33"/>
  <c r="F14" i="33"/>
  <c r="F27" i="33" s="1"/>
  <c r="F13" i="33"/>
  <c r="F26" i="33"/>
  <c r="H12" i="33"/>
  <c r="H25" i="33" s="1"/>
  <c r="G24" i="33"/>
  <c r="G12" i="33"/>
  <c r="G25" i="33"/>
  <c r="G13" i="33"/>
  <c r="G26" i="33"/>
  <c r="G15" i="33"/>
  <c r="G16" i="33"/>
  <c r="G29" i="33"/>
  <c r="G17" i="33"/>
  <c r="G30" i="33" s="1"/>
  <c r="G19" i="33"/>
  <c r="G32" i="33"/>
  <c r="I11" i="33"/>
  <c r="I24" i="33"/>
  <c r="I12" i="33"/>
  <c r="I13" i="33"/>
  <c r="I26" i="33" s="1"/>
  <c r="I14" i="33"/>
  <c r="I15" i="33"/>
  <c r="I28" i="33"/>
  <c r="I16" i="33"/>
  <c r="I17" i="33"/>
  <c r="I30" i="33" s="1"/>
  <c r="I18" i="33"/>
  <c r="I19" i="33"/>
  <c r="I32" i="33"/>
  <c r="I18" i="32"/>
  <c r="F11" i="13"/>
  <c r="J18" i="32"/>
  <c r="G11" i="13" s="1"/>
  <c r="F12" i="39"/>
  <c r="F15" i="39" s="1"/>
  <c r="C13" i="13" s="1"/>
  <c r="G12" i="39"/>
  <c r="F13" i="34"/>
  <c r="E49" i="27"/>
  <c r="J49" i="27"/>
  <c r="G18" i="13"/>
  <c r="G12" i="34"/>
  <c r="B13" i="13"/>
  <c r="G15" i="39"/>
  <c r="D13" i="13" s="1"/>
  <c r="B18" i="13"/>
  <c r="K33" i="4"/>
  <c r="H15" i="13" s="1"/>
  <c r="F15" i="13"/>
  <c r="F49" i="27"/>
  <c r="C18" i="13" s="1"/>
  <c r="G49" i="27"/>
  <c r="D18" i="13" s="1"/>
  <c r="K49" i="27"/>
  <c r="L48" i="4"/>
  <c r="K16" i="13" s="1"/>
  <c r="B16" i="13"/>
  <c r="F48" i="4"/>
  <c r="C16" i="13"/>
  <c r="H48" i="4"/>
  <c r="E16" i="13" s="1"/>
  <c r="J48" i="4"/>
  <c r="G16" i="13"/>
  <c r="H49" i="27"/>
  <c r="G33" i="4"/>
  <c r="F33" i="4"/>
  <c r="C15" i="13" s="1"/>
  <c r="L33" i="4"/>
  <c r="K15" i="13" s="1"/>
  <c r="Z32" i="20"/>
  <c r="U32" i="20"/>
  <c r="D15" i="13"/>
  <c r="E18" i="13"/>
  <c r="H18" i="13"/>
  <c r="T32" i="20"/>
  <c r="V32" i="20"/>
  <c r="F18" i="13"/>
  <c r="L18" i="4" l="1"/>
  <c r="I18" i="4"/>
  <c r="J18" i="4"/>
  <c r="F18" i="4"/>
  <c r="G18" i="4"/>
  <c r="E18" i="4"/>
  <c r="H18" i="4"/>
  <c r="K18" i="4"/>
  <c r="J17" i="27"/>
  <c r="G17" i="27"/>
  <c r="K17" i="27"/>
  <c r="E17" i="27"/>
  <c r="I17" i="27"/>
  <c r="L17" i="27"/>
  <c r="H17" i="27"/>
  <c r="F17" i="27"/>
  <c r="G33" i="33"/>
  <c r="L17" i="33"/>
  <c r="L30" i="33" s="1"/>
  <c r="J17" i="33"/>
  <c r="J30" i="33" s="1"/>
  <c r="H17" i="33"/>
  <c r="H30" i="33" s="1"/>
  <c r="L28" i="33"/>
  <c r="K14" i="33"/>
  <c r="K27" i="33" s="1"/>
  <c r="H14" i="33"/>
  <c r="H27" i="33" s="1"/>
  <c r="G14" i="33"/>
  <c r="G27" i="33" s="1"/>
  <c r="G16" i="34"/>
  <c r="D10" i="13" s="1"/>
  <c r="E28" i="27"/>
  <c r="G28" i="33"/>
  <c r="F17" i="33"/>
  <c r="F30" i="33" s="1"/>
  <c r="F33" i="33" s="1"/>
  <c r="H12" i="13" s="1"/>
  <c r="J28" i="33"/>
  <c r="J24" i="33"/>
  <c r="L13" i="33"/>
  <c r="L26" i="33" s="1"/>
  <c r="J13" i="33"/>
  <c r="J26" i="33" s="1"/>
  <c r="H13" i="33"/>
  <c r="H26" i="33" s="1"/>
  <c r="I29" i="33"/>
  <c r="F25" i="33"/>
  <c r="I25" i="33"/>
  <c r="I33" i="33" s="1"/>
  <c r="J25" i="33"/>
  <c r="G22" i="37"/>
  <c r="D9" i="13" s="1"/>
  <c r="G16" i="37"/>
  <c r="E14" i="37"/>
  <c r="G18" i="37"/>
  <c r="F14" i="37"/>
  <c r="F22" i="37" s="1"/>
  <c r="C9" i="13" s="1"/>
  <c r="E16" i="37"/>
  <c r="H11" i="33"/>
  <c r="H24" i="33" s="1"/>
  <c r="K11" i="33"/>
  <c r="K24" i="33" s="1"/>
  <c r="L11" i="33"/>
  <c r="L24" i="33" s="1"/>
  <c r="F16" i="34"/>
  <c r="C10" i="13" s="1"/>
  <c r="F32" i="33"/>
  <c r="K17" i="33"/>
  <c r="K30" i="33" s="1"/>
  <c r="J32" i="33"/>
  <c r="J14" i="33"/>
  <c r="J27" i="33" s="1"/>
  <c r="G18" i="33"/>
  <c r="G31" i="33" s="1"/>
  <c r="F18" i="33"/>
  <c r="F31" i="33" s="1"/>
  <c r="L14" i="33"/>
  <c r="L27" i="33" s="1"/>
  <c r="L31" i="33"/>
  <c r="G17" i="37"/>
  <c r="F15" i="37"/>
  <c r="E17" i="37"/>
  <c r="E22" i="37" s="1"/>
  <c r="B9" i="13" s="1"/>
  <c r="G19" i="37"/>
  <c r="F17" i="37"/>
  <c r="E19" i="37"/>
  <c r="E13" i="32"/>
  <c r="E18" i="32" s="1"/>
  <c r="B11" i="13" s="1"/>
  <c r="F13" i="32"/>
  <c r="E14" i="32"/>
  <c r="F18" i="32"/>
  <c r="C11" i="13" s="1"/>
  <c r="K18" i="32"/>
  <c r="H11" i="13" s="1"/>
  <c r="H33" i="4"/>
  <c r="E15" i="13" s="1"/>
  <c r="K48" i="4"/>
  <c r="H16" i="13" s="1"/>
  <c r="I48" i="4"/>
  <c r="F16" i="13" s="1"/>
  <c r="G48" i="4"/>
  <c r="D16" i="13" s="1"/>
  <c r="I31" i="33"/>
  <c r="I27" i="33"/>
  <c r="H15" i="33"/>
  <c r="H28" i="33" s="1"/>
  <c r="H19" i="33"/>
  <c r="H32" i="33" s="1"/>
  <c r="K19" i="33"/>
  <c r="K32" i="33" s="1"/>
  <c r="H31" i="33"/>
  <c r="L33" i="33" l="1"/>
  <c r="K12" i="13" s="1"/>
  <c r="A9" i="20"/>
  <c r="J33" i="33"/>
  <c r="I9" i="27"/>
  <c r="H33" i="33"/>
  <c r="H17" i="13"/>
  <c r="E14" i="13"/>
  <c r="H10" i="4"/>
  <c r="G14" i="13"/>
  <c r="J10" i="4"/>
  <c r="B14" i="13"/>
  <c r="B20" i="13" s="1"/>
  <c r="E10" i="4"/>
  <c r="I10" i="4"/>
  <c r="F14" i="13"/>
  <c r="I12" i="13"/>
  <c r="I20" i="13" s="1"/>
  <c r="J9" i="27"/>
  <c r="G10" i="4"/>
  <c r="D14" i="13"/>
  <c r="D20" i="13" s="1"/>
  <c r="L10" i="4"/>
  <c r="K14" i="13"/>
  <c r="K33" i="33"/>
  <c r="E33" i="27"/>
  <c r="E9" i="27" s="1"/>
  <c r="F33" i="27"/>
  <c r="G33" i="27"/>
  <c r="D17" i="13" s="1"/>
  <c r="J33" i="27"/>
  <c r="G17" i="13" s="1"/>
  <c r="H33" i="27"/>
  <c r="H9" i="27" s="1"/>
  <c r="K33" i="27"/>
  <c r="K9" i="27" s="1"/>
  <c r="L33" i="27"/>
  <c r="K17" i="13" s="1"/>
  <c r="I33" i="27"/>
  <c r="F17" i="13" s="1"/>
  <c r="C17" i="13"/>
  <c r="F9" i="27"/>
  <c r="B17" i="13"/>
  <c r="K10" i="4"/>
  <c r="H14" i="13"/>
  <c r="H20" i="13" s="1"/>
  <c r="F10" i="4"/>
  <c r="C14" i="13"/>
  <c r="C20" i="13" s="1"/>
  <c r="F20" i="13" l="1"/>
  <c r="G9" i="27"/>
  <c r="G20" i="13"/>
  <c r="K20" i="13"/>
  <c r="L9" i="27"/>
  <c r="E17" i="13"/>
  <c r="E20" i="13"/>
</calcChain>
</file>

<file path=xl/sharedStrings.xml><?xml version="1.0" encoding="utf-8"?>
<sst xmlns="http://schemas.openxmlformats.org/spreadsheetml/2006/main" count="579" uniqueCount="197">
  <si>
    <t>%</t>
  </si>
  <si>
    <t>Purple values are pulled from other worksheet</t>
  </si>
  <si>
    <t>Y</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</si>
  <si>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</si>
  <si>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</si>
  <si>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</si>
  <si>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</si>
  <si>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</si>
  <si>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</si>
  <si>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(hp)</t>
  </si>
  <si>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</si>
  <si>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</si>
  <si>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</si>
  <si>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</si>
  <si>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</si>
  <si>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</si>
  <si>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</si>
  <si>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</si>
  <si>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</si>
  <si>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</si>
  <si>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</si>
  <si>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</si>
  <si>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</si>
  <si>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Total</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</si>
  <si>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</si>
  <si>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</si>
  <si>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</si>
  <si>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</si>
  <si>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</si>
  <si>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</si>
  <si>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</si>
  <si>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</si>
  <si>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</si>
  <si>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</si>
  <si>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</si>
  <si>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</si>
  <si>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</si>
  <si>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</si>
  <si>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</si>
  <si>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</si>
  <si>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</si>
  <si>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</si>
  <si>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</si>
  <si>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t xml:space="preserve">Enter the facility's information below. 
Write the letter "Y" or "N" next to each fuel type to indicate that the facility does or does not burn that type of fuel. </t>
  </si>
  <si>
    <r>
      <t>Emission Factor</t>
    </r>
    <r>
      <rPr>
        <vertAlign val="superscript"/>
        <sz val="10"/>
        <rFont val="Arial"/>
        <family val="2"/>
      </rPr>
      <t>1</t>
    </r>
    <r>
      <rPr>
        <sz val="10"/>
        <rFont val="Arial"/>
      </rPr>
      <t xml:space="preserve"> (lbs/hp-hr)</t>
    </r>
  </si>
  <si>
    <t>Default = 0.0015</t>
    <phoneticPr fontId="2" type="noConversion"/>
  </si>
  <si>
    <t>Process</t>
  </si>
  <si>
    <t>N</t>
  </si>
  <si>
    <t>2. Assume PM emissions are equal to PM10 emissions</t>
  </si>
  <si>
    <t>4. Assume 500 hours/yr of operation for an emergency engine</t>
  </si>
  <si>
    <t>Sawmill Throughput -</t>
  </si>
  <si>
    <t>Mbf = thousand board feet</t>
  </si>
  <si>
    <t>MMBtu = million British thermal units</t>
  </si>
  <si>
    <t>Default = 0.0015</t>
  </si>
  <si>
    <t>Fuel Sulfur %</t>
  </si>
  <si>
    <t>Wood-Fired Boiler(s) Capacity -</t>
  </si>
  <si>
    <t>Wood Drying Kiln(s) Throughput -</t>
  </si>
  <si>
    <t>Planer(s) Throughput -</t>
  </si>
  <si>
    <t>Natural Gas-fired Auxiliary Heater(s) Capacity -</t>
  </si>
  <si>
    <t>Propane-fired Auxiliary Heater(s) Capacity -</t>
  </si>
  <si>
    <t>Distillate/Diesel-fired Auxiliary Heater(s) Capacity -</t>
  </si>
  <si>
    <t>If you operate multiple facilities of the same type (more than one wood-fired boiler or more than one drying kiln), enter the total rated capacity.</t>
  </si>
  <si>
    <t>The potential emissions of criteria pollutants and hazardous air pollutants for the facility will be displayed under the "Output" tab.</t>
  </si>
  <si>
    <t>Diesel-fired Emergency Generator Engine Size:</t>
  </si>
  <si>
    <t>Gasoline-fired Emergency Generator Engine Size:</t>
  </si>
  <si>
    <t>Diesel-fired Emergency Generator(s) Size -</t>
  </si>
  <si>
    <t>Gasoline-fired Emergency Generator(s) Size -</t>
  </si>
  <si>
    <t xml:space="preserve">Sawmill </t>
  </si>
  <si>
    <t>Wood-Fired Boiler(s)</t>
  </si>
  <si>
    <t>Wood Drying Kiln(s)</t>
  </si>
  <si>
    <t>Planer(s)</t>
  </si>
  <si>
    <t>Natural Gas-fired Auxiliary Heater(s)</t>
  </si>
  <si>
    <t>Propane-fired Auxiliary Heater(s)</t>
  </si>
  <si>
    <t>Distillate/Diesel-fired Auxiliary Heater(s)</t>
  </si>
  <si>
    <t>Log Preparation (de-barking, chipping)</t>
  </si>
  <si>
    <t>Total HAPs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</si>
  <si>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</si>
  <si>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</si>
  <si>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</si>
  <si>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</si>
  <si>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</si>
  <si>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</si>
  <si>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If the throughput capacity of a piece of equipment limits (or bottlenecks) the maximum throughput of other equipment, then input the bottlenecked capacity of that other equipment, but only if it impacts output of product.</t>
  </si>
  <si>
    <t>Wood-fired Boiler(s)</t>
  </si>
  <si>
    <t>No Controls</t>
  </si>
  <si>
    <t>Cyclone</t>
  </si>
  <si>
    <t>Baghouse</t>
  </si>
  <si>
    <t xml:space="preserve">Control Technology Used: </t>
  </si>
  <si>
    <t>PTE (ton/yr) = Boiler Maximum Capacity (MMBtu/hr) x EF (lb/MMBtu) x 8760 hr x 1 ton/2000 lb</t>
  </si>
  <si>
    <t>Default = 0.0014</t>
  </si>
  <si>
    <t>Liquid Fuel</t>
  </si>
  <si>
    <r>
      <t>Emission Factor</t>
    </r>
    <r>
      <rPr>
        <vertAlign val="superscript"/>
        <sz val="10"/>
        <rFont val="Arial"/>
        <family val="2"/>
      </rPr>
      <t>1</t>
    </r>
    <r>
      <rPr>
        <sz val="10"/>
        <rFont val="Arial"/>
      </rPr>
      <t xml:space="preserve"> (lb/MMSCF)</t>
    </r>
  </si>
  <si>
    <r>
      <t>Emission Factor</t>
    </r>
    <r>
      <rPr>
        <vertAlign val="superscript"/>
        <sz val="10"/>
        <rFont val="Arial"/>
        <family val="2"/>
      </rPr>
      <t>1</t>
    </r>
    <r>
      <rPr>
        <sz val="10"/>
        <rFont val="Arial"/>
      </rPr>
      <t xml:space="preserve"> (lbs/kgal)</t>
    </r>
  </si>
  <si>
    <r>
      <t>Emission Factor</t>
    </r>
    <r>
      <rPr>
        <vertAlign val="superscript"/>
        <sz val="10"/>
        <rFont val="Arial"/>
        <family val="2"/>
      </rPr>
      <t>1</t>
    </r>
    <r>
      <rPr>
        <sz val="10"/>
        <rFont val="Arial"/>
      </rPr>
      <t xml:space="preserve"> (lb/kgal)</t>
    </r>
  </si>
  <si>
    <r>
      <t>2. Assumed PM and PM</t>
    </r>
    <r>
      <rPr>
        <vertAlign val="subscript"/>
        <sz val="10"/>
        <rFont val="Arial"/>
        <family val="2"/>
      </rPr>
      <t>2.5</t>
    </r>
    <r>
      <rPr>
        <sz val="10"/>
        <rFont val="Arial"/>
      </rPr>
      <t xml:space="preserve"> emissions are equal to PM</t>
    </r>
    <r>
      <rPr>
        <vertAlign val="subscript"/>
        <sz val="10"/>
        <rFont val="Arial"/>
        <family val="2"/>
      </rPr>
      <t>10</t>
    </r>
    <r>
      <rPr>
        <sz val="10"/>
        <rFont val="Arial"/>
      </rPr>
      <t xml:space="preserve"> emissions.</t>
    </r>
  </si>
  <si>
    <t>Used</t>
  </si>
  <si>
    <t>-</t>
  </si>
  <si>
    <t>1. Emission factors are from AP-42, Chapter 1.3, Tables 1.3-1, 1.3-2, 1.3-3, 1.3-9, and 1.3-10 for Fuel Oil Combustion (updated 05/10).</t>
  </si>
  <si>
    <t>1. Emission factors are from AP-42, Chapter 1.4, Tables 1.4-1, 1.4-2, 1.4-3, and 1.4-4 (updated 07/98).</t>
  </si>
  <si>
    <t xml:space="preserve">(Tons/hr) </t>
  </si>
  <si>
    <t xml:space="preserve">(Mbf/hr) </t>
  </si>
  <si>
    <t>Wood Profile</t>
  </si>
  <si>
    <t>% of Total Kiln Throughput</t>
  </si>
  <si>
    <t>Kiln Temp. &lt; 200 ºF (Y or N)</t>
  </si>
  <si>
    <t>Kiln Temp. &gt; 200 ºF (Y or N)</t>
  </si>
  <si>
    <t>Species</t>
  </si>
  <si>
    <t>White Fir</t>
  </si>
  <si>
    <t>Western hemlock</t>
  </si>
  <si>
    <t>Western Red Cedar</t>
  </si>
  <si>
    <t>Douglas Fir</t>
  </si>
  <si>
    <t>Engelmann Spruce</t>
  </si>
  <si>
    <t>Larch</t>
  </si>
  <si>
    <t>Lodgepole Pine</t>
  </si>
  <si>
    <t>Ponderosa Pine</t>
  </si>
  <si>
    <t>Western White Pine</t>
  </si>
  <si>
    <t xml:space="preserve">VOC </t>
  </si>
  <si>
    <t>Total HAP</t>
  </si>
  <si>
    <t>Methanol</t>
  </si>
  <si>
    <t>Formaldehyde</t>
  </si>
  <si>
    <t xml:space="preserve">Kiln Temp. </t>
  </si>
  <si>
    <t>Kiln Throughput (Mbf/hr) (Yearly Basis)</t>
  </si>
  <si>
    <t>Acetaldehyde</t>
  </si>
  <si>
    <t>Propionaldehyde</t>
  </si>
  <si>
    <t>Acrolein</t>
  </si>
  <si>
    <t>&lt;200</t>
  </si>
  <si>
    <t>&gt;200</t>
  </si>
  <si>
    <t>Emission Factor Table</t>
  </si>
  <si>
    <t xml:space="preserve">PTE (tons/yr) </t>
  </si>
  <si>
    <t>Wood Profile for Kiln Activity</t>
  </si>
  <si>
    <r>
      <t>Emission Factors</t>
    </r>
    <r>
      <rPr>
        <b/>
        <vertAlign val="superscript"/>
        <sz val="10"/>
        <rFont val="Arial"/>
        <family val="2"/>
      </rPr>
      <t>1</t>
    </r>
    <r>
      <rPr>
        <b/>
        <sz val="10"/>
        <rFont val="Arial"/>
        <family val="2"/>
      </rPr>
      <t xml:space="preserve"> (lb/Mbf)</t>
    </r>
  </si>
  <si>
    <t>1. Emission factors for VOC and HAP are from "EPA Region 10 HAP and VOC Emission Factors for Lumber Drying, December 2012".</t>
  </si>
  <si>
    <t>PTE (ton/yr) = Kiln Throughput (mbf/hr) x Emission Factor (lb/mbf) x 8760 hr/yr x 1 ton/2000 lbs</t>
  </si>
  <si>
    <t>Assume kilns are direct-fired (heat for kilns is from wood-fired boilers or auxiliary heaters). Any particulate, SO2, NOx, and CO emissions are from combustion at the source of the heat.</t>
  </si>
  <si>
    <t>Log Preparation - Bark Produced -</t>
  </si>
  <si>
    <t>Log Preparation - Chips Produced -</t>
  </si>
  <si>
    <t xml:space="preserve">(tons/hr) </t>
  </si>
  <si>
    <t>(lb/ton)</t>
  </si>
  <si>
    <t>Log Prep. - Chips - Control Method -</t>
  </si>
  <si>
    <t>Log Prep. - Bark - Control Method -</t>
  </si>
  <si>
    <t xml:space="preserve">1. Emission factors for cyclones are from the "Emission Factor Wood Product" prepared by Oregon Department of Environmental Quality (Cyclone- Dry and Green chips, Shavings, Hogged Fuel/Bark, Green Sawdust - High Efficiency). PM10 is 50% of PM (Oregon) and PM2.5 is 60% of PM10 (AP-42). http://www.georgiaair.org/airpermit/downloads/permits/10300004/psd20735/1030004appl.pdf </t>
  </si>
  <si>
    <t>PTE (ton/yr) = Chip/Bark Production (ton/hr) x EF (lb/ton) x 8760 hr x 1 ton/2000 lb</t>
  </si>
  <si>
    <t>Log Preparation - Chipping and Bark</t>
  </si>
  <si>
    <t xml:space="preserve">2. Emission factors for baghouses are from the "Emission Factor Wood Product" prepared by Oregon Department of Environmental Quality (Cyclone- Dry and Green chips, Shavings, Hogged Fuel/Bark, Green Sawdust - baghouse). All PM is assumed to be PM10 and PM2.5 (Oregon). http://www.georgiaair.org/airpermit/downloads/permits/10300004/psd20735/1030004appl.pdf </t>
  </si>
  <si>
    <t>Planer(s) Control Method -</t>
  </si>
  <si>
    <t>Emissions from Wood-Fired Boilers - Criteria Pollutants and Hazardous Air Pollutants</t>
  </si>
  <si>
    <t>Emissions from Auxiliary Heaters - Criteria Pollutants and Hazardous Air Pollutants</t>
  </si>
  <si>
    <t>Emissions from Kiln Drying - Criteria Pollutants and Hazardous Air Pollutants</t>
  </si>
  <si>
    <t>Emissions from Planing - Criteria Pollutants</t>
  </si>
  <si>
    <t>Planers</t>
  </si>
  <si>
    <r>
      <t>Planers - Emission Factor</t>
    </r>
    <r>
      <rPr>
        <vertAlign val="superscript"/>
        <sz val="10"/>
        <rFont val="Arial"/>
        <family val="2"/>
      </rPr>
      <t>2</t>
    </r>
    <r>
      <rPr>
        <sz val="10"/>
        <rFont val="Arial"/>
      </rPr>
      <t xml:space="preserve"> (Baghouse)</t>
    </r>
  </si>
  <si>
    <t>Sawmill Control Method -</t>
  </si>
  <si>
    <r>
      <t>Sawmills - Emission Factor</t>
    </r>
    <r>
      <rPr>
        <vertAlign val="superscript"/>
        <sz val="10"/>
        <rFont val="Arial"/>
        <family val="2"/>
      </rPr>
      <t>1</t>
    </r>
    <r>
      <rPr>
        <sz val="10"/>
        <rFont val="Arial"/>
      </rPr>
      <t xml:space="preserve"> (Cyclone)</t>
    </r>
  </si>
  <si>
    <r>
      <t>Sawmills - Emission Factor</t>
    </r>
    <r>
      <rPr>
        <vertAlign val="superscript"/>
        <sz val="10"/>
        <rFont val="Arial"/>
        <family val="2"/>
      </rPr>
      <t>2</t>
    </r>
    <r>
      <rPr>
        <sz val="10"/>
        <rFont val="Arial"/>
      </rPr>
      <t xml:space="preserve"> (Baghouse)</t>
    </r>
  </si>
  <si>
    <t>Summary - Total Potential to Emit</t>
  </si>
  <si>
    <t>Total PTE (ton/yr)</t>
  </si>
  <si>
    <t>Enter the maximum capacity information for the equipment at your sawmill.</t>
  </si>
  <si>
    <t>This calculator does not calculate emissions from non-emergency engines. Contact your reviewing authority if you use non-emergency engines to power your operations.</t>
  </si>
  <si>
    <t xml:space="preserve">Wood-fired Boiler Capacity: </t>
  </si>
  <si>
    <r>
      <t xml:space="preserve">MMBtu/hr </t>
    </r>
    <r>
      <rPr>
        <vertAlign val="superscript"/>
        <sz val="10"/>
        <rFont val="Arial"/>
        <family val="2"/>
      </rPr>
      <t>1</t>
    </r>
  </si>
  <si>
    <t>1. Wood-fired boilers with a capacity rating of 30 MMBtu/hr or greater are subject to federal standards under NSPS, Subpart Dc.</t>
  </si>
  <si>
    <r>
      <t>Emission Factor</t>
    </r>
    <r>
      <rPr>
        <vertAlign val="superscript"/>
        <sz val="10"/>
        <rFont val="Arial"/>
        <family val="2"/>
      </rPr>
      <t>2, 3</t>
    </r>
    <r>
      <rPr>
        <sz val="10"/>
        <rFont val="Arial"/>
      </rPr>
      <t xml:space="preserve"> (lbs/MMBtu)</t>
    </r>
  </si>
  <si>
    <r>
      <t>PM</t>
    </r>
    <r>
      <rPr>
        <vertAlign val="superscript"/>
        <sz val="10"/>
        <rFont val="Arial"/>
        <family val="2"/>
      </rPr>
      <t>4</t>
    </r>
  </si>
  <si>
    <t>Footnotes:</t>
  </si>
  <si>
    <t>Western Hemlock</t>
  </si>
  <si>
    <r>
      <t>Bark - Emission Factor</t>
    </r>
    <r>
      <rPr>
        <vertAlign val="superscript"/>
        <sz val="10"/>
        <rFont val="Arial"/>
        <family val="2"/>
      </rPr>
      <t>2</t>
    </r>
    <r>
      <rPr>
        <sz val="10"/>
        <rFont val="Arial"/>
      </rPr>
      <t xml:space="preserve"> (Cyclone)</t>
    </r>
  </si>
  <si>
    <r>
      <t>Bark - Emission Factor</t>
    </r>
    <r>
      <rPr>
        <vertAlign val="superscript"/>
        <sz val="10"/>
        <rFont val="Arial"/>
        <family val="2"/>
      </rPr>
      <t>1</t>
    </r>
    <r>
      <rPr>
        <sz val="10"/>
        <rFont val="Arial"/>
      </rPr>
      <t xml:space="preserve"> (No Control)</t>
    </r>
  </si>
  <si>
    <r>
      <t>Chipper - Emission Factor</t>
    </r>
    <r>
      <rPr>
        <vertAlign val="superscript"/>
        <sz val="10"/>
        <rFont val="Arial"/>
        <family val="2"/>
      </rPr>
      <t>1</t>
    </r>
    <r>
      <rPr>
        <sz val="10"/>
        <rFont val="Arial"/>
      </rPr>
      <t xml:space="preserve"> (No Control)</t>
    </r>
  </si>
  <si>
    <r>
      <t>Chipper - Emission Factor</t>
    </r>
    <r>
      <rPr>
        <vertAlign val="superscript"/>
        <sz val="10"/>
        <rFont val="Arial"/>
        <family val="2"/>
      </rPr>
      <t>2</t>
    </r>
    <r>
      <rPr>
        <sz val="10"/>
        <rFont val="Arial"/>
      </rPr>
      <t xml:space="preserve"> (Cyclone)</t>
    </r>
  </si>
  <si>
    <r>
      <t>Bark - Emission Factor</t>
    </r>
    <r>
      <rPr>
        <vertAlign val="superscript"/>
        <sz val="10"/>
        <rFont val="Arial"/>
        <family val="2"/>
      </rPr>
      <t>3</t>
    </r>
    <r>
      <rPr>
        <sz val="10"/>
        <rFont val="Arial"/>
      </rPr>
      <t xml:space="preserve"> (Baghouse)</t>
    </r>
  </si>
  <si>
    <r>
      <t>Chipper - Emission Factor</t>
    </r>
    <r>
      <rPr>
        <vertAlign val="superscript"/>
        <sz val="10"/>
        <rFont val="Arial"/>
        <family val="2"/>
      </rPr>
      <t>3</t>
    </r>
    <r>
      <rPr>
        <sz val="10"/>
        <rFont val="Arial"/>
      </rPr>
      <t xml:space="preserve"> (Baghouse)</t>
    </r>
  </si>
  <si>
    <t xml:space="preserve">3. Emission factors for baghouses are from the "Emission Factor Wood Product" prepared by Oregon Department of Environmental Quality (Cyclone- Dry and Green chips, Shavings, Hogged Fuel/Bark, Green Sawdust - baghouse). All PM is assumed to be PM10 and PM2.5 (Oregon). http://www.georgiaair.org/airpermit/downloads/permits/10300004/psd20735/1030004appl.pdf </t>
  </si>
  <si>
    <t xml:space="preserve">2. Emission factors for cyclones are from the "Emission Factor Wood Product" prepared by Oregon Department of Environmental Quality (Cyclone- Dry and Green chips, Shavings, Hogged Fuel/Bark, Green Sawdust - High Efficiency). PM10 is 50% of PM (Oregon) and PM2.5 is 60% of PM10 (AP-42). http://www.georgiaair.org/airpermit/downloads/permits/10300004/psd20735/1030004appl.pdf </t>
  </si>
  <si>
    <t>1. Emission factors for uncontrolled log preparation are unavailable. Assume that these emissions are ten times the amount of cyclone-controlled operations. Emission factor for cyclones are from the "Emission Factor Wood Product" prepared by Oregon Department of Environmental Quality (Cyclone- Dry and Green chips, Shavings, Hogged Fuel/Bark, Green Sawdust - High Efficiency).</t>
  </si>
  <si>
    <t>3. Emission factors are from AP-42, Chapter 1.6, Tables 1.6-1, 1.6-2, and 1.6-3 (updated 9/03).  Assume bark and wet wood fired boiler.</t>
  </si>
  <si>
    <t>2. Emissions of PM, PM10, and PM2.5 from boilers with a maximum capacity greater than or equal to 10 MMBtu/hr are limited to 0.10 lb/MMBtu by conditions in the permit.</t>
  </si>
  <si>
    <t>The permit requires that sawmills be controlled by a cyclone.</t>
  </si>
  <si>
    <t>The permit requires that planer mills be controlled by a baghouse.</t>
  </si>
  <si>
    <t>Control Technology Used (Y or N) *</t>
  </si>
  <si>
    <t>Natural Gas-fired Boilers and Auxiliary Heater(s) Capacity -</t>
  </si>
  <si>
    <t>Potential To Emit Calculator for Sawmill Facilities</t>
  </si>
  <si>
    <t>4. PM emission factors include 0.017 lb/MMBtu/hr for condensable PM.</t>
  </si>
  <si>
    <t>Emissions from Log Preparation, Debarking, Chipping - Criteria Pollutants</t>
  </si>
  <si>
    <t>Directions:</t>
  </si>
  <si>
    <t>Emissions from Sawmills - Criteria Pollutants</t>
  </si>
  <si>
    <t>Emissions from Emergency Generator Engines - Criteria Pollutants and Hazardous Air Pollutants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</si>
  <si>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</si>
  <si>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Diesel-fired Emergency Generator(s)*</t>
  </si>
  <si>
    <t>Gasoline-fired Emergency Generator(s)*</t>
  </si>
  <si>
    <t>* Planar mills are required to use a baghouse for control by conditions in the permit.</t>
  </si>
  <si>
    <t>* Sawmills are required to use a baghouse or fabric filter for control by conditions in the permit.</t>
  </si>
  <si>
    <t>(Tons/hr)</t>
  </si>
  <si>
    <r>
      <t>(</t>
    </r>
    <r>
      <rPr>
        <sz val="10"/>
        <rFont val="Arial"/>
      </rPr>
      <t>Ton</t>
    </r>
    <r>
      <rPr>
        <sz val="10"/>
        <rFont val="Arial"/>
      </rPr>
      <t xml:space="preserve">/hr) </t>
    </r>
  </si>
  <si>
    <t>(tons/hr)</t>
  </si>
  <si>
    <t>Single HAP - Formaldehyde</t>
  </si>
  <si>
    <t>HAP-methanol</t>
  </si>
  <si>
    <t>HAP-Formaldehyde</t>
  </si>
  <si>
    <t xml:space="preserve">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</si>
</sst>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0.000"/>
    <numFmt numFmtId="166" formatCode="0.0"/>
    <numFmt numFmtId="167" formatCode="#,##0.0000"/>
    <numFmt numFmtId="168" formatCode="#,##0.0"/>
  </numFmts>
  <fonts count="29"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indexed="10"/>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theme="10"/>
      <name val="Arial"/>
      <family val="2"/>
    </font>
    <font>
      <u/>
      <sz val="10"/>
      <color theme="11"/>
      <name val="Arial"/>
      <family val="2"/>
    </font>
    <font>
      <sz val="10"/>
      <color rgb="FFFF0000"/>
      <name val="Arial"/>
      <family val="2"/>
    </font>
    <font>
      <u/>
      <sz val="10"/>
      <color theme="10"/>
      <name val="Arial"/>
      <family val="2"/>
    </font>
    <font>
      <sz val="10"/>
      <color theme="1"/>
      <name val="Arial"/>
      <family val="2"/>
    </font>
    <font>
      <sz val="12"/>
      <name val="Arial"/>
      <family val="2"/>
    </font>
    <font>
      <b/>
      <sz val="10"/>
      <color rgb="FFFF0000"/>
      <name val="Arial"/>
      <family val="2"/>
    </font>
    <font>
      <b/>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77">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n">
        <color auto="1"/>
      </bottom>
      <diagonal/>
    </border>
    <border>
      <left style="thin">
        <color auto="1"/>
      </left>
      <right/>
      <top/>
      <bottom style="double">
        <color auto="1"/>
      </bottom>
      <diagonal/>
    </border>
    <border>
      <left style="thin">
        <color auto="1"/>
      </left>
      <right/>
      <top style="medium">
        <color auto="1"/>
      </top>
      <bottom/>
      <diagonal/>
    </border>
    <border>
      <left style="medium">
        <color auto="1"/>
      </left>
      <right/>
      <top/>
      <bottom style="double">
        <color auto="1"/>
      </bottom>
      <diagonal/>
    </border>
    <border>
      <left style="thin">
        <color auto="1"/>
      </left>
      <right style="medium">
        <color auto="1"/>
      </right>
      <top/>
      <bottom style="double">
        <color auto="1"/>
      </bottom>
      <diagonal/>
    </border>
    <border>
      <left/>
      <right/>
      <top style="medium">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thin">
        <color auto="1"/>
      </top>
      <bottom/>
      <diagonal/>
    </border>
    <border>
      <left/>
      <right/>
      <top style="thin">
        <color auto="1"/>
      </top>
      <bottom style="double">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thin">
        <color auto="1"/>
      </top>
      <bottom style="medium">
        <color auto="1"/>
      </bottom>
      <diagonal/>
    </border>
    <border>
      <left style="medium">
        <color auto="1"/>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double">
        <color auto="1"/>
      </top>
      <bottom style="medium">
        <color auto="1"/>
      </bottom>
      <diagonal/>
    </border>
  </borders>
  <cellStyleXfs count="1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alignment vertical="top"/>
      <protection locked="0"/>
    </xf>
    <xf numFmtId="43" fontId="5"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332">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7" fillId="0" borderId="0" xfId="0" applyFont="1"/>
    <xf numFmtId="0" fontId="0" fillId="0" borderId="0" xfId="0" applyNumberFormat="1" applyAlignment="1">
      <alignment horizontal="left" vertical="top" wrapText="1"/>
    </xf>
    <xf numFmtId="0" fontId="5" fillId="0" borderId="0" xfId="0" applyFont="1" applyBorder="1"/>
    <xf numFmtId="0" fontId="8" fillId="0" borderId="0" xfId="0" applyFont="1" applyAlignment="1"/>
    <xf numFmtId="14" fontId="0" fillId="0" borderId="0" xfId="0" applyNumberFormat="1" applyAlignment="1"/>
    <xf numFmtId="0" fontId="16" fillId="0" borderId="0" xfId="0" applyFont="1"/>
    <xf numFmtId="0" fontId="5" fillId="0" borderId="2" xfId="0" applyFont="1" applyBorder="1"/>
    <xf numFmtId="14" fontId="15" fillId="0" borderId="0" xfId="0" applyNumberFormat="1" applyFont="1" applyAlignment="1">
      <alignment horizontal="left" vertical="top" wrapText="1"/>
    </xf>
    <xf numFmtId="0" fontId="10" fillId="0" borderId="0" xfId="0" applyFont="1"/>
    <xf numFmtId="0" fontId="11" fillId="0" borderId="0" xfId="0" applyFont="1"/>
    <xf numFmtId="0" fontId="12" fillId="0" borderId="0" xfId="0" applyFont="1"/>
    <xf numFmtId="0" fontId="5" fillId="0" borderId="8" xfId="0" applyFont="1" applyBorder="1" applyAlignment="1">
      <alignment horizontal="center"/>
    </xf>
    <xf numFmtId="0" fontId="5" fillId="0" borderId="3" xfId="0" applyFont="1" applyBorder="1"/>
    <xf numFmtId="14" fontId="16" fillId="0" borderId="0" xfId="0" applyNumberFormat="1" applyFont="1" applyAlignment="1">
      <alignment horizontal="left" vertical="top" wrapText="1"/>
    </xf>
    <xf numFmtId="14" fontId="5" fillId="0" borderId="0" xfId="0" applyNumberFormat="1" applyFont="1" applyAlignment="1">
      <alignment horizontal="left" vertical="top" wrapText="1"/>
    </xf>
    <xf numFmtId="0" fontId="5" fillId="0" borderId="7" xfId="0" applyFont="1" applyBorder="1"/>
    <xf numFmtId="0" fontId="12" fillId="0" borderId="0" xfId="0" applyFont="1" applyBorder="1"/>
    <xf numFmtId="0" fontId="11" fillId="0" borderId="0" xfId="0" applyFont="1" applyBorder="1"/>
    <xf numFmtId="0" fontId="0" fillId="0" borderId="0" xfId="0" applyFont="1" applyFill="1" applyBorder="1" applyAlignment="1">
      <alignment horizontal="center"/>
    </xf>
    <xf numFmtId="166" fontId="12" fillId="0" borderId="0" xfId="0" applyNumberFormat="1" applyFont="1" applyBorder="1" applyAlignment="1">
      <alignment horizontal="center"/>
    </xf>
    <xf numFmtId="0" fontId="12"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0" xfId="0" applyFont="1" applyBorder="1"/>
    <xf numFmtId="0" fontId="5" fillId="2" borderId="1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5" fillId="0" borderId="18" xfId="0" applyFont="1" applyBorder="1" applyAlignment="1">
      <alignment horizontal="center"/>
    </xf>
    <xf numFmtId="166" fontId="5" fillId="0" borderId="19" xfId="0" applyNumberFormat="1" applyFont="1" applyBorder="1" applyAlignment="1">
      <alignment horizontal="center"/>
    </xf>
    <xf numFmtId="0" fontId="12" fillId="0" borderId="6" xfId="0" applyFont="1" applyBorder="1"/>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0" borderId="20" xfId="0" applyFont="1" applyBorder="1"/>
    <xf numFmtId="0" fontId="5" fillId="0" borderId="8"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2" fontId="17" fillId="0" borderId="18" xfId="0" applyNumberFormat="1" applyFont="1" applyBorder="1" applyAlignment="1">
      <alignment horizontal="center"/>
    </xf>
    <xf numFmtId="2" fontId="17" fillId="0" borderId="12" xfId="0" applyNumberFormat="1" applyFont="1" applyBorder="1" applyAlignment="1">
      <alignment horizontal="center"/>
    </xf>
    <xf numFmtId="2" fontId="17" fillId="0" borderId="14" xfId="0" applyNumberFormat="1" applyFont="1" applyBorder="1" applyAlignment="1">
      <alignment horizontal="center"/>
    </xf>
    <xf numFmtId="3" fontId="16" fillId="0" borderId="0" xfId="0" applyNumberFormat="1" applyFont="1"/>
    <xf numFmtId="0" fontId="18" fillId="0" borderId="0" xfId="0" applyFont="1"/>
    <xf numFmtId="0" fontId="5" fillId="0" borderId="0" xfId="0" applyFont="1" applyFill="1" applyBorder="1" applyAlignment="1">
      <alignment horizontal="center"/>
    </xf>
    <xf numFmtId="0" fontId="15" fillId="0" borderId="0" xfId="0" applyFont="1"/>
    <xf numFmtId="11" fontId="5" fillId="0" borderId="23" xfId="0" applyNumberFormat="1" applyFont="1" applyBorder="1" applyAlignment="1">
      <alignment horizontal="center"/>
    </xf>
    <xf numFmtId="11" fontId="5" fillId="0" borderId="21" xfId="0" applyNumberFormat="1" applyFont="1" applyBorder="1" applyAlignment="1">
      <alignment horizontal="center"/>
    </xf>
    <xf numFmtId="11" fontId="5" fillId="0" borderId="22" xfId="0" applyNumberFormat="1" applyFont="1" applyBorder="1" applyAlignment="1">
      <alignment horizontal="center"/>
    </xf>
    <xf numFmtId="11" fontId="5" fillId="0" borderId="8" xfId="0" applyNumberFormat="1" applyFont="1" applyBorder="1" applyAlignment="1">
      <alignment horizontal="center"/>
    </xf>
    <xf numFmtId="11" fontId="5" fillId="0" borderId="24" xfId="0" applyNumberFormat="1" applyFont="1" applyBorder="1" applyAlignment="1">
      <alignment horizontal="center"/>
    </xf>
    <xf numFmtId="0" fontId="8" fillId="0" borderId="0" xfId="0" applyFont="1" applyAlignment="1">
      <alignment horizontal="center"/>
    </xf>
    <xf numFmtId="0" fontId="0" fillId="0" borderId="0" xfId="0" applyAlignment="1"/>
    <xf numFmtId="0" fontId="8" fillId="0" borderId="0" xfId="0" applyFont="1" applyAlignment="1">
      <alignment horizontal="center"/>
    </xf>
    <xf numFmtId="0" fontId="8" fillId="0" borderId="0" xfId="0" applyFont="1" applyAlignment="1">
      <alignment horizontal="center"/>
    </xf>
    <xf numFmtId="0" fontId="20" fillId="0" borderId="0" xfId="0" applyFont="1" applyBorder="1"/>
    <xf numFmtId="0" fontId="20" fillId="0" borderId="0" xfId="0" applyFont="1"/>
    <xf numFmtId="0" fontId="23" fillId="0" borderId="0" xfId="0" applyFont="1"/>
    <xf numFmtId="0" fontId="0" fillId="0" borderId="0" xfId="0" applyFont="1" applyBorder="1" applyAlignment="1">
      <alignment vertical="top" wrapText="1"/>
    </xf>
    <xf numFmtId="0" fontId="0" fillId="0" borderId="0" xfId="0" applyAlignment="1">
      <alignment vertical="top" wrapText="1"/>
    </xf>
    <xf numFmtId="0" fontId="24" fillId="0" borderId="0" xfId="5" applyAlignment="1" applyProtection="1"/>
    <xf numFmtId="0" fontId="16" fillId="0" borderId="0" xfId="0" applyFont="1" applyAlignment="1">
      <alignment horizontal="center"/>
    </xf>
    <xf numFmtId="167" fontId="16" fillId="0" borderId="0" xfId="0" applyNumberFormat="1" applyFont="1"/>
    <xf numFmtId="0" fontId="20" fillId="0" borderId="10" xfId="0" applyFont="1" applyBorder="1"/>
    <xf numFmtId="0" fontId="20" fillId="2" borderId="10"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7" xfId="0" applyFont="1" applyBorder="1" applyAlignment="1">
      <alignment horizontal="center"/>
    </xf>
    <xf numFmtId="2" fontId="17" fillId="0" borderId="27" xfId="0" applyNumberFormat="1" applyFont="1" applyBorder="1" applyAlignment="1">
      <alignment horizontal="center"/>
    </xf>
    <xf numFmtId="11" fontId="5" fillId="0" borderId="28" xfId="0" applyNumberFormat="1" applyFont="1" applyBorder="1" applyAlignment="1">
      <alignment horizontal="center"/>
    </xf>
    <xf numFmtId="0" fontId="5" fillId="0" borderId="29"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31" xfId="0" applyFont="1" applyBorder="1"/>
    <xf numFmtId="0" fontId="12" fillId="0" borderId="32" xfId="0" applyFont="1" applyBorder="1"/>
    <xf numFmtId="0" fontId="5" fillId="0" borderId="33" xfId="0" applyFont="1" applyBorder="1"/>
    <xf numFmtId="0" fontId="5" fillId="0" borderId="35" xfId="0" applyFont="1" applyBorder="1"/>
    <xf numFmtId="0" fontId="12" fillId="0" borderId="37" xfId="0" applyFont="1" applyBorder="1"/>
    <xf numFmtId="164" fontId="17" fillId="0" borderId="38" xfId="0" applyNumberFormat="1" applyFont="1" applyBorder="1" applyAlignment="1">
      <alignment horizontal="center"/>
    </xf>
    <xf numFmtId="0" fontId="12" fillId="0" borderId="39" xfId="0" applyFont="1" applyBorder="1"/>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2" fontId="17" fillId="0" borderId="43" xfId="0" applyNumberFormat="1" applyFont="1" applyBorder="1" applyAlignment="1">
      <alignment horizontal="center"/>
    </xf>
    <xf numFmtId="2" fontId="17" fillId="0" borderId="28" xfId="0" applyNumberFormat="1" applyFont="1" applyBorder="1" applyAlignment="1">
      <alignment horizontal="center"/>
    </xf>
    <xf numFmtId="164" fontId="17" fillId="0" borderId="36" xfId="0" applyNumberFormat="1" applyFont="1" applyBorder="1" applyAlignment="1">
      <alignment horizontal="center"/>
    </xf>
    <xf numFmtId="0" fontId="20" fillId="0" borderId="34" xfId="0" applyFont="1" applyBorder="1" applyAlignment="1">
      <alignment horizontal="center" vertical="center"/>
    </xf>
    <xf numFmtId="0" fontId="20" fillId="0" borderId="36" xfId="0" applyFont="1" applyBorder="1" applyAlignment="1">
      <alignment horizont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12" fillId="0" borderId="44" xfId="0" applyFont="1" applyBorder="1"/>
    <xf numFmtId="0" fontId="5" fillId="0" borderId="26" xfId="0" applyFont="1" applyBorder="1" applyAlignment="1">
      <alignment horizontal="center"/>
    </xf>
    <xf numFmtId="0" fontId="12" fillId="0" borderId="45" xfId="0" applyFont="1" applyBorder="1"/>
    <xf numFmtId="164" fontId="0" fillId="0" borderId="10" xfId="0" applyNumberFormat="1" applyBorder="1" applyAlignment="1">
      <alignment horizontal="center"/>
    </xf>
    <xf numFmtId="0" fontId="0" fillId="0" borderId="0" xfId="0" applyAlignment="1">
      <alignmen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3" fillId="0" borderId="0" xfId="0" applyNumberFormat="1" applyFont="1"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20" fillId="0" borderId="10" xfId="0" applyFont="1" applyBorder="1" applyAlignment="1">
      <alignment vertical="center"/>
    </xf>
    <xf numFmtId="0" fontId="23" fillId="0" borderId="47" xfId="0" applyFont="1" applyBorder="1" applyAlignment="1">
      <alignment horizontal="center" vertical="center"/>
    </xf>
    <xf numFmtId="0" fontId="23" fillId="0" borderId="27" xfId="0" applyFont="1" applyBorder="1" applyAlignment="1">
      <alignment horizontal="center" vertical="center"/>
    </xf>
    <xf numFmtId="2" fontId="17" fillId="0" borderId="0" xfId="0" applyNumberFormat="1" applyFont="1" applyBorder="1" applyAlignment="1">
      <alignment horizontal="center"/>
    </xf>
    <xf numFmtId="0" fontId="20" fillId="2" borderId="52" xfId="0" applyFont="1" applyFill="1" applyBorder="1" applyAlignment="1">
      <alignment horizontal="center"/>
    </xf>
    <xf numFmtId="0" fontId="20" fillId="0" borderId="33" xfId="0" applyFont="1" applyBorder="1"/>
    <xf numFmtId="2" fontId="17" fillId="0" borderId="38" xfId="0" applyNumberFormat="1" applyFont="1" applyBorder="1" applyAlignment="1">
      <alignment horizontal="center"/>
    </xf>
    <xf numFmtId="164" fontId="20" fillId="0" borderId="38" xfId="0" applyNumberFormat="1" applyFont="1" applyBorder="1" applyAlignment="1">
      <alignment horizontal="center"/>
    </xf>
    <xf numFmtId="0" fontId="20" fillId="0" borderId="56" xfId="0" applyFont="1" applyBorder="1" applyAlignment="1">
      <alignment horizontal="center"/>
    </xf>
    <xf numFmtId="165" fontId="20" fillId="0" borderId="12" xfId="0" applyNumberFormat="1" applyFont="1" applyBorder="1" applyAlignment="1">
      <alignment horizontal="center"/>
    </xf>
    <xf numFmtId="2" fontId="20" fillId="0" borderId="0" xfId="0" applyNumberFormat="1" applyFont="1" applyBorder="1" applyAlignment="1">
      <alignment horizontal="center"/>
    </xf>
    <xf numFmtId="2" fontId="20" fillId="0" borderId="12" xfId="0" applyNumberFormat="1" applyFont="1" applyBorder="1" applyAlignment="1">
      <alignment horizontal="center"/>
    </xf>
    <xf numFmtId="165" fontId="20" fillId="0" borderId="27" xfId="0" applyNumberFormat="1" applyFont="1" applyBorder="1" applyAlignment="1">
      <alignment horizontal="center"/>
    </xf>
    <xf numFmtId="0" fontId="25" fillId="2" borderId="58" xfId="0" applyFont="1" applyFill="1" applyBorder="1" applyAlignment="1">
      <alignment horizontal="center"/>
    </xf>
    <xf numFmtId="0" fontId="20" fillId="0" borderId="31" xfId="0" applyFont="1" applyBorder="1" applyAlignment="1">
      <alignment horizontal="center"/>
    </xf>
    <xf numFmtId="0" fontId="20" fillId="0" borderId="4" xfId="0" applyFont="1" applyBorder="1"/>
    <xf numFmtId="0" fontId="20" fillId="0" borderId="0" xfId="0" applyFont="1" applyFill="1" applyBorder="1" applyAlignment="1">
      <alignment horizontal="center"/>
    </xf>
    <xf numFmtId="2" fontId="20" fillId="0" borderId="13" xfId="0" applyNumberFormat="1" applyFont="1" applyBorder="1" applyAlignment="1">
      <alignment horizontal="center"/>
    </xf>
    <xf numFmtId="0" fontId="20" fillId="0" borderId="55" xfId="0" applyFont="1" applyBorder="1"/>
    <xf numFmtId="0" fontId="20" fillId="0" borderId="49" xfId="0" applyFont="1" applyBorder="1"/>
    <xf numFmtId="0" fontId="20" fillId="0" borderId="51" xfId="0" applyFont="1" applyBorder="1" applyAlignment="1">
      <alignment horizontal="center"/>
    </xf>
    <xf numFmtId="0" fontId="20" fillId="0" borderId="50" xfId="0" applyFont="1" applyBorder="1" applyAlignment="1">
      <alignment horizontal="center"/>
    </xf>
    <xf numFmtId="0" fontId="20" fillId="0" borderId="53" xfId="0" applyFont="1" applyBorder="1" applyAlignment="1">
      <alignment horizontal="center"/>
    </xf>
    <xf numFmtId="0" fontId="20" fillId="0" borderId="35" xfId="0" applyFont="1" applyBorder="1"/>
    <xf numFmtId="0" fontId="20" fillId="0" borderId="8" xfId="0" applyFont="1" applyBorder="1"/>
    <xf numFmtId="166" fontId="20" fillId="0" borderId="23" xfId="0" applyNumberFormat="1"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20" fillId="0" borderId="26" xfId="0" applyFont="1" applyBorder="1" applyAlignment="1">
      <alignment horizontal="center"/>
    </xf>
    <xf numFmtId="0" fontId="20" fillId="0" borderId="30" xfId="0" applyFont="1" applyBorder="1" applyAlignment="1">
      <alignment horizontal="center"/>
    </xf>
    <xf numFmtId="0" fontId="20" fillId="0" borderId="54" xfId="0" applyFont="1" applyBorder="1" applyAlignment="1">
      <alignment horizontal="center"/>
    </xf>
    <xf numFmtId="0" fontId="20" fillId="0" borderId="57" xfId="0" applyFont="1" applyBorder="1"/>
    <xf numFmtId="0" fontId="20" fillId="0" borderId="60" xfId="0" applyFont="1" applyBorder="1"/>
    <xf numFmtId="0" fontId="20" fillId="0" borderId="45" xfId="0" applyFont="1" applyBorder="1"/>
    <xf numFmtId="166" fontId="20" fillId="0" borderId="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right" vertical="center"/>
    </xf>
    <xf numFmtId="0" fontId="16" fillId="0" borderId="0" xfId="0" applyFont="1" applyAlignment="1">
      <alignment horizontal="center" vertical="center"/>
    </xf>
    <xf numFmtId="0" fontId="20" fillId="0" borderId="12" xfId="0" applyFont="1" applyBorder="1" applyAlignment="1">
      <alignment horizontal="center"/>
    </xf>
    <xf numFmtId="0" fontId="20" fillId="2" borderId="10" xfId="0" applyFont="1" applyFill="1" applyBorder="1" applyAlignment="1">
      <alignment horizontal="center" vertical="center"/>
    </xf>
    <xf numFmtId="0" fontId="20" fillId="0" borderId="10" xfId="0" applyFont="1" applyBorder="1" applyAlignment="1">
      <alignment horizontal="center" vertical="center"/>
    </xf>
    <xf numFmtId="166" fontId="20" fillId="0" borderId="10" xfId="0" applyNumberFormat="1" applyFont="1" applyBorder="1" applyAlignment="1">
      <alignment horizontal="center" vertical="center"/>
    </xf>
    <xf numFmtId="2" fontId="20" fillId="0" borderId="10" xfId="0" applyNumberFormat="1" applyFont="1" applyBorder="1" applyAlignment="1">
      <alignment horizontal="center" vertical="center"/>
    </xf>
    <xf numFmtId="0" fontId="20" fillId="2" borderId="41" xfId="0" applyFont="1" applyFill="1" applyBorder="1" applyAlignment="1">
      <alignment horizontal="center"/>
    </xf>
    <xf numFmtId="0" fontId="20" fillId="2" borderId="42" xfId="0" applyFont="1" applyFill="1" applyBorder="1" applyAlignment="1">
      <alignment horizontal="center"/>
    </xf>
    <xf numFmtId="0" fontId="20" fillId="0" borderId="40" xfId="0" applyFont="1" applyBorder="1" applyAlignment="1">
      <alignment horizontal="center"/>
    </xf>
    <xf numFmtId="2" fontId="17" fillId="0" borderId="36" xfId="0" applyNumberFormat="1" applyFont="1" applyBorder="1" applyAlignment="1">
      <alignment horizontal="center"/>
    </xf>
    <xf numFmtId="165" fontId="20" fillId="0" borderId="10" xfId="0" applyNumberFormat="1" applyFont="1" applyBorder="1" applyAlignment="1">
      <alignment horizontal="center"/>
    </xf>
    <xf numFmtId="0" fontId="20" fillId="0" borderId="27" xfId="0" applyFont="1" applyBorder="1" applyAlignment="1">
      <alignment horizontal="center"/>
    </xf>
    <xf numFmtId="0" fontId="20" fillId="0" borderId="31" xfId="0" applyFont="1" applyBorder="1"/>
    <xf numFmtId="0" fontId="20" fillId="0" borderId="32" xfId="0" applyFont="1" applyBorder="1"/>
    <xf numFmtId="166" fontId="20" fillId="0" borderId="26" xfId="0" applyNumberFormat="1" applyFont="1" applyBorder="1" applyAlignment="1">
      <alignment horizontal="center"/>
    </xf>
    <xf numFmtId="0" fontId="20" fillId="0" borderId="34" xfId="0" applyFont="1" applyBorder="1" applyAlignment="1">
      <alignment horizontal="center"/>
    </xf>
    <xf numFmtId="2" fontId="0" fillId="0" borderId="10" xfId="0" applyNumberFormat="1" applyBorder="1" applyAlignment="1">
      <alignment horizontal="center" vertical="center"/>
    </xf>
    <xf numFmtId="164" fontId="16" fillId="0" borderId="0" xfId="0" applyNumberFormat="1" applyFont="1" applyAlignment="1">
      <alignment horizontal="center"/>
    </xf>
    <xf numFmtId="0" fontId="1" fillId="0" borderId="0" xfId="0" applyFont="1" applyAlignment="1"/>
    <xf numFmtId="0" fontId="20" fillId="0" borderId="0" xfId="0" applyFont="1" applyAlignment="1">
      <alignment horizontal="center"/>
    </xf>
    <xf numFmtId="0" fontId="20" fillId="0" borderId="10" xfId="0" applyFont="1" applyFill="1" applyBorder="1" applyAlignment="1">
      <alignment horizontal="center" vertical="center"/>
    </xf>
    <xf numFmtId="0" fontId="0" fillId="0" borderId="10" xfId="0" applyBorder="1" applyAlignment="1">
      <alignment horizontal="center"/>
    </xf>
    <xf numFmtId="164" fontId="1" fillId="0" borderId="52" xfId="0" applyNumberFormat="1"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3" fillId="0" borderId="62" xfId="0" applyFont="1" applyBorder="1" applyAlignment="1">
      <alignment horizontal="center" vertical="center"/>
    </xf>
    <xf numFmtId="0" fontId="23" fillId="0" borderId="0" xfId="0" applyFont="1" applyBorder="1" applyAlignment="1">
      <alignment horizontal="center"/>
    </xf>
    <xf numFmtId="0" fontId="16" fillId="0" borderId="52" xfId="0" applyFont="1" applyBorder="1" applyAlignment="1">
      <alignment horizontal="center" vertical="center"/>
    </xf>
    <xf numFmtId="0" fontId="20" fillId="0" borderId="10" xfId="0" quotePrefix="1" applyFont="1" applyBorder="1" applyAlignment="1">
      <alignment horizontal="center" vertical="center"/>
    </xf>
    <xf numFmtId="1" fontId="0" fillId="0" borderId="10" xfId="0" applyNumberFormat="1" applyBorder="1" applyAlignment="1">
      <alignment horizontal="center" vertical="center"/>
    </xf>
    <xf numFmtId="0" fontId="5" fillId="0" borderId="0" xfId="0" applyFont="1" applyBorder="1" applyAlignment="1">
      <alignment horizontal="center"/>
    </xf>
    <xf numFmtId="0" fontId="20" fillId="2" borderId="25" xfId="0" applyFont="1" applyFill="1" applyBorder="1" applyAlignment="1">
      <alignment horizontal="center"/>
    </xf>
    <xf numFmtId="0" fontId="5" fillId="2" borderId="25" xfId="0" applyFont="1" applyFill="1" applyBorder="1" applyAlignment="1">
      <alignment horizontal="center"/>
    </xf>
    <xf numFmtId="0" fontId="5" fillId="0" borderId="63" xfId="0" applyFont="1" applyBorder="1"/>
    <xf numFmtId="0" fontId="5" fillId="0" borderId="63" xfId="0" applyFont="1" applyBorder="1" applyAlignment="1">
      <alignment horizontal="center"/>
    </xf>
    <xf numFmtId="0" fontId="20" fillId="2" borderId="61" xfId="0" applyFont="1" applyFill="1" applyBorder="1" applyAlignment="1">
      <alignment horizontal="center"/>
    </xf>
    <xf numFmtId="0" fontId="5" fillId="0" borderId="64" xfId="0" applyFont="1" applyBorder="1"/>
    <xf numFmtId="0" fontId="5" fillId="0" borderId="65" xfId="0" applyFont="1" applyBorder="1" applyAlignment="1">
      <alignment horizontal="center"/>
    </xf>
    <xf numFmtId="166" fontId="5" fillId="0" borderId="8" xfId="0" applyNumberFormat="1" applyFont="1" applyBorder="1" applyAlignment="1">
      <alignment horizontal="center"/>
    </xf>
    <xf numFmtId="0" fontId="5" fillId="0" borderId="39" xfId="0" applyFont="1" applyBorder="1" applyAlignment="1">
      <alignment horizontal="center"/>
    </xf>
    <xf numFmtId="0" fontId="20" fillId="0" borderId="10" xfId="0" applyFont="1" applyBorder="1" applyAlignment="1">
      <alignment horizontal="right" vertical="center"/>
    </xf>
    <xf numFmtId="0" fontId="16" fillId="0" borderId="10" xfId="0" applyFont="1" applyBorder="1" applyAlignment="1">
      <alignment horizontal="center" vertical="center"/>
    </xf>
    <xf numFmtId="0" fontId="5" fillId="0" borderId="10" xfId="0" applyFont="1" applyBorder="1"/>
    <xf numFmtId="0" fontId="16" fillId="0" borderId="10" xfId="0" applyFont="1" applyBorder="1" applyAlignment="1">
      <alignment horizontal="center"/>
    </xf>
    <xf numFmtId="0" fontId="20" fillId="0" borderId="38" xfId="0" applyFont="1" applyBorder="1"/>
    <xf numFmtId="0" fontId="20" fillId="0" borderId="50" xfId="0" applyFont="1" applyBorder="1"/>
    <xf numFmtId="0" fontId="20" fillId="0" borderId="66" xfId="0" applyFont="1" applyBorder="1" applyAlignment="1">
      <alignment horizontal="center"/>
    </xf>
    <xf numFmtId="166" fontId="20" fillId="0" borderId="66" xfId="0" applyNumberFormat="1" applyFont="1" applyBorder="1" applyAlignment="1">
      <alignment horizontal="center"/>
    </xf>
    <xf numFmtId="2" fontId="20" fillId="0" borderId="67" xfId="0" applyNumberFormat="1" applyFont="1" applyBorder="1" applyAlignment="1">
      <alignment horizontal="center"/>
    </xf>
    <xf numFmtId="0" fontId="20" fillId="0" borderId="67" xfId="0" applyFont="1" applyBorder="1" applyAlignment="1"/>
    <xf numFmtId="166" fontId="20" fillId="0" borderId="66" xfId="0" applyNumberFormat="1" applyFont="1" applyBorder="1" applyAlignment="1">
      <alignment horizontal="center" vertical="center"/>
    </xf>
    <xf numFmtId="0" fontId="20" fillId="0" borderId="66" xfId="0" applyFont="1" applyBorder="1" applyAlignment="1">
      <alignment horizontal="center" vertical="center"/>
    </xf>
    <xf numFmtId="2" fontId="20" fillId="0" borderId="66" xfId="0" applyNumberFormat="1" applyFont="1" applyBorder="1" applyAlignment="1">
      <alignment horizontal="center" vertical="center"/>
    </xf>
    <xf numFmtId="0" fontId="20" fillId="0" borderId="67" xfId="0" applyFont="1" applyBorder="1" applyAlignment="1">
      <alignment horizontal="center" vertical="center"/>
    </xf>
    <xf numFmtId="0" fontId="20" fillId="0" borderId="38" xfId="0" applyFont="1" applyBorder="1" applyAlignment="1">
      <alignment horizontal="center"/>
    </xf>
    <xf numFmtId="0" fontId="20" fillId="0" borderId="34" xfId="0" applyFont="1" applyBorder="1" applyAlignment="1">
      <alignment horizontal="center" vertical="center" wrapText="1"/>
    </xf>
    <xf numFmtId="2" fontId="20" fillId="0" borderId="34" xfId="0" applyNumberFormat="1" applyFont="1" applyBorder="1" applyAlignment="1">
      <alignment horizontal="center" vertical="center"/>
    </xf>
    <xf numFmtId="166" fontId="20" fillId="0" borderId="34" xfId="0" applyNumberFormat="1" applyFont="1" applyBorder="1" applyAlignment="1">
      <alignment horizontal="center" vertical="center"/>
    </xf>
    <xf numFmtId="0" fontId="3" fillId="0" borderId="31" xfId="0" applyFont="1" applyBorder="1" applyAlignment="1">
      <alignment horizontal="center" vertical="center"/>
    </xf>
    <xf numFmtId="0" fontId="20" fillId="0" borderId="31" xfId="0" applyFont="1" applyFill="1" applyBorder="1" applyAlignment="1">
      <alignment vertical="center"/>
    </xf>
    <xf numFmtId="164" fontId="3" fillId="0" borderId="31" xfId="0" applyNumberFormat="1" applyFont="1" applyBorder="1" applyAlignment="1">
      <alignment horizontal="center" vertical="center"/>
    </xf>
    <xf numFmtId="0" fontId="16" fillId="0" borderId="68" xfId="0" applyFont="1" applyBorder="1" applyAlignment="1">
      <alignment horizontal="center" vertical="center"/>
    </xf>
    <xf numFmtId="0" fontId="20" fillId="0" borderId="28" xfId="0" applyFont="1" applyBorder="1" applyAlignment="1">
      <alignment horizontal="center" vertical="center"/>
    </xf>
    <xf numFmtId="0" fontId="20" fillId="0" borderId="36" xfId="0" applyFont="1" applyBorder="1" applyAlignment="1">
      <alignment horizontal="center" vertical="center"/>
    </xf>
    <xf numFmtId="2" fontId="20" fillId="0" borderId="23" xfId="0" applyNumberFormat="1" applyFont="1" applyBorder="1" applyAlignment="1">
      <alignment horizontal="center"/>
    </xf>
    <xf numFmtId="166" fontId="20" fillId="0" borderId="45" xfId="0" applyNumberFormat="1" applyFont="1" applyBorder="1" applyAlignment="1">
      <alignment horizontal="center"/>
    </xf>
    <xf numFmtId="2" fontId="20" fillId="0" borderId="67" xfId="0" applyNumberFormat="1" applyFont="1" applyBorder="1" applyAlignment="1">
      <alignment horizontal="center" vertical="center"/>
    </xf>
    <xf numFmtId="0" fontId="5" fillId="0" borderId="37" xfId="0" applyFont="1" applyBorder="1" applyAlignment="1">
      <alignment horizontal="center"/>
    </xf>
    <xf numFmtId="0" fontId="7" fillId="0" borderId="30" xfId="0" applyFont="1" applyBorder="1"/>
    <xf numFmtId="0" fontId="1" fillId="0" borderId="9" xfId="0" applyFont="1" applyBorder="1"/>
    <xf numFmtId="0" fontId="20" fillId="2" borderId="34" xfId="0" applyFont="1" applyFill="1" applyBorder="1" applyAlignment="1">
      <alignment horizontal="center" vertical="center"/>
    </xf>
    <xf numFmtId="0" fontId="20" fillId="0" borderId="9" xfId="0" applyFont="1" applyFill="1" applyBorder="1"/>
    <xf numFmtId="0" fontId="20" fillId="0" borderId="34" xfId="0" quotePrefix="1" applyFont="1" applyBorder="1" applyAlignment="1">
      <alignment horizontal="center" vertical="center"/>
    </xf>
    <xf numFmtId="0" fontId="20" fillId="0" borderId="9" xfId="0" applyFont="1" applyBorder="1"/>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0" fontId="0" fillId="0" borderId="33" xfId="0" applyBorder="1"/>
    <xf numFmtId="0" fontId="0" fillId="0" borderId="37" xfId="0" applyBorder="1"/>
    <xf numFmtId="0" fontId="20" fillId="0" borderId="69" xfId="0" applyFont="1" applyFill="1" applyBorder="1"/>
    <xf numFmtId="2" fontId="1" fillId="0" borderId="70" xfId="0" applyNumberFormat="1" applyFont="1" applyBorder="1" applyAlignment="1">
      <alignment horizontal="center"/>
    </xf>
    <xf numFmtId="2" fontId="1" fillId="0" borderId="71" xfId="0" applyNumberFormat="1" applyFont="1" applyBorder="1" applyAlignment="1">
      <alignment horizontal="center"/>
    </xf>
    <xf numFmtId="2" fontId="1" fillId="0" borderId="72" xfId="0" applyNumberFormat="1" applyFont="1" applyBorder="1" applyAlignment="1">
      <alignment horizontal="center"/>
    </xf>
    <xf numFmtId="43" fontId="17" fillId="0" borderId="0" xfId="6" applyFont="1" applyBorder="1" applyAlignment="1">
      <alignment horizontal="center"/>
    </xf>
    <xf numFmtId="43" fontId="17" fillId="0" borderId="37" xfId="6" applyFont="1" applyBorder="1" applyAlignment="1">
      <alignment horizontal="center"/>
    </xf>
    <xf numFmtId="43" fontId="5" fillId="0" borderId="10" xfId="6" applyFont="1" applyBorder="1" applyAlignment="1">
      <alignment horizontal="center"/>
    </xf>
    <xf numFmtId="43" fontId="5" fillId="0" borderId="34" xfId="6" applyFont="1" applyBorder="1" applyAlignment="1">
      <alignment horizontal="center"/>
    </xf>
    <xf numFmtId="43" fontId="5" fillId="0" borderId="63" xfId="6" applyFont="1" applyBorder="1" applyAlignment="1">
      <alignment horizontal="center"/>
    </xf>
    <xf numFmtId="43" fontId="5" fillId="0" borderId="65" xfId="6" applyFont="1" applyBorder="1" applyAlignment="1">
      <alignment horizontal="center"/>
    </xf>
    <xf numFmtId="43" fontId="5" fillId="0" borderId="0" xfId="6" applyFont="1" applyBorder="1" applyAlignment="1">
      <alignment horizontal="center"/>
    </xf>
    <xf numFmtId="43" fontId="5" fillId="0" borderId="37" xfId="6" applyFont="1" applyBorder="1" applyAlignment="1">
      <alignment horizontal="center"/>
    </xf>
    <xf numFmtId="0" fontId="20" fillId="0" borderId="10" xfId="0" applyFont="1" applyBorder="1" applyAlignment="1">
      <alignment horizontal="center" vertical="center"/>
    </xf>
    <xf numFmtId="0" fontId="23" fillId="0" borderId="0" xfId="0" applyFont="1" applyBorder="1" applyAlignment="1">
      <alignment horizontal="center" vertical="center"/>
    </xf>
    <xf numFmtId="0" fontId="1" fillId="0" borderId="0" xfId="0" applyFont="1" applyBorder="1" applyAlignment="1">
      <alignment vertical="center"/>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48" xfId="0" applyFont="1" applyBorder="1" applyAlignment="1">
      <alignment horizontal="center" vertical="center"/>
    </xf>
    <xf numFmtId="0" fontId="5" fillId="0" borderId="0" xfId="0" applyFont="1" applyFill="1" applyBorder="1"/>
    <xf numFmtId="0" fontId="5" fillId="0" borderId="10"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46" xfId="0" applyFont="1" applyFill="1" applyBorder="1" applyAlignment="1">
      <alignment horizontal="center" vertical="center"/>
    </xf>
    <xf numFmtId="0" fontId="5" fillId="3" borderId="46" xfId="0" applyFont="1" applyFill="1" applyBorder="1" applyAlignment="1">
      <alignment horizontal="center" vertical="center"/>
    </xf>
    <xf numFmtId="0" fontId="5" fillId="0" borderId="62" xfId="0" applyFont="1" applyBorder="1" applyAlignment="1">
      <alignment horizontal="left" vertical="center"/>
    </xf>
    <xf numFmtId="0" fontId="10" fillId="0" borderId="0" xfId="0" applyFont="1" applyAlignment="1">
      <alignment horizontal="center"/>
    </xf>
    <xf numFmtId="0" fontId="5" fillId="0" borderId="0" xfId="0" applyFont="1" applyAlignment="1">
      <alignment horizontal="right" vertical="center"/>
    </xf>
    <xf numFmtId="0" fontId="5" fillId="0" borderId="9" xfId="0" applyFont="1" applyBorder="1"/>
    <xf numFmtId="0" fontId="0" fillId="0" borderId="0" xfId="0" applyFont="1" applyBorder="1" applyAlignment="1">
      <alignment vertical="center"/>
    </xf>
    <xf numFmtId="0" fontId="0" fillId="0" borderId="10" xfId="0" applyFont="1" applyBorder="1" applyAlignment="1">
      <alignment vertical="center"/>
    </xf>
    <xf numFmtId="0" fontId="0" fillId="2" borderId="46" xfId="0" applyFont="1" applyFill="1" applyBorder="1" applyAlignment="1">
      <alignment horizontal="left"/>
    </xf>
    <xf numFmtId="0" fontId="0" fillId="2" borderId="10" xfId="0" applyFont="1" applyFill="1" applyBorder="1" applyAlignment="1">
      <alignment horizontal="center" vertical="center"/>
    </xf>
    <xf numFmtId="2" fontId="20" fillId="0" borderId="52" xfId="0" quotePrefix="1" applyNumberFormat="1" applyFont="1" applyBorder="1" applyAlignment="1">
      <alignment horizontal="center" vertical="center"/>
    </xf>
    <xf numFmtId="2" fontId="0" fillId="0" borderId="52" xfId="0" applyNumberFormat="1" applyBorder="1" applyAlignment="1">
      <alignment horizontal="center" vertical="center"/>
    </xf>
    <xf numFmtId="2" fontId="1" fillId="0" borderId="76" xfId="0" applyNumberFormat="1" applyFont="1" applyBorder="1" applyAlignment="1">
      <alignment horizontal="center"/>
    </xf>
    <xf numFmtId="0" fontId="0" fillId="2" borderId="52" xfId="0" applyFont="1" applyFill="1" applyBorder="1" applyAlignment="1">
      <alignment horizontal="left" vertical="center"/>
    </xf>
    <xf numFmtId="2" fontId="0" fillId="0" borderId="10" xfId="0" quotePrefix="1" applyNumberFormat="1" applyFont="1" applyBorder="1" applyAlignment="1">
      <alignment horizontal="center" vertical="center"/>
    </xf>
    <xf numFmtId="0" fontId="0" fillId="0" borderId="52" xfId="0" quotePrefix="1" applyFont="1" applyBorder="1" applyAlignment="1">
      <alignment horizontal="center" vertical="center"/>
    </xf>
    <xf numFmtId="0" fontId="0" fillId="0" borderId="10" xfId="0" quotePrefix="1" applyFont="1" applyBorder="1" applyAlignment="1">
      <alignment horizontal="center" vertical="center"/>
    </xf>
    <xf numFmtId="0" fontId="27" fillId="0" borderId="62" xfId="0" applyFont="1" applyBorder="1" applyAlignment="1">
      <alignment horizontal="center" wrapText="1"/>
    </xf>
    <xf numFmtId="0" fontId="3" fillId="0" borderId="10" xfId="0" applyFont="1" applyBorder="1" applyAlignment="1">
      <alignment horizontal="center"/>
    </xf>
    <xf numFmtId="166" fontId="3" fillId="0" borderId="10" xfId="0" applyNumberFormat="1" applyFont="1" applyFill="1" applyBorder="1"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8"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top"/>
    </xf>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1" fillId="0" borderId="5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20" fillId="0" borderId="42" xfId="0" applyFont="1" applyBorder="1" applyAlignment="1">
      <alignment horizontal="center"/>
    </xf>
    <xf numFmtId="0" fontId="0" fillId="0" borderId="42" xfId="0" applyBorder="1" applyAlignment="1">
      <alignment horizontal="center"/>
    </xf>
    <xf numFmtId="0" fontId="0" fillId="0" borderId="75" xfId="0" applyBorder="1" applyAlignment="1">
      <alignment horizontal="center"/>
    </xf>
    <xf numFmtId="0" fontId="0" fillId="0" borderId="40" xfId="0" applyBorder="1" applyAlignment="1">
      <alignment horizontal="center"/>
    </xf>
    <xf numFmtId="14" fontId="26" fillId="0" borderId="0" xfId="0" applyNumberFormat="1" applyFont="1" applyAlignment="1">
      <alignment horizontal="center" vertical="top" wrapText="1"/>
    </xf>
    <xf numFmtId="0" fontId="5" fillId="0" borderId="0" xfId="0" applyFont="1" applyBorder="1" applyAlignment="1">
      <alignment horizontal="left" wrapText="1"/>
    </xf>
    <xf numFmtId="0" fontId="10" fillId="0" borderId="0" xfId="0" applyFont="1" applyAlignment="1">
      <alignment horizontal="center"/>
    </xf>
    <xf numFmtId="0" fontId="5" fillId="0" borderId="0" xfId="0" applyFont="1" applyAlignment="1">
      <alignment horizontal="right"/>
    </xf>
    <xf numFmtId="0" fontId="20" fillId="0" borderId="0" xfId="0" applyFont="1" applyAlignment="1">
      <alignment horizontal="right"/>
    </xf>
    <xf numFmtId="0" fontId="12" fillId="0" borderId="0" xfId="0" applyFont="1" applyBorder="1" applyAlignment="1">
      <alignment horizontal="left" wrapText="1"/>
    </xf>
    <xf numFmtId="0" fontId="5" fillId="0" borderId="9" xfId="0" applyFont="1" applyBorder="1" applyAlignment="1">
      <alignment horizontal="left"/>
    </xf>
    <xf numFmtId="0" fontId="20" fillId="0" borderId="10" xfId="0" applyFont="1" applyBorder="1" applyAlignment="1">
      <alignment horizontal="left"/>
    </xf>
    <xf numFmtId="0" fontId="20" fillId="0" borderId="10" xfId="0" applyFont="1" applyBorder="1" applyAlignment="1">
      <alignment horizontal="right" vertical="center"/>
    </xf>
    <xf numFmtId="0" fontId="20" fillId="0" borderId="9" xfId="0" applyFont="1" applyBorder="1" applyAlignment="1">
      <alignment horizontal="right"/>
    </xf>
    <xf numFmtId="0" fontId="20" fillId="0" borderId="10" xfId="0" applyFont="1" applyBorder="1" applyAlignment="1">
      <alignment horizontal="right"/>
    </xf>
    <xf numFmtId="0" fontId="1" fillId="0" borderId="23" xfId="0" applyFont="1" applyBorder="1" applyAlignment="1">
      <alignment horizont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66" xfId="0" applyFont="1" applyBorder="1" applyAlignment="1">
      <alignment horizontal="center" vertical="center"/>
    </xf>
    <xf numFmtId="168" fontId="16" fillId="0" borderId="10" xfId="0" applyNumberFormat="1" applyFont="1" applyBorder="1" applyAlignment="1">
      <alignment horizontal="center"/>
    </xf>
    <xf numFmtId="0" fontId="1" fillId="0" borderId="42" xfId="0" applyFont="1" applyBorder="1" applyAlignment="1">
      <alignment horizontal="center"/>
    </xf>
    <xf numFmtId="0" fontId="1" fillId="0" borderId="40" xfId="0" applyFont="1" applyBorder="1" applyAlignment="1">
      <alignment horizontal="center"/>
    </xf>
    <xf numFmtId="0" fontId="20" fillId="0" borderId="10" xfId="0" applyFont="1" applyFill="1" applyBorder="1" applyAlignment="1">
      <alignment horizontal="center" vertical="center"/>
    </xf>
    <xf numFmtId="0" fontId="20" fillId="0" borderId="59" xfId="0" applyFont="1" applyBorder="1" applyAlignment="1">
      <alignment horizontal="center"/>
    </xf>
    <xf numFmtId="0" fontId="0" fillId="0" borderId="59" xfId="0" applyBorder="1" applyAlignment="1">
      <alignment horizontal="center"/>
    </xf>
    <xf numFmtId="168" fontId="16" fillId="0" borderId="28" xfId="0" applyNumberFormat="1" applyFont="1" applyBorder="1" applyAlignment="1">
      <alignment horizontal="center"/>
    </xf>
    <xf numFmtId="0" fontId="1" fillId="0" borderId="9" xfId="0" applyFont="1" applyBorder="1" applyAlignment="1">
      <alignment horizontal="center" vertical="center"/>
    </xf>
    <xf numFmtId="0" fontId="20" fillId="0" borderId="43" xfId="0" applyFont="1" applyBorder="1" applyAlignment="1">
      <alignment horizontal="center" vertical="center"/>
    </xf>
    <xf numFmtId="0" fontId="20" fillId="0" borderId="28"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Fill="1" applyBorder="1" applyAlignment="1">
      <alignment horizontal="center" vertical="center"/>
    </xf>
    <xf numFmtId="0" fontId="1" fillId="0" borderId="30" xfId="0" applyFont="1" applyBorder="1" applyAlignment="1">
      <alignment horizontal="left"/>
    </xf>
    <xf numFmtId="0" fontId="1" fillId="0" borderId="31" xfId="0" applyFont="1" applyBorder="1" applyAlignment="1">
      <alignment horizontal="left"/>
    </xf>
    <xf numFmtId="0" fontId="20" fillId="0" borderId="0" xfId="0" applyFont="1" applyAlignment="1">
      <alignment horizontal="right" vertical="top"/>
    </xf>
  </cellXfs>
  <cellStyles count="15">
    <cellStyle name="Comma" xfId="6" builtinId="3"/>
    <cellStyle name="Followed Hyperlink" xfId="2" builtinId="9" hidden="1"/>
    <cellStyle name="Followed Hyperlink" xfId="4"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40"/>
  <sheetViews>
    <sheetView workbookViewId="0">
      <selection activeCell="A3" sqref="A3:L3"/>
    </sheetView>
  </sheetViews>
  <sheetFormatPr defaultColWidth="8.7109375" defaultRowHeight="12.75" x14ac:dyDescent="0.2"/>
  <cols>
    <col min="1" max="1" width="8.7109375" customWidth="1"/>
    <col min="2" max="2" width="12" customWidth="1"/>
    <col min="3" max="3" width="33.42578125" customWidth="1"/>
    <col min="4" max="4" width="12.140625" bestFit="1" customWidth="1"/>
    <col min="5" max="5" width="12.140625" customWidth="1"/>
    <col min="6" max="6" width="13.42578125" customWidth="1"/>
    <col min="7" max="7" width="12.42578125" customWidth="1"/>
    <col min="8" max="9" width="13" customWidth="1"/>
    <col min="10" max="10" width="12.42578125" customWidth="1"/>
    <col min="11" max="11" width="20.42578125" customWidth="1"/>
    <col min="12" max="12" width="1" customWidth="1"/>
    <col min="13" max="13" width="10.140625" bestFit="1" customWidth="1"/>
  </cols>
  <sheetData>
    <row r="1" spans="1:13" ht="20.25" x14ac:dyDescent="0.3">
      <c r="A1" s="278" t="s">
        <v>179</v>
      </c>
      <c r="B1" s="278"/>
      <c r="C1" s="278"/>
      <c r="D1" s="278"/>
      <c r="E1" s="278"/>
      <c r="F1" s="278"/>
      <c r="G1" s="278"/>
      <c r="H1" s="278"/>
      <c r="I1" s="278"/>
      <c r="J1" s="278"/>
      <c r="K1" s="278"/>
      <c r="L1" s="278"/>
    </row>
    <row r="2" spans="1:13" x14ac:dyDescent="0.2">
      <c r="A2" s="279">
        <v>42552</v>
      </c>
      <c r="B2" s="279"/>
      <c r="C2" s="279"/>
      <c r="D2" s="279"/>
      <c r="E2" s="279"/>
      <c r="F2" s="279"/>
      <c r="G2" s="279"/>
      <c r="H2" s="279"/>
      <c r="I2" s="279"/>
      <c r="J2" s="279"/>
      <c r="K2" s="279"/>
      <c r="L2" s="279"/>
    </row>
    <row r="3" spans="1:13" ht="37.5" customHeight="1" x14ac:dyDescent="0.2">
      <c r="A3" s="280" t="s">
        <v>185</v>
      </c>
      <c r="B3" s="281"/>
      <c r="C3" s="281"/>
      <c r="D3" s="281"/>
      <c r="E3" s="281"/>
      <c r="F3" s="281"/>
      <c r="G3" s="281"/>
      <c r="H3" s="281"/>
      <c r="I3" s="281"/>
      <c r="J3" s="281"/>
      <c r="K3" s="281"/>
      <c r="L3" s="281"/>
    </row>
    <row r="5" spans="1:13" ht="89.25" customHeight="1" x14ac:dyDescent="0.2">
      <c r="A5" s="284" t="s">
        <v>196</v>
      </c>
      <c r="B5" s="285"/>
      <c r="C5" s="285"/>
      <c r="D5" s="285"/>
      <c r="E5" s="285"/>
      <c r="F5" s="285"/>
      <c r="G5" s="285"/>
      <c r="H5" s="285"/>
      <c r="I5" s="285"/>
      <c r="J5" s="285"/>
      <c r="K5" s="285"/>
      <c r="L5" s="285"/>
    </row>
    <row r="6" spans="1:13" s="104" customFormat="1" ht="30" customHeight="1" x14ac:dyDescent="0.2">
      <c r="B6" s="259" t="s">
        <v>182</v>
      </c>
      <c r="C6" s="282" t="s">
        <v>43</v>
      </c>
      <c r="D6" s="282"/>
      <c r="E6" s="282"/>
      <c r="F6" s="282"/>
      <c r="G6" s="282"/>
      <c r="H6" s="282"/>
      <c r="I6" s="282"/>
      <c r="J6" s="282"/>
      <c r="K6" s="282"/>
      <c r="L6" s="282"/>
    </row>
    <row r="7" spans="1:13" s="104" customFormat="1" ht="15" customHeight="1" x14ac:dyDescent="0.2">
      <c r="C7" s="283" t="s">
        <v>155</v>
      </c>
      <c r="D7" s="283"/>
      <c r="E7" s="283"/>
      <c r="F7" s="283"/>
      <c r="G7" s="283"/>
      <c r="H7" s="283"/>
      <c r="I7" s="283"/>
      <c r="J7" s="283"/>
      <c r="K7" s="283"/>
      <c r="L7" s="283"/>
    </row>
    <row r="8" spans="1:13" s="104" customFormat="1" ht="15" customHeight="1" x14ac:dyDescent="0.2">
      <c r="C8" s="283" t="s">
        <v>61</v>
      </c>
      <c r="D8" s="283"/>
      <c r="E8" s="283"/>
      <c r="F8" s="283"/>
      <c r="G8" s="283"/>
      <c r="H8" s="283"/>
      <c r="I8" s="283"/>
      <c r="J8" s="283"/>
      <c r="K8" s="283"/>
      <c r="L8" s="283"/>
    </row>
    <row r="9" spans="1:13" s="104" customFormat="1" ht="15" customHeight="1" x14ac:dyDescent="0.2">
      <c r="C9" s="286" t="s">
        <v>62</v>
      </c>
      <c r="D9" s="286"/>
      <c r="E9" s="286"/>
      <c r="F9" s="286"/>
      <c r="G9" s="286"/>
      <c r="H9" s="286"/>
      <c r="I9" s="286"/>
      <c r="J9" s="286"/>
      <c r="K9" s="286"/>
      <c r="L9" s="286"/>
    </row>
    <row r="10" spans="1:13" s="104" customFormat="1" ht="15" customHeight="1" x14ac:dyDescent="0.2">
      <c r="C10" s="286" t="s">
        <v>156</v>
      </c>
      <c r="D10" s="287"/>
      <c r="E10" s="287"/>
      <c r="F10" s="287"/>
      <c r="G10" s="287"/>
      <c r="H10" s="287"/>
      <c r="I10" s="287"/>
      <c r="J10" s="287"/>
      <c r="K10" s="287"/>
      <c r="L10" s="287"/>
    </row>
    <row r="11" spans="1:13" ht="25.35" customHeight="1" x14ac:dyDescent="0.2">
      <c r="C11" s="286" t="s">
        <v>82</v>
      </c>
      <c r="D11" s="287"/>
      <c r="E11" s="287"/>
      <c r="F11" s="287"/>
      <c r="G11" s="287"/>
      <c r="H11" s="287"/>
      <c r="I11" s="287"/>
      <c r="J11" s="287"/>
      <c r="K11" s="287"/>
      <c r="L11" s="287"/>
    </row>
    <row r="12" spans="1:13" x14ac:dyDescent="0.2">
      <c r="C12" s="56"/>
      <c r="D12" s="8"/>
      <c r="E12" s="8"/>
      <c r="F12" s="8"/>
      <c r="G12" s="289" t="s">
        <v>177</v>
      </c>
      <c r="H12" s="290"/>
      <c r="I12" s="291"/>
      <c r="J12" s="248"/>
      <c r="K12" s="248"/>
      <c r="L12" s="8"/>
      <c r="M12" s="8"/>
    </row>
    <row r="13" spans="1:13" x14ac:dyDescent="0.2">
      <c r="B13" s="288" t="s">
        <v>3</v>
      </c>
      <c r="C13" s="288"/>
      <c r="D13" s="117"/>
      <c r="E13" s="117"/>
      <c r="F13" s="117"/>
      <c r="G13" s="246" t="s">
        <v>84</v>
      </c>
      <c r="H13" s="246" t="s">
        <v>85</v>
      </c>
      <c r="I13" s="246" t="s">
        <v>86</v>
      </c>
      <c r="J13" s="99"/>
      <c r="K13" s="154"/>
    </row>
    <row r="14" spans="1:13" x14ac:dyDescent="0.2">
      <c r="B14" s="104"/>
      <c r="C14" s="105" t="s">
        <v>133</v>
      </c>
      <c r="D14" s="106">
        <v>20</v>
      </c>
      <c r="E14" s="107" t="s">
        <v>99</v>
      </c>
      <c r="F14" s="108" t="s">
        <v>23</v>
      </c>
      <c r="G14" s="120" t="s">
        <v>47</v>
      </c>
      <c r="H14" s="121" t="s">
        <v>2</v>
      </c>
      <c r="I14" s="249" t="s">
        <v>47</v>
      </c>
      <c r="J14" s="247"/>
      <c r="K14" s="182"/>
    </row>
    <row r="15" spans="1:13" x14ac:dyDescent="0.2">
      <c r="B15" s="104"/>
      <c r="C15" s="105" t="s">
        <v>134</v>
      </c>
      <c r="D15" s="106">
        <v>20</v>
      </c>
      <c r="E15" s="107" t="s">
        <v>99</v>
      </c>
      <c r="F15" s="108" t="s">
        <v>23</v>
      </c>
      <c r="G15" s="121" t="s">
        <v>47</v>
      </c>
      <c r="H15" s="121" t="s">
        <v>2</v>
      </c>
      <c r="I15" s="250" t="s">
        <v>47</v>
      </c>
      <c r="J15" s="247"/>
      <c r="K15" s="182"/>
    </row>
    <row r="16" spans="1:13" x14ac:dyDescent="0.2">
      <c r="B16" s="104"/>
      <c r="C16" s="105" t="s">
        <v>50</v>
      </c>
      <c r="D16" s="106">
        <v>20</v>
      </c>
      <c r="E16" s="261" t="s">
        <v>190</v>
      </c>
      <c r="F16" s="108" t="s">
        <v>23</v>
      </c>
      <c r="G16" s="254"/>
      <c r="H16" s="121" t="s">
        <v>2</v>
      </c>
      <c r="I16" s="250" t="s">
        <v>47</v>
      </c>
      <c r="J16" s="247"/>
      <c r="K16" s="182"/>
    </row>
    <row r="17" spans="2:13" x14ac:dyDescent="0.2">
      <c r="B17" s="104"/>
      <c r="C17" s="105" t="s">
        <v>55</v>
      </c>
      <c r="D17" s="106">
        <v>30</v>
      </c>
      <c r="E17" s="109" t="s">
        <v>33</v>
      </c>
      <c r="F17" s="108" t="s">
        <v>23</v>
      </c>
      <c r="G17" s="254"/>
      <c r="H17" s="121" t="s">
        <v>2</v>
      </c>
      <c r="I17" s="250" t="s">
        <v>47</v>
      </c>
      <c r="J17" s="247"/>
      <c r="K17" s="182"/>
    </row>
    <row r="18" spans="2:13" x14ac:dyDescent="0.2">
      <c r="B18" s="104"/>
      <c r="C18" s="105" t="s">
        <v>57</v>
      </c>
      <c r="D18" s="106">
        <v>20</v>
      </c>
      <c r="E18" s="116" t="s">
        <v>190</v>
      </c>
      <c r="F18" s="108" t="s">
        <v>23</v>
      </c>
      <c r="G18" s="255"/>
      <c r="H18" s="256"/>
      <c r="I18" s="251" t="s">
        <v>2</v>
      </c>
      <c r="J18" s="247"/>
      <c r="K18" s="182"/>
    </row>
    <row r="19" spans="2:13" x14ac:dyDescent="0.2">
      <c r="B19" s="104"/>
      <c r="C19" s="105" t="s">
        <v>56</v>
      </c>
      <c r="D19" s="106">
        <v>15</v>
      </c>
      <c r="E19" s="107" t="s">
        <v>100</v>
      </c>
      <c r="F19" s="108" t="s">
        <v>23</v>
      </c>
      <c r="G19" s="257" t="s">
        <v>189</v>
      </c>
      <c r="H19" s="181"/>
      <c r="I19" s="181"/>
      <c r="J19" s="247"/>
      <c r="K19" s="182"/>
      <c r="L19" s="6"/>
    </row>
    <row r="20" spans="2:13" x14ac:dyDescent="0.2">
      <c r="B20" s="104"/>
      <c r="C20" s="105" t="s">
        <v>178</v>
      </c>
      <c r="D20" s="106"/>
      <c r="E20" s="109" t="s">
        <v>33</v>
      </c>
      <c r="F20" s="108" t="s">
        <v>23</v>
      </c>
      <c r="G20" s="109" t="s">
        <v>188</v>
      </c>
      <c r="H20" s="110"/>
      <c r="I20" s="108"/>
      <c r="J20" s="104"/>
      <c r="L20" s="6"/>
    </row>
    <row r="21" spans="2:13" x14ac:dyDescent="0.2">
      <c r="B21" s="104"/>
      <c r="C21" s="105" t="s">
        <v>59</v>
      </c>
      <c r="D21" s="106">
        <v>10</v>
      </c>
      <c r="E21" s="109" t="s">
        <v>33</v>
      </c>
      <c r="F21" s="108" t="s">
        <v>23</v>
      </c>
      <c r="G21" s="99" t="s">
        <v>54</v>
      </c>
      <c r="H21" s="111">
        <v>1.5E-3</v>
      </c>
      <c r="I21" s="109" t="s">
        <v>89</v>
      </c>
      <c r="J21" s="104"/>
    </row>
    <row r="22" spans="2:13" x14ac:dyDescent="0.2">
      <c r="B22" s="104"/>
      <c r="C22" s="105" t="s">
        <v>60</v>
      </c>
      <c r="D22" s="106"/>
      <c r="E22" s="109" t="s">
        <v>33</v>
      </c>
      <c r="F22" s="108" t="s">
        <v>23</v>
      </c>
      <c r="G22" s="99" t="s">
        <v>54</v>
      </c>
      <c r="H22" s="111">
        <v>1.5E-3</v>
      </c>
      <c r="I22" s="109" t="s">
        <v>45</v>
      </c>
      <c r="J22" s="104"/>
    </row>
    <row r="23" spans="2:13" x14ac:dyDescent="0.2">
      <c r="B23" s="104"/>
      <c r="C23" s="105" t="s">
        <v>65</v>
      </c>
      <c r="D23" s="106">
        <v>1000</v>
      </c>
      <c r="E23" s="109" t="s">
        <v>9</v>
      </c>
      <c r="F23" s="108" t="s">
        <v>23</v>
      </c>
      <c r="G23" s="99" t="s">
        <v>54</v>
      </c>
      <c r="H23" s="111">
        <v>1.5E-3</v>
      </c>
      <c r="I23" s="107" t="s">
        <v>53</v>
      </c>
      <c r="J23" s="104"/>
    </row>
    <row r="24" spans="2:13" x14ac:dyDescent="0.2">
      <c r="B24" s="104"/>
      <c r="C24" s="105" t="s">
        <v>66</v>
      </c>
      <c r="D24" s="106"/>
      <c r="E24" s="109" t="s">
        <v>9</v>
      </c>
      <c r="F24" s="108" t="s">
        <v>23</v>
      </c>
      <c r="G24" s="99"/>
      <c r="H24" s="104"/>
      <c r="I24" s="104"/>
      <c r="J24" s="104"/>
    </row>
    <row r="25" spans="2:13" ht="13.35" customHeight="1" x14ac:dyDescent="0.2">
      <c r="B25" s="104"/>
      <c r="C25" s="105"/>
      <c r="D25" s="106"/>
      <c r="E25" s="109"/>
      <c r="F25" s="108"/>
      <c r="G25" s="108"/>
      <c r="H25" s="112"/>
      <c r="I25" s="113"/>
      <c r="J25" s="113"/>
      <c r="K25" s="69"/>
      <c r="L25" s="69"/>
      <c r="M25" s="70"/>
    </row>
    <row r="26" spans="2:13" x14ac:dyDescent="0.2">
      <c r="B26" s="104"/>
      <c r="C26" s="114"/>
      <c r="D26" s="106"/>
      <c r="E26" s="107" t="s">
        <v>51</v>
      </c>
      <c r="F26" s="114"/>
      <c r="G26" s="108"/>
      <c r="H26" s="113"/>
      <c r="I26" s="113"/>
      <c r="J26" s="113"/>
      <c r="K26" s="69"/>
      <c r="L26" s="69"/>
      <c r="M26" s="70"/>
    </row>
    <row r="27" spans="2:13" x14ac:dyDescent="0.2">
      <c r="B27" s="104"/>
      <c r="C27" s="115"/>
      <c r="D27" s="106"/>
      <c r="E27" s="116" t="s">
        <v>52</v>
      </c>
      <c r="F27" s="111"/>
      <c r="G27" s="109"/>
      <c r="H27" s="113"/>
      <c r="I27" s="113"/>
      <c r="J27" s="113"/>
      <c r="K27" s="69"/>
      <c r="L27" s="69"/>
    </row>
    <row r="28" spans="2:13" x14ac:dyDescent="0.2">
      <c r="B28" s="104"/>
      <c r="C28" s="115"/>
      <c r="D28" s="106"/>
      <c r="E28" s="116"/>
      <c r="F28" s="111"/>
      <c r="G28" s="109"/>
      <c r="H28" s="113"/>
      <c r="I28" s="113"/>
      <c r="J28" s="113"/>
      <c r="K28" s="69"/>
      <c r="L28" s="69"/>
    </row>
    <row r="29" spans="2:13" x14ac:dyDescent="0.2">
      <c r="B29" s="275" t="s">
        <v>101</v>
      </c>
      <c r="C29" s="275"/>
      <c r="D29" s="106"/>
      <c r="E29" s="116"/>
      <c r="F29" s="111"/>
      <c r="G29" s="109"/>
      <c r="H29" s="113"/>
      <c r="I29" s="113"/>
      <c r="J29" s="113"/>
      <c r="K29" s="69"/>
      <c r="L29" s="69"/>
    </row>
    <row r="30" spans="2:13" ht="29.1" customHeight="1" x14ac:dyDescent="0.2">
      <c r="B30" s="174"/>
      <c r="C30" s="118" t="s">
        <v>105</v>
      </c>
      <c r="D30" s="276" t="s">
        <v>102</v>
      </c>
      <c r="E30" s="276"/>
      <c r="F30" s="277" t="s">
        <v>103</v>
      </c>
      <c r="G30" s="277"/>
      <c r="H30" s="277" t="s">
        <v>104</v>
      </c>
      <c r="I30" s="277"/>
    </row>
    <row r="31" spans="2:13" x14ac:dyDescent="0.2">
      <c r="C31" s="159" t="s">
        <v>106</v>
      </c>
      <c r="D31" s="273">
        <v>5</v>
      </c>
      <c r="E31" s="273"/>
      <c r="F31" s="274" t="s">
        <v>2</v>
      </c>
      <c r="G31" s="274"/>
      <c r="H31" s="274" t="s">
        <v>47</v>
      </c>
      <c r="I31" s="274"/>
      <c r="J31" s="68" t="str">
        <f>IF(F31="Y",(IF(H31="Y","ERROR","")),"")</f>
        <v/>
      </c>
    </row>
    <row r="32" spans="2:13" x14ac:dyDescent="0.2">
      <c r="C32" s="253" t="s">
        <v>163</v>
      </c>
      <c r="D32" s="273">
        <v>10</v>
      </c>
      <c r="E32" s="273"/>
      <c r="F32" s="274" t="s">
        <v>2</v>
      </c>
      <c r="G32" s="274"/>
      <c r="H32" s="274" t="s">
        <v>47</v>
      </c>
      <c r="I32" s="274"/>
      <c r="J32" s="68" t="str">
        <f t="shared" ref="J32:J39" si="0">IF(F32="Y",(IF(H32="Y","ERROR","")),"")</f>
        <v/>
      </c>
    </row>
    <row r="33" spans="2:10" x14ac:dyDescent="0.2">
      <c r="B33" s="6"/>
      <c r="C33" s="159" t="s">
        <v>108</v>
      </c>
      <c r="D33" s="273">
        <v>15</v>
      </c>
      <c r="E33" s="273"/>
      <c r="F33" s="274" t="s">
        <v>2</v>
      </c>
      <c r="G33" s="274"/>
      <c r="H33" s="274" t="s">
        <v>47</v>
      </c>
      <c r="I33" s="274"/>
      <c r="J33" s="68" t="str">
        <f t="shared" si="0"/>
        <v/>
      </c>
    </row>
    <row r="34" spans="2:10" x14ac:dyDescent="0.2">
      <c r="B34" s="6"/>
      <c r="C34" s="159" t="s">
        <v>109</v>
      </c>
      <c r="D34" s="273">
        <v>20</v>
      </c>
      <c r="E34" s="273"/>
      <c r="F34" s="274" t="s">
        <v>2</v>
      </c>
      <c r="G34" s="274"/>
      <c r="H34" s="274" t="s">
        <v>47</v>
      </c>
      <c r="I34" s="274"/>
      <c r="J34" s="68" t="str">
        <f t="shared" si="0"/>
        <v/>
      </c>
    </row>
    <row r="35" spans="2:10" x14ac:dyDescent="0.2">
      <c r="C35" s="159" t="s">
        <v>110</v>
      </c>
      <c r="D35" s="273">
        <v>25</v>
      </c>
      <c r="E35" s="273"/>
      <c r="F35" s="274" t="s">
        <v>2</v>
      </c>
      <c r="G35" s="274"/>
      <c r="H35" s="274" t="s">
        <v>47</v>
      </c>
      <c r="I35" s="274"/>
      <c r="J35" s="68" t="str">
        <f t="shared" si="0"/>
        <v/>
      </c>
    </row>
    <row r="36" spans="2:10" x14ac:dyDescent="0.2">
      <c r="C36" s="159" t="s">
        <v>111</v>
      </c>
      <c r="D36" s="273">
        <v>10</v>
      </c>
      <c r="E36" s="273"/>
      <c r="F36" s="274" t="s">
        <v>2</v>
      </c>
      <c r="G36" s="274"/>
      <c r="H36" s="274" t="s">
        <v>47</v>
      </c>
      <c r="I36" s="274"/>
      <c r="J36" s="68" t="str">
        <f t="shared" si="0"/>
        <v/>
      </c>
    </row>
    <row r="37" spans="2:10" x14ac:dyDescent="0.2">
      <c r="C37" s="159" t="s">
        <v>112</v>
      </c>
      <c r="D37" s="273">
        <v>5</v>
      </c>
      <c r="E37" s="273"/>
      <c r="F37" s="274" t="s">
        <v>2</v>
      </c>
      <c r="G37" s="274"/>
      <c r="H37" s="274" t="s">
        <v>47</v>
      </c>
      <c r="I37" s="274"/>
      <c r="J37" s="68" t="str">
        <f t="shared" si="0"/>
        <v/>
      </c>
    </row>
    <row r="38" spans="2:10" x14ac:dyDescent="0.2">
      <c r="C38" s="159" t="s">
        <v>113</v>
      </c>
      <c r="D38" s="273">
        <v>5</v>
      </c>
      <c r="E38" s="273"/>
      <c r="F38" s="274" t="s">
        <v>2</v>
      </c>
      <c r="G38" s="274"/>
      <c r="H38" s="274" t="s">
        <v>47</v>
      </c>
      <c r="I38" s="274"/>
      <c r="J38" s="68" t="str">
        <f t="shared" si="0"/>
        <v/>
      </c>
    </row>
    <row r="39" spans="2:10" x14ac:dyDescent="0.2">
      <c r="C39" s="159" t="s">
        <v>114</v>
      </c>
      <c r="D39" s="273">
        <v>5</v>
      </c>
      <c r="E39" s="273"/>
      <c r="F39" s="274" t="s">
        <v>2</v>
      </c>
      <c r="G39" s="274"/>
      <c r="H39" s="274" t="s">
        <v>47</v>
      </c>
      <c r="I39" s="274"/>
      <c r="J39" s="68" t="str">
        <f t="shared" si="0"/>
        <v/>
      </c>
    </row>
    <row r="40" spans="2:10" ht="26.1" customHeight="1" x14ac:dyDescent="0.2">
      <c r="D40" s="272" t="str">
        <f>IF(SUM(D31:E39)&lt;&gt;100,"ERROR - Total of %s should sum to 100.","")</f>
        <v/>
      </c>
      <c r="E40" s="272"/>
    </row>
  </sheetData>
  <mergeCells count="44">
    <mergeCell ref="C9:L9"/>
    <mergeCell ref="C10:L10"/>
    <mergeCell ref="C11:L11"/>
    <mergeCell ref="B13:C13"/>
    <mergeCell ref="G12:I12"/>
    <mergeCell ref="A1:L1"/>
    <mergeCell ref="A2:L2"/>
    <mergeCell ref="A3:L3"/>
    <mergeCell ref="C6:L6"/>
    <mergeCell ref="C8:L8"/>
    <mergeCell ref="C7:L7"/>
    <mergeCell ref="A5:L5"/>
    <mergeCell ref="B29:C29"/>
    <mergeCell ref="D32:E32"/>
    <mergeCell ref="F32:G32"/>
    <mergeCell ref="H32:I32"/>
    <mergeCell ref="D33:E33"/>
    <mergeCell ref="F33:G33"/>
    <mergeCell ref="H33:I33"/>
    <mergeCell ref="D30:E30"/>
    <mergeCell ref="F30:G30"/>
    <mergeCell ref="H30:I30"/>
    <mergeCell ref="D31:E31"/>
    <mergeCell ref="F31:G31"/>
    <mergeCell ref="H31:I31"/>
    <mergeCell ref="D34:E34"/>
    <mergeCell ref="F34:G34"/>
    <mergeCell ref="H34:I34"/>
    <mergeCell ref="D35:E35"/>
    <mergeCell ref="F35:G35"/>
    <mergeCell ref="H35:I35"/>
    <mergeCell ref="D36:E36"/>
    <mergeCell ref="F36:G36"/>
    <mergeCell ref="H36:I36"/>
    <mergeCell ref="D37:E37"/>
    <mergeCell ref="F37:G37"/>
    <mergeCell ref="H37:I37"/>
    <mergeCell ref="D40:E40"/>
    <mergeCell ref="D38:E38"/>
    <mergeCell ref="F38:G38"/>
    <mergeCell ref="H38:I38"/>
    <mergeCell ref="D39:E39"/>
    <mergeCell ref="F39:G39"/>
    <mergeCell ref="H39:I39"/>
  </mergeCells>
  <phoneticPr fontId="2" type="noConversion"/>
  <pageMargins left="0.75" right="0.75" top="1" bottom="1" header="0.5" footer="0.5"/>
  <pageSetup scale="57" orientation="portrait" r:id="rId1"/>
  <headerFooter alignWithMargins="0">
    <oddFooter>Page &amp;P of &amp;N</oddFooter>
  </headerFooter>
  <colBreaks count="1" manualBreakCount="1">
    <brk id="13" max="1048575" man="1"/>
  </colBreaks>
  <customProperties>
    <customPr name="DVSECTION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7"/>
  <sheetViews>
    <sheetView tabSelected="1" workbookViewId="0">
      <selection activeCell="A2" sqref="A2:L2"/>
    </sheetView>
  </sheetViews>
  <sheetFormatPr defaultColWidth="8.7109375" defaultRowHeight="12.75" x14ac:dyDescent="0.2"/>
  <cols>
    <col min="1" max="1" width="18.7109375" customWidth="1"/>
    <col min="2" max="2" width="14.28515625" customWidth="1"/>
    <col min="3" max="3" width="10.28515625" customWidth="1"/>
    <col min="5" max="5" width="10.28515625" customWidth="1"/>
    <col min="12" max="12" width="12.42578125" customWidth="1"/>
  </cols>
  <sheetData>
    <row r="1" spans="1:17" s="63" customFormat="1" ht="20.25" x14ac:dyDescent="0.3">
      <c r="A1" s="278" t="str">
        <f>Inputs!A1</f>
        <v>Potential To Emit Calculator for Sawmill Facilities</v>
      </c>
      <c r="B1" s="278"/>
      <c r="C1" s="278"/>
      <c r="D1" s="278"/>
      <c r="E1" s="278"/>
      <c r="F1" s="278"/>
      <c r="G1" s="278"/>
      <c r="H1" s="278"/>
      <c r="I1" s="278"/>
      <c r="J1" s="278"/>
      <c r="K1" s="278"/>
      <c r="L1" s="278"/>
      <c r="M1" s="62"/>
      <c r="N1" s="10"/>
      <c r="O1" s="10"/>
    </row>
    <row r="2" spans="1:17" s="63" customFormat="1" x14ac:dyDescent="0.2">
      <c r="A2" s="279">
        <v>42552</v>
      </c>
      <c r="B2" s="279"/>
      <c r="C2" s="279"/>
      <c r="D2" s="279"/>
      <c r="E2" s="279"/>
      <c r="F2" s="279"/>
      <c r="G2" s="279"/>
      <c r="H2" s="279"/>
      <c r="I2" s="279"/>
      <c r="J2" s="279"/>
      <c r="K2" s="279"/>
      <c r="L2" s="279"/>
      <c r="M2" s="11"/>
      <c r="N2" s="11"/>
      <c r="O2" s="11"/>
      <c r="P2" s="11"/>
      <c r="Q2" s="11"/>
    </row>
    <row r="3" spans="1:17" ht="13.35" customHeight="1" x14ac:dyDescent="0.25">
      <c r="A3" s="298" t="s">
        <v>184</v>
      </c>
      <c r="B3" s="298"/>
      <c r="C3" s="298"/>
      <c r="D3" s="298"/>
      <c r="E3" s="298"/>
      <c r="F3" s="298"/>
      <c r="G3" s="298"/>
      <c r="H3" s="298"/>
      <c r="I3" s="298"/>
      <c r="J3" s="298"/>
      <c r="K3" s="298"/>
      <c r="L3" s="298"/>
    </row>
    <row r="4" spans="1:17" ht="15.75" x14ac:dyDescent="0.25">
      <c r="B4" s="15"/>
    </row>
    <row r="5" spans="1:17" x14ac:dyDescent="0.2">
      <c r="A5" s="331" t="s">
        <v>63</v>
      </c>
      <c r="B5" s="331"/>
      <c r="C5" s="331"/>
      <c r="D5" s="72">
        <f>Inputs!D23</f>
        <v>1000</v>
      </c>
      <c r="E5" s="3" t="s">
        <v>37</v>
      </c>
      <c r="I5" s="5" t="s">
        <v>1</v>
      </c>
    </row>
    <row r="6" spans="1:17" x14ac:dyDescent="0.2">
      <c r="A6" s="331" t="s">
        <v>64</v>
      </c>
      <c r="B6" s="331"/>
      <c r="C6" s="331"/>
      <c r="D6" s="72">
        <f>Inputs!D24</f>
        <v>0</v>
      </c>
      <c r="E6" s="3" t="s">
        <v>37</v>
      </c>
      <c r="I6" s="2" t="s">
        <v>22</v>
      </c>
    </row>
    <row r="7" spans="1:17" ht="13.5" thickBot="1" x14ac:dyDescent="0.25">
      <c r="A7" s="3"/>
      <c r="C7" s="12"/>
      <c r="D7" s="3"/>
      <c r="I7" s="5"/>
    </row>
    <row r="8" spans="1:17" s="17" customFormat="1" ht="15.75" x14ac:dyDescent="0.2">
      <c r="A8" s="23"/>
      <c r="B8" s="30" t="s">
        <v>32</v>
      </c>
      <c r="C8" s="30"/>
      <c r="D8" s="9"/>
      <c r="E8" s="91" t="s">
        <v>17</v>
      </c>
      <c r="F8" s="92" t="s">
        <v>6</v>
      </c>
      <c r="G8" s="92" t="s">
        <v>5</v>
      </c>
      <c r="H8" s="92" t="s">
        <v>7</v>
      </c>
      <c r="I8" s="92" t="s">
        <v>8</v>
      </c>
      <c r="J8" s="92" t="s">
        <v>18</v>
      </c>
      <c r="K8" s="92" t="s">
        <v>20</v>
      </c>
      <c r="L8" s="98" t="s">
        <v>81</v>
      </c>
      <c r="M8" s="23"/>
      <c r="N8" s="23"/>
      <c r="O8" s="23"/>
    </row>
    <row r="9" spans="1:17" s="17" customFormat="1" ht="15" customHeight="1" thickBot="1" x14ac:dyDescent="0.25">
      <c r="A9" s="23"/>
      <c r="B9" s="9" t="s">
        <v>10</v>
      </c>
      <c r="C9" s="9"/>
      <c r="D9" s="9"/>
      <c r="E9" s="93">
        <f>MAX(E17,E33)+E49</f>
        <v>0.17499999999999999</v>
      </c>
      <c r="F9" s="94">
        <f t="shared" ref="F9:K9" si="0">MAX(F17,F33)+F49</f>
        <v>0.17499999999999999</v>
      </c>
      <c r="G9" s="94">
        <f t="shared" si="0"/>
        <v>0.17499999999999999</v>
      </c>
      <c r="H9" s="94">
        <f t="shared" si="0"/>
        <v>3.03375E-3</v>
      </c>
      <c r="I9" s="94">
        <f t="shared" si="0"/>
        <v>6</v>
      </c>
      <c r="J9" s="94">
        <f t="shared" si="0"/>
        <v>1.375</v>
      </c>
      <c r="K9" s="94">
        <f t="shared" si="0"/>
        <v>0.17624999999999999</v>
      </c>
      <c r="L9" s="95">
        <f>MAX(L17,L33)</f>
        <v>7.4934650000000004E-3</v>
      </c>
      <c r="M9" s="23"/>
      <c r="N9" s="23"/>
      <c r="O9" s="23"/>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41</v>
      </c>
      <c r="B12" s="1" t="s">
        <v>42</v>
      </c>
      <c r="D12" s="55" t="s">
        <v>25</v>
      </c>
      <c r="E12" s="12" t="str">
        <f>IF(D5&gt;600,"No","Yes")</f>
        <v>No</v>
      </c>
      <c r="F12" s="12"/>
      <c r="G12" s="3" t="s">
        <v>10</v>
      </c>
      <c r="H12" s="3" t="s">
        <v>10</v>
      </c>
      <c r="I12" s="53"/>
      <c r="J12" s="54" t="s">
        <v>10</v>
      </c>
    </row>
    <row r="13" spans="1:17" s="17" customFormat="1" ht="12.75" customHeight="1" x14ac:dyDescent="0.2">
      <c r="B13" s="82"/>
      <c r="C13" s="83"/>
      <c r="D13" s="83"/>
      <c r="E13" s="82"/>
      <c r="F13" s="83"/>
      <c r="G13" s="83"/>
      <c r="H13" s="83" t="s">
        <v>19</v>
      </c>
      <c r="I13" s="83"/>
      <c r="J13" s="83"/>
      <c r="K13" s="84"/>
      <c r="L13" s="85"/>
      <c r="M13" s="23"/>
      <c r="N13" s="23"/>
    </row>
    <row r="14" spans="1:17" s="17" customFormat="1" ht="15.75" x14ac:dyDescent="0.2">
      <c r="A14" s="23"/>
      <c r="B14" s="86"/>
      <c r="C14" s="9"/>
      <c r="D14" s="9"/>
      <c r="E14" s="76" t="s">
        <v>38</v>
      </c>
      <c r="F14" s="77" t="s">
        <v>6</v>
      </c>
      <c r="G14" s="77" t="s">
        <v>15</v>
      </c>
      <c r="H14" s="77" t="s">
        <v>7</v>
      </c>
      <c r="I14" s="77" t="s">
        <v>8</v>
      </c>
      <c r="J14" s="77" t="s">
        <v>18</v>
      </c>
      <c r="K14" s="77" t="s">
        <v>13</v>
      </c>
      <c r="L14" s="96" t="s">
        <v>81</v>
      </c>
      <c r="M14" s="23"/>
      <c r="N14" s="23"/>
      <c r="O14" s="23"/>
    </row>
    <row r="15" spans="1:17" s="17" customFormat="1" ht="15" customHeight="1" thickBot="1" x14ac:dyDescent="0.25">
      <c r="A15" s="23"/>
      <c r="B15" s="87" t="s">
        <v>44</v>
      </c>
      <c r="C15" s="45"/>
      <c r="D15" s="45"/>
      <c r="E15" s="58">
        <v>2.2000000000000001E-3</v>
      </c>
      <c r="F15" s="59">
        <v>2.2000000000000001E-3</v>
      </c>
      <c r="G15" s="59">
        <v>2.2000000000000001E-3</v>
      </c>
      <c r="H15" s="57">
        <v>2.0500000000000002E-3</v>
      </c>
      <c r="I15" s="60">
        <v>3.1E-2</v>
      </c>
      <c r="J15" s="57">
        <v>6.6800000000000002E-3</v>
      </c>
      <c r="K15" s="80">
        <v>2.47E-3</v>
      </c>
      <c r="L15" s="97">
        <f>(0.000933+0.000409+0.000285+0.0000391+0.00118+0.000767+0.0000925+0.0000848)*7000/1000000</f>
        <v>2.6532799999999998E-5</v>
      </c>
      <c r="M15" s="23"/>
      <c r="N15" s="23"/>
      <c r="O15" s="23"/>
    </row>
    <row r="16" spans="1:17" s="17" customFormat="1" x14ac:dyDescent="0.2">
      <c r="A16" s="23"/>
      <c r="B16" s="86"/>
      <c r="C16" s="9"/>
      <c r="D16" s="9"/>
      <c r="E16" s="39"/>
      <c r="F16" s="29"/>
      <c r="G16" s="29"/>
      <c r="H16" s="28"/>
      <c r="I16" s="28"/>
      <c r="J16" s="28"/>
      <c r="K16" s="81"/>
      <c r="L16" s="88"/>
      <c r="M16" s="23"/>
      <c r="N16" s="23"/>
      <c r="O16" s="23"/>
    </row>
    <row r="17" spans="1:15" s="16" customFormat="1" x14ac:dyDescent="0.2">
      <c r="A17" s="24"/>
      <c r="B17" s="86" t="s">
        <v>26</v>
      </c>
      <c r="C17" s="30"/>
      <c r="D17" s="30"/>
      <c r="E17" s="50">
        <f t="shared" ref="E17:L17" si="1">IF($E$12="Yes",$D$5*E15*500/2000,0)</f>
        <v>0</v>
      </c>
      <c r="F17" s="51">
        <f t="shared" si="1"/>
        <v>0</v>
      </c>
      <c r="G17" s="51">
        <f t="shared" si="1"/>
        <v>0</v>
      </c>
      <c r="H17" s="51">
        <f t="shared" si="1"/>
        <v>0</v>
      </c>
      <c r="I17" s="51">
        <f t="shared" si="1"/>
        <v>0</v>
      </c>
      <c r="J17" s="51">
        <f t="shared" si="1"/>
        <v>0</v>
      </c>
      <c r="K17" s="79">
        <f t="shared" si="1"/>
        <v>0</v>
      </c>
      <c r="L17" s="89">
        <f t="shared" si="1"/>
        <v>0</v>
      </c>
      <c r="M17" s="24"/>
      <c r="N17" s="24"/>
      <c r="O17" s="24"/>
    </row>
    <row r="18" spans="1:15" s="17" customFormat="1" ht="13.5" thickBot="1" x14ac:dyDescent="0.25">
      <c r="A18" s="23"/>
      <c r="B18" s="87"/>
      <c r="C18" s="45"/>
      <c r="D18" s="45"/>
      <c r="E18" s="49"/>
      <c r="F18" s="47"/>
      <c r="G18" s="47"/>
      <c r="H18" s="48" t="s">
        <v>10</v>
      </c>
      <c r="I18" s="48"/>
      <c r="J18" s="48"/>
      <c r="K18" s="48"/>
      <c r="L18" s="90"/>
      <c r="M18" s="23"/>
      <c r="N18" s="23"/>
      <c r="O18" s="23"/>
    </row>
    <row r="19" spans="1:15" s="17" customFormat="1" ht="12" x14ac:dyDescent="0.2">
      <c r="B19" s="24" t="s">
        <v>12</v>
      </c>
      <c r="C19" s="23"/>
      <c r="D19" s="23"/>
      <c r="E19" s="26"/>
      <c r="F19" s="27"/>
      <c r="G19" s="27"/>
      <c r="H19" s="27"/>
      <c r="I19" s="27"/>
      <c r="J19" s="27"/>
      <c r="K19" s="27"/>
      <c r="L19" s="23"/>
      <c r="M19" s="23"/>
      <c r="N19" s="23"/>
      <c r="O19" s="23"/>
    </row>
    <row r="20" spans="1:15" s="17" customFormat="1" ht="12" x14ac:dyDescent="0.2">
      <c r="B20" s="23" t="s">
        <v>80</v>
      </c>
      <c r="C20" s="23"/>
      <c r="D20" s="23"/>
      <c r="E20" s="26"/>
      <c r="F20" s="27"/>
      <c r="G20" s="27"/>
      <c r="H20" s="27"/>
      <c r="I20" s="27"/>
      <c r="J20" s="27"/>
      <c r="K20" s="27"/>
      <c r="L20" s="23"/>
      <c r="M20" s="23"/>
      <c r="N20" s="23"/>
      <c r="O20" s="23"/>
    </row>
    <row r="21" spans="1:15" s="17" customFormat="1" ht="13.5" x14ac:dyDescent="0.25">
      <c r="B21" s="17" t="s">
        <v>39</v>
      </c>
    </row>
    <row r="22" spans="1:15" s="17" customFormat="1" ht="12" x14ac:dyDescent="0.2">
      <c r="B22" s="17" t="s">
        <v>35</v>
      </c>
    </row>
    <row r="23" spans="1:15" s="17" customFormat="1" ht="12" x14ac:dyDescent="0.2">
      <c r="B23" s="17" t="s">
        <v>49</v>
      </c>
    </row>
    <row r="24" spans="1:15" s="17" customFormat="1" ht="12" x14ac:dyDescent="0.2">
      <c r="B24" s="16" t="s">
        <v>11</v>
      </c>
    </row>
    <row r="25" spans="1:15" s="17" customFormat="1" ht="12" x14ac:dyDescent="0.2">
      <c r="B25" s="17" t="s">
        <v>79</v>
      </c>
    </row>
    <row r="28" spans="1:15" ht="13.5" thickBot="1" x14ac:dyDescent="0.25">
      <c r="A28" s="1" t="s">
        <v>41</v>
      </c>
      <c r="B28" s="1" t="s">
        <v>40</v>
      </c>
      <c r="D28" s="25" t="s">
        <v>25</v>
      </c>
      <c r="E28" s="12" t="str">
        <f>IF(D5&gt;600,"Yes","No")</f>
        <v>Yes</v>
      </c>
      <c r="F28" s="12"/>
      <c r="G28" s="3" t="s">
        <v>29</v>
      </c>
      <c r="H28" s="3"/>
      <c r="I28" s="73">
        <f>Inputs!H23</f>
        <v>1.5E-3</v>
      </c>
      <c r="J28" s="67" t="s">
        <v>0</v>
      </c>
    </row>
    <row r="29" spans="1:15" s="17" customFormat="1" ht="12.75" customHeight="1" x14ac:dyDescent="0.2">
      <c r="B29" s="82"/>
      <c r="C29" s="83"/>
      <c r="D29" s="83"/>
      <c r="E29" s="82"/>
      <c r="F29" s="83"/>
      <c r="G29" s="83"/>
      <c r="H29" s="83" t="s">
        <v>19</v>
      </c>
      <c r="I29" s="83"/>
      <c r="J29" s="83"/>
      <c r="K29" s="84"/>
      <c r="L29" s="85"/>
      <c r="M29" s="23"/>
      <c r="N29" s="23"/>
    </row>
    <row r="30" spans="1:15" s="17" customFormat="1" ht="15.75" x14ac:dyDescent="0.3">
      <c r="A30" s="23"/>
      <c r="B30" s="86"/>
      <c r="C30" s="9"/>
      <c r="D30" s="9"/>
      <c r="E30" s="42" t="s">
        <v>17</v>
      </c>
      <c r="F30" s="31" t="s">
        <v>6</v>
      </c>
      <c r="G30" s="31" t="s">
        <v>15</v>
      </c>
      <c r="H30" s="31" t="s">
        <v>7</v>
      </c>
      <c r="I30" s="31" t="s">
        <v>8</v>
      </c>
      <c r="J30" s="31" t="s">
        <v>18</v>
      </c>
      <c r="K30" s="31" t="s">
        <v>13</v>
      </c>
      <c r="L30" s="96" t="s">
        <v>81</v>
      </c>
      <c r="M30" s="23"/>
      <c r="N30" s="23"/>
      <c r="O30" s="23"/>
    </row>
    <row r="31" spans="1:15" s="17" customFormat="1" ht="15" customHeight="1" thickBot="1" x14ac:dyDescent="0.25">
      <c r="A31" s="23"/>
      <c r="B31" s="87" t="s">
        <v>44</v>
      </c>
      <c r="C31" s="45"/>
      <c r="D31" s="45"/>
      <c r="E31" s="46">
        <v>6.9999999999999999E-4</v>
      </c>
      <c r="F31" s="47">
        <v>6.9999999999999999E-4</v>
      </c>
      <c r="G31" s="47">
        <v>6.9999999999999999E-4</v>
      </c>
      <c r="H31" s="57">
        <f>0.00809*I28</f>
        <v>1.2135E-5</v>
      </c>
      <c r="I31" s="18">
        <v>2.4E-2</v>
      </c>
      <c r="J31" s="57">
        <v>5.4999999999999997E-3</v>
      </c>
      <c r="K31" s="80">
        <v>7.0500000000000001E-4</v>
      </c>
      <c r="L31" s="97">
        <f>(0.000776+0.000281+0.000193+0.00279+0.0000789+0.0000252+0.00000788+0.00013)*7000/1000000</f>
        <v>2.9973860000000002E-5</v>
      </c>
      <c r="M31" s="23"/>
      <c r="N31" s="23"/>
      <c r="O31" s="23"/>
    </row>
    <row r="32" spans="1:15" s="17" customFormat="1" x14ac:dyDescent="0.2">
      <c r="A32" s="23"/>
      <c r="B32" s="86"/>
      <c r="C32" s="9"/>
      <c r="D32" s="9"/>
      <c r="E32" s="39"/>
      <c r="F32" s="29"/>
      <c r="G32" s="29"/>
      <c r="H32" s="28"/>
      <c r="I32" s="28"/>
      <c r="J32" s="28"/>
      <c r="K32" s="78"/>
      <c r="L32" s="100"/>
      <c r="M32" s="23"/>
      <c r="N32" s="23"/>
      <c r="O32" s="23"/>
    </row>
    <row r="33" spans="1:15" s="16" customFormat="1" x14ac:dyDescent="0.2">
      <c r="A33" s="24"/>
      <c r="B33" s="86" t="s">
        <v>36</v>
      </c>
      <c r="C33" s="30"/>
      <c r="D33" s="30"/>
      <c r="E33" s="50">
        <f t="shared" ref="E33:L33" si="2">IF($E$28="Yes",$D$5*E31*500/2000,0)</f>
        <v>0.17499999999999999</v>
      </c>
      <c r="F33" s="51">
        <f t="shared" si="2"/>
        <v>0.17499999999999999</v>
      </c>
      <c r="G33" s="51">
        <f t="shared" si="2"/>
        <v>0.17499999999999999</v>
      </c>
      <c r="H33" s="51">
        <f t="shared" si="2"/>
        <v>3.03375E-3</v>
      </c>
      <c r="I33" s="51">
        <f t="shared" si="2"/>
        <v>6</v>
      </c>
      <c r="J33" s="51">
        <f t="shared" si="2"/>
        <v>1.375</v>
      </c>
      <c r="K33" s="79">
        <f t="shared" si="2"/>
        <v>0.17624999999999999</v>
      </c>
      <c r="L33" s="89">
        <f t="shared" si="2"/>
        <v>7.4934650000000004E-3</v>
      </c>
      <c r="M33" s="24"/>
      <c r="N33" s="24"/>
      <c r="O33" s="24"/>
    </row>
    <row r="34" spans="1:15" s="17" customFormat="1" ht="13.5" thickBot="1" x14ac:dyDescent="0.25">
      <c r="A34" s="23"/>
      <c r="B34" s="87"/>
      <c r="C34" s="45"/>
      <c r="D34" s="45"/>
      <c r="E34" s="49"/>
      <c r="F34" s="47"/>
      <c r="G34" s="47"/>
      <c r="H34" s="48" t="s">
        <v>10</v>
      </c>
      <c r="I34" s="48"/>
      <c r="J34" s="48"/>
      <c r="K34" s="101"/>
      <c r="L34" s="102"/>
      <c r="M34" s="23"/>
      <c r="N34" s="23"/>
      <c r="O34" s="23"/>
    </row>
    <row r="35" spans="1:15" s="17" customFormat="1" ht="12" x14ac:dyDescent="0.2">
      <c r="B35" s="24" t="s">
        <v>12</v>
      </c>
      <c r="C35" s="23"/>
      <c r="D35" s="23"/>
      <c r="E35" s="26"/>
      <c r="F35" s="27"/>
      <c r="G35" s="27"/>
      <c r="H35" s="27"/>
      <c r="I35" s="27"/>
      <c r="J35" s="27"/>
      <c r="K35" s="27"/>
      <c r="L35" s="23"/>
      <c r="M35" s="23"/>
      <c r="N35" s="23"/>
      <c r="O35" s="23"/>
    </row>
    <row r="36" spans="1:15" s="17" customFormat="1" ht="12" x14ac:dyDescent="0.2">
      <c r="B36" s="23" t="s">
        <v>76</v>
      </c>
      <c r="C36" s="23"/>
      <c r="D36" s="23"/>
      <c r="E36" s="26"/>
      <c r="F36" s="27"/>
      <c r="G36" s="27"/>
      <c r="H36" s="27"/>
      <c r="I36" s="27"/>
      <c r="J36" s="27"/>
      <c r="K36" s="27"/>
      <c r="L36" s="23"/>
      <c r="M36" s="23"/>
      <c r="N36" s="23"/>
      <c r="O36" s="23"/>
    </row>
    <row r="37" spans="1:15" s="17" customFormat="1" ht="13.5" x14ac:dyDescent="0.25">
      <c r="B37" s="17" t="s">
        <v>16</v>
      </c>
    </row>
    <row r="38" spans="1:15" s="17" customFormat="1" ht="12" x14ac:dyDescent="0.2">
      <c r="B38" s="17" t="s">
        <v>35</v>
      </c>
    </row>
    <row r="39" spans="1:15" s="17" customFormat="1" ht="12" x14ac:dyDescent="0.2">
      <c r="B39" s="17" t="s">
        <v>49</v>
      </c>
    </row>
    <row r="40" spans="1:15" s="17" customFormat="1" ht="12" x14ac:dyDescent="0.2">
      <c r="B40" s="16" t="s">
        <v>11</v>
      </c>
    </row>
    <row r="41" spans="1:15" s="17" customFormat="1" ht="12" x14ac:dyDescent="0.2">
      <c r="B41" s="17" t="s">
        <v>79</v>
      </c>
    </row>
    <row r="44" spans="1:15" ht="13.5" thickBot="1" x14ac:dyDescent="0.25">
      <c r="A44" s="1" t="s">
        <v>41</v>
      </c>
      <c r="B44" s="1" t="s">
        <v>77</v>
      </c>
      <c r="D44" s="25" t="s">
        <v>25</v>
      </c>
      <c r="E44" s="12" t="str">
        <f>IF(D6&gt;0,"Yes","No")</f>
        <v>No</v>
      </c>
      <c r="F44" s="12"/>
      <c r="G44" s="3"/>
      <c r="H44" s="3"/>
      <c r="I44" s="73"/>
      <c r="J44" s="54"/>
    </row>
    <row r="45" spans="1:15" ht="13.5" thickTop="1" x14ac:dyDescent="0.2">
      <c r="A45" s="17"/>
      <c r="B45" s="36"/>
      <c r="C45" s="37"/>
      <c r="D45" s="37"/>
      <c r="E45" s="38"/>
      <c r="F45" s="37"/>
      <c r="G45" s="37"/>
      <c r="H45" s="37" t="s">
        <v>19</v>
      </c>
      <c r="I45" s="37"/>
      <c r="J45" s="37"/>
      <c r="K45" s="41"/>
    </row>
    <row r="46" spans="1:15" ht="15.75" x14ac:dyDescent="0.3">
      <c r="A46" s="23"/>
      <c r="B46" s="13"/>
      <c r="C46" s="9"/>
      <c r="D46" s="9"/>
      <c r="E46" s="42" t="s">
        <v>17</v>
      </c>
      <c r="F46" s="31" t="s">
        <v>6</v>
      </c>
      <c r="G46" s="31" t="s">
        <v>15</v>
      </c>
      <c r="H46" s="31" t="s">
        <v>7</v>
      </c>
      <c r="I46" s="31" t="s">
        <v>8</v>
      </c>
      <c r="J46" s="31" t="s">
        <v>18</v>
      </c>
      <c r="K46" s="43" t="s">
        <v>13</v>
      </c>
    </row>
    <row r="47" spans="1:15" ht="15" thickBot="1" x14ac:dyDescent="0.25">
      <c r="A47" s="23"/>
      <c r="B47" s="44" t="s">
        <v>44</v>
      </c>
      <c r="C47" s="45"/>
      <c r="D47" s="45"/>
      <c r="E47" s="58">
        <v>7.2099999999999996E-4</v>
      </c>
      <c r="F47" s="59">
        <v>7.2099999999999996E-4</v>
      </c>
      <c r="G47" s="59">
        <v>7.2099999999999996E-4</v>
      </c>
      <c r="H47" s="57">
        <v>5.9100000000000005E-4</v>
      </c>
      <c r="I47" s="18">
        <v>1.0999999999999999E-2</v>
      </c>
      <c r="J47" s="57">
        <v>6.96E-3</v>
      </c>
      <c r="K47" s="61">
        <f>0.015+0.00483+0.000661</f>
        <v>2.0490999999999999E-2</v>
      </c>
    </row>
    <row r="48" spans="1:15" x14ac:dyDescent="0.2">
      <c r="A48" s="23"/>
      <c r="B48" s="13"/>
      <c r="C48" s="9"/>
      <c r="D48" s="9"/>
      <c r="E48" s="39"/>
      <c r="F48" s="29"/>
      <c r="G48" s="29"/>
      <c r="H48" s="28"/>
      <c r="I48" s="28"/>
      <c r="J48" s="28"/>
      <c r="K48" s="32"/>
    </row>
    <row r="49" spans="1:11" x14ac:dyDescent="0.2">
      <c r="A49" s="24"/>
      <c r="B49" s="13" t="s">
        <v>36</v>
      </c>
      <c r="C49" s="30"/>
      <c r="D49" s="30"/>
      <c r="E49" s="50">
        <f t="shared" ref="E49:K49" si="3">IF($E$44="Yes",$D$5*E47*500/2000,0)</f>
        <v>0</v>
      </c>
      <c r="F49" s="51">
        <f t="shared" si="3"/>
        <v>0</v>
      </c>
      <c r="G49" s="51">
        <f t="shared" si="3"/>
        <v>0</v>
      </c>
      <c r="H49" s="51">
        <f t="shared" si="3"/>
        <v>0</v>
      </c>
      <c r="I49" s="51">
        <f t="shared" si="3"/>
        <v>0</v>
      </c>
      <c r="J49" s="51">
        <f t="shared" si="3"/>
        <v>0</v>
      </c>
      <c r="K49" s="52">
        <f t="shared" si="3"/>
        <v>0</v>
      </c>
    </row>
    <row r="50" spans="1:11" ht="13.5" thickBot="1" x14ac:dyDescent="0.25">
      <c r="A50" s="23"/>
      <c r="B50" s="19"/>
      <c r="C50" s="22"/>
      <c r="D50" s="22"/>
      <c r="E50" s="40"/>
      <c r="F50" s="33"/>
      <c r="G50" s="33"/>
      <c r="H50" s="34" t="s">
        <v>10</v>
      </c>
      <c r="I50" s="34"/>
      <c r="J50" s="34"/>
      <c r="K50" s="35"/>
    </row>
    <row r="51" spans="1:11" ht="13.5" thickTop="1" x14ac:dyDescent="0.2">
      <c r="A51" s="17"/>
      <c r="B51" s="24" t="s">
        <v>12</v>
      </c>
      <c r="C51" s="23"/>
      <c r="D51" s="23"/>
      <c r="E51" s="26"/>
      <c r="F51" s="27"/>
      <c r="G51" s="27"/>
      <c r="H51" s="27"/>
      <c r="I51" s="27"/>
      <c r="J51" s="27"/>
      <c r="K51" s="27"/>
    </row>
    <row r="52" spans="1:11" x14ac:dyDescent="0.2">
      <c r="A52" s="17"/>
      <c r="B52" s="23" t="s">
        <v>78</v>
      </c>
      <c r="C52" s="23"/>
      <c r="D52" s="23"/>
      <c r="E52" s="26"/>
      <c r="F52" s="27"/>
      <c r="G52" s="27"/>
      <c r="H52" s="27"/>
      <c r="I52" s="27"/>
      <c r="J52" s="27"/>
      <c r="K52" s="27"/>
    </row>
    <row r="53" spans="1:11" ht="13.5" x14ac:dyDescent="0.25">
      <c r="A53" s="17"/>
      <c r="B53" s="17" t="s">
        <v>39</v>
      </c>
      <c r="C53" s="17"/>
      <c r="D53" s="17"/>
      <c r="E53" s="17"/>
      <c r="F53" s="17"/>
      <c r="G53" s="17"/>
      <c r="H53" s="17"/>
      <c r="I53" s="17"/>
      <c r="J53" s="17"/>
      <c r="K53" s="17"/>
    </row>
    <row r="54" spans="1:11" x14ac:dyDescent="0.2">
      <c r="A54" s="17"/>
      <c r="B54" s="17" t="s">
        <v>35</v>
      </c>
      <c r="C54" s="17"/>
      <c r="D54" s="17"/>
      <c r="E54" s="17"/>
      <c r="F54" s="17"/>
      <c r="G54" s="17"/>
      <c r="H54" s="17"/>
      <c r="I54" s="17"/>
      <c r="J54" s="17"/>
      <c r="K54" s="17"/>
    </row>
    <row r="55" spans="1:11" x14ac:dyDescent="0.2">
      <c r="A55" s="17"/>
      <c r="B55" s="17" t="s">
        <v>49</v>
      </c>
      <c r="C55" s="17"/>
      <c r="D55" s="17"/>
      <c r="E55" s="17"/>
      <c r="F55" s="17"/>
      <c r="G55" s="17"/>
      <c r="H55" s="17"/>
      <c r="I55" s="17"/>
      <c r="J55" s="17"/>
      <c r="K55" s="17"/>
    </row>
    <row r="56" spans="1:11" x14ac:dyDescent="0.2">
      <c r="A56" s="17"/>
      <c r="B56" s="16" t="s">
        <v>11</v>
      </c>
      <c r="C56" s="17"/>
      <c r="D56" s="17"/>
      <c r="E56" s="17"/>
      <c r="F56" s="17"/>
      <c r="G56" s="17"/>
      <c r="H56" s="17"/>
      <c r="I56" s="17"/>
      <c r="J56" s="17"/>
      <c r="K56" s="17"/>
    </row>
    <row r="57" spans="1:11" x14ac:dyDescent="0.2">
      <c r="A57" s="17"/>
      <c r="B57" s="17" t="s">
        <v>79</v>
      </c>
      <c r="C57" s="17"/>
      <c r="D57" s="17"/>
      <c r="E57" s="17"/>
      <c r="F57" s="17"/>
      <c r="G57" s="17"/>
      <c r="H57" s="17"/>
      <c r="I57" s="17"/>
      <c r="J57" s="17"/>
      <c r="K57" s="17"/>
    </row>
  </sheetData>
  <mergeCells count="5">
    <mergeCell ref="A2:L2"/>
    <mergeCell ref="A1:L1"/>
    <mergeCell ref="A3:L3"/>
    <mergeCell ref="A5:C5"/>
    <mergeCell ref="A6:C6"/>
  </mergeCells>
  <phoneticPr fontId="19" type="noConversion"/>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N20"/>
  <sheetViews>
    <sheetView workbookViewId="0">
      <selection activeCell="A3" sqref="A3:K3"/>
    </sheetView>
  </sheetViews>
  <sheetFormatPr defaultColWidth="8.7109375" defaultRowHeight="12.75" x14ac:dyDescent="0.2"/>
  <cols>
    <col min="1" max="1" width="34" customWidth="1"/>
    <col min="2" max="8" width="10.28515625" customWidth="1"/>
    <col min="9" max="10" width="11.7109375" customWidth="1"/>
    <col min="11" max="11" width="12.7109375" customWidth="1"/>
    <col min="12" max="12" width="10.42578125" bestFit="1" customWidth="1"/>
    <col min="13" max="15" width="9.28515625" customWidth="1"/>
  </cols>
  <sheetData>
    <row r="1" spans="1:14" ht="20.25" x14ac:dyDescent="0.3">
      <c r="A1" s="278" t="str">
        <f>Inputs!A1</f>
        <v>Potential To Emit Calculator for Sawmill Facilities</v>
      </c>
      <c r="B1" s="278"/>
      <c r="C1" s="278"/>
      <c r="D1" s="278"/>
      <c r="E1" s="278"/>
      <c r="F1" s="278"/>
      <c r="G1" s="278"/>
      <c r="H1" s="278"/>
      <c r="I1" s="278"/>
      <c r="J1" s="278"/>
      <c r="K1" s="278"/>
      <c r="L1" s="10"/>
      <c r="M1" s="10"/>
      <c r="N1" s="10"/>
    </row>
    <row r="2" spans="1:14" x14ac:dyDescent="0.2">
      <c r="A2" s="279">
        <v>42552</v>
      </c>
      <c r="B2" s="279"/>
      <c r="C2" s="279"/>
      <c r="D2" s="279"/>
      <c r="E2" s="279"/>
      <c r="F2" s="279"/>
      <c r="G2" s="279"/>
      <c r="H2" s="279"/>
      <c r="I2" s="279"/>
      <c r="J2" s="279"/>
      <c r="K2" s="279"/>
      <c r="L2" s="279"/>
      <c r="M2" s="279"/>
      <c r="N2" s="11"/>
    </row>
    <row r="3" spans="1:14" ht="17.25" customHeight="1" x14ac:dyDescent="0.2">
      <c r="A3" s="296" t="s">
        <v>153</v>
      </c>
      <c r="B3" s="296"/>
      <c r="C3" s="296"/>
      <c r="D3" s="296"/>
      <c r="E3" s="296"/>
      <c r="F3" s="296"/>
      <c r="G3" s="296"/>
      <c r="H3" s="296"/>
      <c r="I3" s="296"/>
      <c r="J3" s="296"/>
      <c r="K3" s="296"/>
      <c r="L3" s="11"/>
      <c r="M3" s="11"/>
      <c r="N3" s="11"/>
    </row>
    <row r="4" spans="1:14" ht="17.25" customHeight="1" x14ac:dyDescent="0.2">
      <c r="A4" s="21"/>
      <c r="B4" s="20"/>
      <c r="C4" s="20"/>
      <c r="D4" s="14"/>
      <c r="E4" s="14"/>
      <c r="F4" s="14"/>
      <c r="G4" s="14"/>
      <c r="H4" s="14"/>
      <c r="I4" s="14"/>
      <c r="J4" s="14"/>
      <c r="K4" s="14"/>
      <c r="L4" s="11"/>
      <c r="M4" s="11"/>
      <c r="N4" s="11"/>
    </row>
    <row r="6" spans="1:14" ht="13.5" thickBot="1" x14ac:dyDescent="0.25">
      <c r="A6" s="7" t="s">
        <v>26</v>
      </c>
    </row>
    <row r="7" spans="1:14" x14ac:dyDescent="0.2">
      <c r="A7" s="224"/>
      <c r="B7" s="292" t="s">
        <v>19</v>
      </c>
      <c r="C7" s="293"/>
      <c r="D7" s="293"/>
      <c r="E7" s="293"/>
      <c r="F7" s="293"/>
      <c r="G7" s="293"/>
      <c r="H7" s="293"/>
      <c r="I7" s="293"/>
      <c r="J7" s="294"/>
      <c r="K7" s="295"/>
    </row>
    <row r="8" spans="1:14" ht="15.75" x14ac:dyDescent="0.2">
      <c r="A8" s="225" t="s">
        <v>46</v>
      </c>
      <c r="B8" s="77" t="s">
        <v>17</v>
      </c>
      <c r="C8" s="77" t="s">
        <v>6</v>
      </c>
      <c r="D8" s="77" t="s">
        <v>5</v>
      </c>
      <c r="E8" s="77" t="s">
        <v>7</v>
      </c>
      <c r="F8" s="77" t="s">
        <v>8</v>
      </c>
      <c r="G8" s="77" t="s">
        <v>18</v>
      </c>
      <c r="H8" s="77" t="s">
        <v>20</v>
      </c>
      <c r="I8" s="264" t="s">
        <v>194</v>
      </c>
      <c r="J8" s="268" t="s">
        <v>195</v>
      </c>
      <c r="K8" s="226" t="s">
        <v>75</v>
      </c>
    </row>
    <row r="9" spans="1:14" x14ac:dyDescent="0.2">
      <c r="A9" s="227" t="s">
        <v>74</v>
      </c>
      <c r="B9" s="172">
        <f>'Log Preparation'!E22</f>
        <v>87.6</v>
      </c>
      <c r="C9" s="172">
        <f>'Log Preparation'!F22</f>
        <v>43.8</v>
      </c>
      <c r="D9" s="172">
        <f>'Log Preparation'!G22</f>
        <v>26.28</v>
      </c>
      <c r="E9" s="184" t="s">
        <v>96</v>
      </c>
      <c r="F9" s="184" t="s">
        <v>96</v>
      </c>
      <c r="G9" s="184" t="s">
        <v>96</v>
      </c>
      <c r="H9" s="184" t="s">
        <v>96</v>
      </c>
      <c r="I9" s="184" t="s">
        <v>96</v>
      </c>
      <c r="J9" s="270" t="s">
        <v>96</v>
      </c>
      <c r="K9" s="228" t="s">
        <v>96</v>
      </c>
    </row>
    <row r="10" spans="1:14" x14ac:dyDescent="0.2">
      <c r="A10" s="227" t="s">
        <v>67</v>
      </c>
      <c r="B10" s="172">
        <f>Sawmill!E16</f>
        <v>43.8</v>
      </c>
      <c r="C10" s="172">
        <f>Sawmill!F16</f>
        <v>21.9</v>
      </c>
      <c r="D10" s="172">
        <f>Sawmill!G16</f>
        <v>13.14</v>
      </c>
      <c r="E10" s="184" t="s">
        <v>96</v>
      </c>
      <c r="F10" s="184" t="s">
        <v>96</v>
      </c>
      <c r="G10" s="184" t="s">
        <v>96</v>
      </c>
      <c r="H10" s="184" t="s">
        <v>96</v>
      </c>
      <c r="I10" s="184" t="s">
        <v>96</v>
      </c>
      <c r="J10" s="270" t="s">
        <v>96</v>
      </c>
      <c r="K10" s="228" t="s">
        <v>96</v>
      </c>
    </row>
    <row r="11" spans="1:14" x14ac:dyDescent="0.2">
      <c r="A11" s="229" t="s">
        <v>68</v>
      </c>
      <c r="B11" s="172">
        <f>'Wood-Fired Boiler'!E18</f>
        <v>13.14</v>
      </c>
      <c r="C11" s="172">
        <f>'Wood-Fired Boiler'!F18</f>
        <v>13.14</v>
      </c>
      <c r="D11" s="172">
        <f>'Wood-Fired Boiler'!G18</f>
        <v>13.14</v>
      </c>
      <c r="E11" s="172">
        <f>'Wood-Fired Boiler'!H18</f>
        <v>3.2850000000000001</v>
      </c>
      <c r="F11" s="172">
        <f>'Wood-Fired Boiler'!I18</f>
        <v>28.908000000000001</v>
      </c>
      <c r="G11" s="172">
        <f>'Wood-Fired Boiler'!J18</f>
        <v>78.84</v>
      </c>
      <c r="H11" s="172">
        <f>'Wood-Fired Boiler'!K18</f>
        <v>2.2338</v>
      </c>
      <c r="I11" s="269" t="s">
        <v>96</v>
      </c>
      <c r="J11" s="265">
        <f>'Wood-Fired Boiler'!L18</f>
        <v>2.4965999999999999</v>
      </c>
      <c r="K11" s="230">
        <f>'Wood-Fired Boiler'!M18</f>
        <v>5.0174641937300386</v>
      </c>
    </row>
    <row r="12" spans="1:14" x14ac:dyDescent="0.2">
      <c r="A12" s="229" t="s">
        <v>69</v>
      </c>
      <c r="B12" s="184" t="s">
        <v>96</v>
      </c>
      <c r="C12" s="184" t="s">
        <v>96</v>
      </c>
      <c r="D12" s="184" t="s">
        <v>96</v>
      </c>
      <c r="E12" s="184" t="s">
        <v>96</v>
      </c>
      <c r="F12" s="184" t="s">
        <v>96</v>
      </c>
      <c r="G12" s="184" t="s">
        <v>96</v>
      </c>
      <c r="H12" s="185">
        <f>'Kiln Drying'!F33</f>
        <v>57.607730999999994</v>
      </c>
      <c r="I12" s="172">
        <f>MAX('Kiln Drying'!G33:K33)</f>
        <v>5.3867430000000001</v>
      </c>
      <c r="J12" s="266"/>
      <c r="K12" s="230">
        <f>'Kiln Drying'!L33</f>
        <v>10.554048</v>
      </c>
    </row>
    <row r="13" spans="1:14" x14ac:dyDescent="0.2">
      <c r="A13" s="229" t="s">
        <v>70</v>
      </c>
      <c r="B13" s="172">
        <f>Planing!E15</f>
        <v>8.7600000000000011E-2</v>
      </c>
      <c r="C13" s="172">
        <f>Planing!F15</f>
        <v>8.7600000000000011E-2</v>
      </c>
      <c r="D13" s="172">
        <f>Planing!G15</f>
        <v>8.7600000000000011E-2</v>
      </c>
      <c r="E13" s="184" t="s">
        <v>96</v>
      </c>
      <c r="F13" s="184" t="s">
        <v>96</v>
      </c>
      <c r="G13" s="184" t="s">
        <v>96</v>
      </c>
      <c r="H13" s="184" t="s">
        <v>96</v>
      </c>
      <c r="I13" s="184" t="s">
        <v>96</v>
      </c>
      <c r="J13" s="270" t="s">
        <v>96</v>
      </c>
      <c r="K13" s="228" t="s">
        <v>96</v>
      </c>
    </row>
    <row r="14" spans="1:14" x14ac:dyDescent="0.2">
      <c r="A14" s="229" t="s">
        <v>71</v>
      </c>
      <c r="B14" s="172">
        <f>'Auxiliary Heater'!E18</f>
        <v>0</v>
      </c>
      <c r="C14" s="172">
        <f>'Auxiliary Heater'!F18</f>
        <v>0</v>
      </c>
      <c r="D14" s="172">
        <f>'Auxiliary Heater'!G18</f>
        <v>0</v>
      </c>
      <c r="E14" s="172">
        <f>'Auxiliary Heater'!H18</f>
        <v>0</v>
      </c>
      <c r="F14" s="172">
        <f>'Auxiliary Heater'!I18</f>
        <v>0</v>
      </c>
      <c r="G14" s="172">
        <f>'Auxiliary Heater'!J18</f>
        <v>0</v>
      </c>
      <c r="H14" s="172">
        <f>'Auxiliary Heater'!K18</f>
        <v>0</v>
      </c>
      <c r="I14" s="184" t="s">
        <v>96</v>
      </c>
      <c r="J14" s="270" t="s">
        <v>96</v>
      </c>
      <c r="K14" s="230">
        <f>'Auxiliary Heater'!L18</f>
        <v>0</v>
      </c>
    </row>
    <row r="15" spans="1:14" x14ac:dyDescent="0.2">
      <c r="A15" s="229" t="s">
        <v>72</v>
      </c>
      <c r="B15" s="172">
        <f>'Auxiliary Heater'!E33</f>
        <v>0.33508196721311467</v>
      </c>
      <c r="C15" s="172">
        <f>'Auxiliary Heater'!F33</f>
        <v>0.33508196721311467</v>
      </c>
      <c r="D15" s="172">
        <f>'Auxiliary Heater'!G33</f>
        <v>0.33508196721311467</v>
      </c>
      <c r="E15" s="172">
        <f>'Auxiliary Heater'!H33</f>
        <v>7.1803278688524599E-5</v>
      </c>
      <c r="F15" s="172">
        <f>'Auxiliary Heater'!I33</f>
        <v>6.222950819672131</v>
      </c>
      <c r="G15" s="172">
        <f>'Auxiliary Heater'!J33</f>
        <v>3.5901639344262293</v>
      </c>
      <c r="H15" s="172">
        <f>'Auxiliary Heater'!K33</f>
        <v>0.47868852459016392</v>
      </c>
      <c r="I15" s="184" t="s">
        <v>96</v>
      </c>
      <c r="J15" s="270" t="s">
        <v>96</v>
      </c>
      <c r="K15" s="230">
        <f>'Auxiliary Heater'!L33</f>
        <v>0</v>
      </c>
    </row>
    <row r="16" spans="1:14" x14ac:dyDescent="0.2">
      <c r="A16" s="229" t="s">
        <v>73</v>
      </c>
      <c r="B16" s="172">
        <f>'Auxiliary Heater'!E48</f>
        <v>0</v>
      </c>
      <c r="C16" s="172">
        <f>'Auxiliary Heater'!F48</f>
        <v>0</v>
      </c>
      <c r="D16" s="172">
        <f>'Auxiliary Heater'!G48</f>
        <v>0</v>
      </c>
      <c r="E16" s="172">
        <f>'Auxiliary Heater'!H48</f>
        <v>0</v>
      </c>
      <c r="F16" s="172">
        <f>'Auxiliary Heater'!I48</f>
        <v>0</v>
      </c>
      <c r="G16" s="172">
        <f>'Auxiliary Heater'!J48</f>
        <v>0</v>
      </c>
      <c r="H16" s="172">
        <f>'Auxiliary Heater'!K48</f>
        <v>0</v>
      </c>
      <c r="I16" s="184" t="s">
        <v>96</v>
      </c>
      <c r="J16" s="270" t="s">
        <v>96</v>
      </c>
      <c r="K16" s="230">
        <f>'Auxiliary Heater'!L48</f>
        <v>0</v>
      </c>
    </row>
    <row r="17" spans="1:11" x14ac:dyDescent="0.2">
      <c r="A17" s="260" t="s">
        <v>186</v>
      </c>
      <c r="B17" s="172">
        <f>'Emergency Generator'!E17+'Emergency Generator'!E33</f>
        <v>0.17499999999999999</v>
      </c>
      <c r="C17" s="172">
        <f>'Emergency Generator'!F17+'Emergency Generator'!F33</f>
        <v>0.17499999999999999</v>
      </c>
      <c r="D17" s="172">
        <f>'Emergency Generator'!G17+'Emergency Generator'!G33</f>
        <v>0.17499999999999999</v>
      </c>
      <c r="E17" s="172">
        <f>'Emergency Generator'!H17+'Emergency Generator'!H33</f>
        <v>3.03375E-3</v>
      </c>
      <c r="F17" s="172">
        <f>'Emergency Generator'!I17+'Emergency Generator'!I33</f>
        <v>6</v>
      </c>
      <c r="G17" s="172">
        <f>'Emergency Generator'!J17+'Emergency Generator'!J33</f>
        <v>1.375</v>
      </c>
      <c r="H17" s="172">
        <f>'Emergency Generator'!K17+'Emergency Generator'!K33</f>
        <v>0.17624999999999999</v>
      </c>
      <c r="I17" s="184" t="s">
        <v>96</v>
      </c>
      <c r="J17" s="270" t="s">
        <v>96</v>
      </c>
      <c r="K17" s="231">
        <f>'Emergency Generator'!L17+'Emergency Generator'!L33</f>
        <v>7.4934650000000004E-3</v>
      </c>
    </row>
    <row r="18" spans="1:11" x14ac:dyDescent="0.2">
      <c r="A18" s="260" t="s">
        <v>187</v>
      </c>
      <c r="B18" s="172">
        <f>'Emergency Generator'!E49</f>
        <v>0</v>
      </c>
      <c r="C18" s="172">
        <f>'Emergency Generator'!F49</f>
        <v>0</v>
      </c>
      <c r="D18" s="172">
        <f>'Emergency Generator'!G49</f>
        <v>0</v>
      </c>
      <c r="E18" s="172">
        <f>'Emergency Generator'!H49</f>
        <v>0</v>
      </c>
      <c r="F18" s="172">
        <f>'Emergency Generator'!I49</f>
        <v>0</v>
      </c>
      <c r="G18" s="172">
        <f>'Emergency Generator'!J49</f>
        <v>0</v>
      </c>
      <c r="H18" s="172">
        <f>'Emergency Generator'!K49</f>
        <v>0</v>
      </c>
      <c r="I18" s="184" t="s">
        <v>96</v>
      </c>
      <c r="J18" s="271" t="s">
        <v>96</v>
      </c>
      <c r="K18" s="184" t="s">
        <v>96</v>
      </c>
    </row>
    <row r="19" spans="1:11" ht="13.5" thickBot="1" x14ac:dyDescent="0.25">
      <c r="A19" s="232"/>
      <c r="B19" s="6"/>
      <c r="C19" s="6"/>
      <c r="D19" s="6"/>
      <c r="E19" s="6"/>
      <c r="F19" s="6"/>
      <c r="G19" s="6"/>
      <c r="H19" s="6"/>
      <c r="I19" s="6"/>
      <c r="J19" s="6"/>
      <c r="K19" s="233"/>
    </row>
    <row r="20" spans="1:11" ht="14.25" thickTop="1" thickBot="1" x14ac:dyDescent="0.25">
      <c r="A20" s="234" t="s">
        <v>154</v>
      </c>
      <c r="B20" s="235">
        <f>SUM(B9:B18)</f>
        <v>145.1376819672131</v>
      </c>
      <c r="C20" s="236">
        <f>SUM(C9:C18)</f>
        <v>79.437681967213095</v>
      </c>
      <c r="D20" s="236">
        <f t="shared" ref="D20:I20" si="0">SUM(D9:D18)</f>
        <v>53.157681967213115</v>
      </c>
      <c r="E20" s="236">
        <f t="shared" si="0"/>
        <v>3.2881055532786889</v>
      </c>
      <c r="F20" s="236">
        <f t="shared" si="0"/>
        <v>41.13095081967213</v>
      </c>
      <c r="G20" s="236">
        <f t="shared" si="0"/>
        <v>83.805163934426233</v>
      </c>
      <c r="H20" s="236">
        <f>SUM(H9:H18)</f>
        <v>60.496469524590161</v>
      </c>
      <c r="I20" s="236">
        <f t="shared" si="0"/>
        <v>5.3867430000000001</v>
      </c>
      <c r="J20" s="267">
        <f>J11</f>
        <v>2.4965999999999999</v>
      </c>
      <c r="K20" s="237">
        <f>SUM(K9:K18)</f>
        <v>15.579005658730038</v>
      </c>
    </row>
  </sheetData>
  <mergeCells count="4">
    <mergeCell ref="A1:K1"/>
    <mergeCell ref="B7:K7"/>
    <mergeCell ref="A3:K3"/>
    <mergeCell ref="A2:M2"/>
  </mergeCells>
  <phoneticPr fontId="2" type="noConversion"/>
  <pageMargins left="0.75" right="0.75" top="1" bottom="1" header="0.5" footer="0.5"/>
  <pageSetup orientation="portrait" horizontalDpi="4294967292" verticalDpi="4294967292" r:id="rId1"/>
  <headerFooter alignWithMargins="0">
    <oddFoote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109375" defaultRowHeight="12.75" x14ac:dyDescent="0.2"/>
  <sheetData>
    <row r="1" spans="1:256" x14ac:dyDescent="0.2">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IF(Inputs!6:6,"AAAAAH3zvTg=",0)</f>
        <v>0</v>
      </c>
      <c r="BF1" t="e">
        <f>AND(Inputs!A6,"AAAAAH3zvTk=")</f>
        <v>#VALUE!</v>
      </c>
      <c r="BG1" t="e">
        <f>AND(Inputs!B6,"AAAAAH3zvTo=")</f>
        <v>#VALUE!</v>
      </c>
      <c r="BH1" t="e">
        <f>AND(Inputs!C6,"AAAAAH3zvTs=")</f>
        <v>#VALUE!</v>
      </c>
      <c r="BI1" t="e">
        <f>AND(Inputs!D6,"AAAAAH3zvTw=")</f>
        <v>#VALUE!</v>
      </c>
      <c r="BJ1" t="e">
        <f>AND(Inputs!E6,"AAAAAH3zvT0=")</f>
        <v>#VALUE!</v>
      </c>
      <c r="BK1" t="e">
        <f>AND(Inputs!F6,"AAAAAH3zvT4=")</f>
        <v>#VALUE!</v>
      </c>
      <c r="BL1" t="e">
        <f>AND(Inputs!G6,"AAAAAH3zvT8=")</f>
        <v>#VALUE!</v>
      </c>
      <c r="BM1" t="e">
        <f>AND(Inputs!H6,"AAAAAH3zvUA=")</f>
        <v>#VALUE!</v>
      </c>
      <c r="BN1" t="e">
        <f>AND(Inputs!I6,"AAAAAH3zvUE=")</f>
        <v>#VALUE!</v>
      </c>
      <c r="BO1" t="e">
        <f>AND(Inputs!J6,"AAAAAH3zvUI=")</f>
        <v>#VALUE!</v>
      </c>
      <c r="BP1" t="e">
        <f>AND(Inputs!K6,"AAAAAH3zvUM=")</f>
        <v>#VALUE!</v>
      </c>
      <c r="BQ1" t="e">
        <f>AND(Inputs!L6,"AAAAAH3zvUQ=")</f>
        <v>#VALUE!</v>
      </c>
      <c r="BR1" t="e">
        <f>AND(Inputs!M6,"AAAAAH3zvUU=")</f>
        <v>#VALUE!</v>
      </c>
      <c r="BS1">
        <f>IF(Inputs!7:7,"AAAAAH3zvUY=",0)</f>
        <v>0</v>
      </c>
      <c r="BT1" t="e">
        <f>AND(Inputs!A7,"AAAAAH3zvUc=")</f>
        <v>#VALUE!</v>
      </c>
      <c r="BU1" t="e">
        <f>AND(Inputs!B7,"AAAAAH3zvUg=")</f>
        <v>#VALUE!</v>
      </c>
      <c r="BV1" t="e">
        <f>AND(Inputs!C7,"AAAAAH3zvUk=")</f>
        <v>#VALUE!</v>
      </c>
      <c r="BW1" t="e">
        <f>AND(Inputs!D7,"AAAAAH3zvUo=")</f>
        <v>#VALUE!</v>
      </c>
      <c r="BX1" t="e">
        <f>AND(Inputs!E7,"AAAAAH3zvUs=")</f>
        <v>#VALUE!</v>
      </c>
      <c r="BY1" t="e">
        <f>AND(Inputs!F7,"AAAAAH3zvUw=")</f>
        <v>#VALUE!</v>
      </c>
      <c r="BZ1" t="e">
        <f>AND(Inputs!G7,"AAAAAH3zvU0=")</f>
        <v>#VALUE!</v>
      </c>
      <c r="CA1" t="e">
        <f>AND(Inputs!H7,"AAAAAH3zvU4=")</f>
        <v>#VALUE!</v>
      </c>
      <c r="CB1" t="e">
        <f>AND(Inputs!I7,"AAAAAH3zvU8=")</f>
        <v>#VALUE!</v>
      </c>
      <c r="CC1" t="e">
        <f>AND(Inputs!J7,"AAAAAH3zvVA=")</f>
        <v>#VALUE!</v>
      </c>
      <c r="CD1" t="e">
        <f>AND(Inputs!K7,"AAAAAH3zvVE=")</f>
        <v>#VALUE!</v>
      </c>
      <c r="CE1" t="e">
        <f>AND(Inputs!L7,"AAAAAH3zvVI=")</f>
        <v>#VALUE!</v>
      </c>
      <c r="CF1" t="e">
        <f>AND(Inputs!M7,"AAAAAH3zvVM=")</f>
        <v>#VALUE!</v>
      </c>
      <c r="CG1">
        <f>IF(Inputs!8:8,"AAAAAH3zvVQ=",0)</f>
        <v>0</v>
      </c>
      <c r="CH1" t="e">
        <f>AND(Inputs!A8,"AAAAAH3zvVU=")</f>
        <v>#VALUE!</v>
      </c>
      <c r="CI1" t="e">
        <f>AND(Inputs!B8,"AAAAAH3zvVY=")</f>
        <v>#VALUE!</v>
      </c>
      <c r="CJ1" t="e">
        <f>AND(Inputs!C8,"AAAAAH3zvVc=")</f>
        <v>#VALUE!</v>
      </c>
      <c r="CK1" t="e">
        <f>AND(Inputs!D8,"AAAAAH3zvVg=")</f>
        <v>#VALUE!</v>
      </c>
      <c r="CL1" t="e">
        <f>AND(Inputs!E8,"AAAAAH3zvVk=")</f>
        <v>#VALUE!</v>
      </c>
      <c r="CM1" t="e">
        <f>AND(Inputs!F8,"AAAAAH3zvVo=")</f>
        <v>#VALUE!</v>
      </c>
      <c r="CN1" t="e">
        <f>AND(Inputs!G8,"AAAAAH3zvVs=")</f>
        <v>#VALUE!</v>
      </c>
      <c r="CO1" t="e">
        <f>AND(Inputs!H8,"AAAAAH3zvVw=")</f>
        <v>#VALUE!</v>
      </c>
      <c r="CP1" t="e">
        <f>AND(Inputs!I8,"AAAAAH3zvV0=")</f>
        <v>#VALUE!</v>
      </c>
      <c r="CQ1" t="e">
        <f>AND(Inputs!J8,"AAAAAH3zvV4=")</f>
        <v>#VALUE!</v>
      </c>
      <c r="CR1" t="e">
        <f>AND(Inputs!K8,"AAAAAH3zvV8=")</f>
        <v>#VALUE!</v>
      </c>
      <c r="CS1" t="e">
        <f>AND(Inputs!L8,"AAAAAH3zvWA=")</f>
        <v>#VALUE!</v>
      </c>
      <c r="CT1" t="e">
        <f>AND(Inputs!M8,"AAAAAH3zvWE=")</f>
        <v>#VALUE!</v>
      </c>
      <c r="CU1">
        <f>IF(Inputs!9:9,"AAAAAH3zvWI=",0)</f>
        <v>0</v>
      </c>
      <c r="CV1" t="e">
        <f>AND(Inputs!A9,"AAAAAH3zvWM=")</f>
        <v>#VALUE!</v>
      </c>
      <c r="CW1" t="e">
        <f>AND(Inputs!B9,"AAAAAH3zvWQ=")</f>
        <v>#VALUE!</v>
      </c>
      <c r="CX1" t="e">
        <f>AND(Inputs!C9,"AAAAAH3zvWU=")</f>
        <v>#VALUE!</v>
      </c>
      <c r="CY1" t="e">
        <f>AND(Inputs!D9,"AAAAAH3zvWY=")</f>
        <v>#VALUE!</v>
      </c>
      <c r="CZ1" t="e">
        <f>AND(Inputs!E9,"AAAAAH3zvWc=")</f>
        <v>#VALUE!</v>
      </c>
      <c r="DA1" t="e">
        <f>AND(Inputs!F9,"AAAAAH3zvWg=")</f>
        <v>#VALUE!</v>
      </c>
      <c r="DB1" t="e">
        <f>AND(Inputs!G9,"AAAAAH3zvWk=")</f>
        <v>#VALUE!</v>
      </c>
      <c r="DC1" t="e">
        <f>AND(Inputs!H9,"AAAAAH3zvWo=")</f>
        <v>#VALUE!</v>
      </c>
      <c r="DD1" t="e">
        <f>AND(Inputs!I9,"AAAAAH3zvWs=")</f>
        <v>#VALUE!</v>
      </c>
      <c r="DE1" t="e">
        <f>AND(Inputs!J9,"AAAAAH3zvWw=")</f>
        <v>#VALUE!</v>
      </c>
      <c r="DF1" t="e">
        <f>AND(Inputs!K9,"AAAAAH3zvW0=")</f>
        <v>#VALUE!</v>
      </c>
      <c r="DG1" t="e">
        <f>AND(Inputs!L9,"AAAAAH3zvW4=")</f>
        <v>#VALUE!</v>
      </c>
      <c r="DH1" t="e">
        <f>AND(Inputs!M9,"AAAAAH3zvW8=")</f>
        <v>#VALUE!</v>
      </c>
      <c r="DI1">
        <f>IF(Inputs!10:10,"AAAAAH3zvXA=",0)</f>
        <v>0</v>
      </c>
      <c r="DJ1" t="e">
        <f>AND(Inputs!A10,"AAAAAH3zvXE=")</f>
        <v>#VALUE!</v>
      </c>
      <c r="DK1" t="e">
        <f>AND(Inputs!B10,"AAAAAH3zvXI=")</f>
        <v>#VALUE!</v>
      </c>
      <c r="DL1" t="e">
        <f>AND(Inputs!C10,"AAAAAH3zvXM=")</f>
        <v>#VALUE!</v>
      </c>
      <c r="DM1" t="e">
        <f>AND(Inputs!D10,"AAAAAH3zvXQ=")</f>
        <v>#VALUE!</v>
      </c>
      <c r="DN1" t="e">
        <f>AND(Inputs!E10,"AAAAAH3zvXU=")</f>
        <v>#VALUE!</v>
      </c>
      <c r="DO1" t="e">
        <f>AND(Inputs!F10,"AAAAAH3zvXY=")</f>
        <v>#VALUE!</v>
      </c>
      <c r="DP1" t="e">
        <f>AND(Inputs!G10,"AAAAAH3zvXc=")</f>
        <v>#VALUE!</v>
      </c>
      <c r="DQ1" t="e">
        <f>AND(Inputs!H10,"AAAAAH3zvXg=")</f>
        <v>#VALUE!</v>
      </c>
      <c r="DR1" t="e">
        <f>AND(Inputs!I10,"AAAAAH3zvXk=")</f>
        <v>#VALUE!</v>
      </c>
      <c r="DS1" t="e">
        <f>AND(Inputs!J10,"AAAAAH3zvXo=")</f>
        <v>#VALUE!</v>
      </c>
      <c r="DT1" t="e">
        <f>AND(Inputs!K10,"AAAAAH3zvXs=")</f>
        <v>#VALUE!</v>
      </c>
      <c r="DU1" t="e">
        <f>AND(Inputs!L10,"AAAAAH3zvXw=")</f>
        <v>#VALUE!</v>
      </c>
      <c r="DV1" t="e">
        <f>AND(Inputs!M10,"AAAAAH3zvX0=")</f>
        <v>#VALUE!</v>
      </c>
      <c r="DW1">
        <f>IF(Inputs!11:11,"AAAAAH3zvX4=",0)</f>
        <v>0</v>
      </c>
      <c r="DX1" t="e">
        <f>AND(Inputs!A11,"AAAAAH3zvX8=")</f>
        <v>#VALUE!</v>
      </c>
      <c r="DY1" t="e">
        <f>AND(Inputs!B11,"AAAAAH3zvYA=")</f>
        <v>#VALUE!</v>
      </c>
      <c r="DZ1" t="e">
        <f>AND(Inputs!C11,"AAAAAH3zvYE=")</f>
        <v>#VALUE!</v>
      </c>
      <c r="EA1" t="e">
        <f>AND(Inputs!D11,"AAAAAH3zvYI=")</f>
        <v>#VALUE!</v>
      </c>
      <c r="EB1" t="e">
        <f>AND(Inputs!E11,"AAAAAH3zvYM=")</f>
        <v>#VALUE!</v>
      </c>
      <c r="EC1" t="e">
        <f>AND(Inputs!F11,"AAAAAH3zvYQ=")</f>
        <v>#VALUE!</v>
      </c>
      <c r="ED1" t="e">
        <f>AND(Inputs!G11,"AAAAAH3zvYU=")</f>
        <v>#VALUE!</v>
      </c>
      <c r="EE1" t="e">
        <f>AND(Inputs!H11,"AAAAAH3zvYY=")</f>
        <v>#VALUE!</v>
      </c>
      <c r="EF1" t="e">
        <f>AND(Inputs!I11,"AAAAAH3zvYc=")</f>
        <v>#VALUE!</v>
      </c>
      <c r="EG1" t="e">
        <f>AND(Inputs!J11,"AAAAAH3zvYg=")</f>
        <v>#VALUE!</v>
      </c>
      <c r="EH1" t="e">
        <f>AND(Inputs!K11,"AAAAAH3zvYk=")</f>
        <v>#VALUE!</v>
      </c>
      <c r="EI1" t="e">
        <f>AND(Inputs!L11,"AAAAAH3zvYo=")</f>
        <v>#VALUE!</v>
      </c>
      <c r="EJ1" t="e">
        <f>AND(Inputs!M11,"AAAAAH3zvYs=")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IF(Inputs!12:12,"AAAAAH3zvag=",0)</f>
        <v>0</v>
      </c>
      <c r="FN1" t="e">
        <f>AND(Inputs!A12,"AAAAAH3zvak=")</f>
        <v>#VALUE!</v>
      </c>
      <c r="FO1" t="e">
        <f>AND(Inputs!B12,"AAAAAH3zvao=")</f>
        <v>#VALUE!</v>
      </c>
      <c r="FP1" t="e">
        <f>AND(Inputs!C12,"AAAAAH3zvas=")</f>
        <v>#VALUE!</v>
      </c>
      <c r="FQ1" t="e">
        <f>AND(Inputs!D12,"AAAAAH3zvaw=")</f>
        <v>#VALUE!</v>
      </c>
      <c r="FR1" t="e">
        <f>AND(Inputs!E12,"AAAAAH3zva0=")</f>
        <v>#VALUE!</v>
      </c>
      <c r="FS1" t="e">
        <f>AND(Inputs!F12,"AAAAAH3zva4=")</f>
        <v>#VALUE!</v>
      </c>
      <c r="FT1" t="e">
        <f>AND(Inputs!G12,"AAAAAH3zva8=")</f>
        <v>#VALUE!</v>
      </c>
      <c r="FU1" t="e">
        <f>AND(Inputs!H12,"AAAAAH3zvbA=")</f>
        <v>#VALUE!</v>
      </c>
      <c r="FV1" t="e">
        <f>AND(Inputs!I12,"AAAAAH3zvbE=")</f>
        <v>#VALUE!</v>
      </c>
      <c r="FW1" t="e">
        <f>AND(Inputs!J12,"AAAAAH3zvbI=")</f>
        <v>#VALUE!</v>
      </c>
      <c r="FX1" t="e">
        <f>AND(Inputs!K12,"AAAAAH3zvbM=")</f>
        <v>#VALUE!</v>
      </c>
      <c r="FY1" t="e">
        <f>AND(Inputs!L12,"AAAAAH3zvbQ=")</f>
        <v>#VALUE!</v>
      </c>
      <c r="FZ1" t="e">
        <f>AND(Inputs!M12,"AAAAAH3zvbU=")</f>
        <v>#VALUE!</v>
      </c>
      <c r="GA1">
        <f>IF(Inputs!13:13,"AAAAAH3zvbY=",0)</f>
        <v>0</v>
      </c>
      <c r="GB1" t="e">
        <f>AND(Inputs!A13,"AAAAAH3zvbc=")</f>
        <v>#VALUE!</v>
      </c>
      <c r="GC1" t="e">
        <f>AND(Inputs!B13,"AAAAAH3zvbg=")</f>
        <v>#VALUE!</v>
      </c>
      <c r="GD1" t="e">
        <f>AND(Inputs!C13,"AAAAAH3zvbk=")</f>
        <v>#VALUE!</v>
      </c>
      <c r="GE1" t="e">
        <f>AND(Inputs!D13,"AAAAAH3zvbo=")</f>
        <v>#VALUE!</v>
      </c>
      <c r="GF1" t="e">
        <f>AND(Inputs!E13,"AAAAAH3zvbs=")</f>
        <v>#VALUE!</v>
      </c>
      <c r="GG1" t="e">
        <f>AND(Inputs!F13,"AAAAAH3zvbw=")</f>
        <v>#VALUE!</v>
      </c>
      <c r="GH1" t="e">
        <f>AND(Inputs!G13,"AAAAAH3zvb0=")</f>
        <v>#VALUE!</v>
      </c>
      <c r="GI1" t="e">
        <f>AND(Inputs!H13,"AAAAAH3zvb4=")</f>
        <v>#VALUE!</v>
      </c>
      <c r="GJ1" t="e">
        <f>AND(Inputs!I13,"AAAAAH3zvb8=")</f>
        <v>#VALUE!</v>
      </c>
      <c r="GK1" t="e">
        <f>AND(Inputs!J13,"AAAAAH3zvcA=")</f>
        <v>#VALUE!</v>
      </c>
      <c r="GL1" t="e">
        <f>AND(Inputs!K13,"AAAAAH3zvcE=")</f>
        <v>#VALUE!</v>
      </c>
      <c r="GM1" t="e">
        <f>AND(Inputs!L13,"AAAAAH3zvcI=")</f>
        <v>#VALUE!</v>
      </c>
      <c r="GN1" t="e">
        <f>AND(Inputs!M13,"AAAAAH3zvcM=")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AND(Inputs!C17,"AAAAADZv8zM=")</f>
        <v>#VALUE!</v>
      </c>
      <c r="BA3" t="e">
        <f>AND(Inputs!D17,"AAAAADZv8zQ=")</f>
        <v>#VALUE!</v>
      </c>
      <c r="BB3" t="e">
        <f>AND(Inputs!E17,"AAAAADZv8zU=")</f>
        <v>#VALUE!</v>
      </c>
      <c r="BC3" t="e">
        <f>AND(Inputs!F17,"AAAAADZv8zY=")</f>
        <v>#VALUE!</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IF(Inputs!20:20,"AAAAADZv8z4=",0)</f>
        <v>0</v>
      </c>
      <c r="BL3" t="e">
        <f>AND(Inputs!A20,"AAAAADZv8z8=")</f>
        <v>#VALUE!</v>
      </c>
      <c r="BM3" t="e">
        <f>AND(Inputs!B20,"AAAAADZv80A=")</f>
        <v>#VALUE!</v>
      </c>
      <c r="BN3" t="e">
        <f>AND(Inputs!C20,"AAAAADZv80E=")</f>
        <v>#VALUE!</v>
      </c>
      <c r="BO3" t="e">
        <f>AND(Inputs!D20,"AAAAADZv80I=")</f>
        <v>#VALUE!</v>
      </c>
      <c r="BP3" t="e">
        <f>AND(Inputs!E20,"AAAAADZv80M=")</f>
        <v>#VALUE!</v>
      </c>
      <c r="BQ3" t="e">
        <f>AND(Inputs!F20,"AAAAADZv80Q=")</f>
        <v>#VALUE!</v>
      </c>
      <c r="BR3" t="e">
        <f>AND(Inputs!G20,"AAAAADZv80U=")</f>
        <v>#VALUE!</v>
      </c>
      <c r="BS3" t="e">
        <f>AND(Inputs!H20,"AAAAADZv80Y=")</f>
        <v>#VALUE!</v>
      </c>
      <c r="BT3" t="e">
        <f>AND(Inputs!I20,"AAAAADZv80c=")</f>
        <v>#VALUE!</v>
      </c>
      <c r="BU3" t="e">
        <f>AND(Inputs!J20,"AAAAADZv80g=")</f>
        <v>#VALUE!</v>
      </c>
      <c r="BV3" t="e">
        <f>AND(Inputs!K20,"AAAAADZv80k=")</f>
        <v>#VALUE!</v>
      </c>
      <c r="BW3" t="e">
        <f>AND(Inputs!L20,"AAAAADZv80o=")</f>
        <v>#VALUE!</v>
      </c>
      <c r="BX3" t="e">
        <f>AND(Inputs!M20,"AAAAADZv80s=")</f>
        <v>#VALUE!</v>
      </c>
      <c r="BY3">
        <f>IF(Inputs!21:21,"AAAAADZv80w=",0)</f>
        <v>0</v>
      </c>
      <c r="BZ3" t="e">
        <f>AND(Inputs!A21,"AAAAADZv800=")</f>
        <v>#VALUE!</v>
      </c>
      <c r="CA3" t="e">
        <f>AND(Inputs!B21,"AAAAADZv804=")</f>
        <v>#VALUE!</v>
      </c>
      <c r="CB3" t="e">
        <f>AND(Inputs!C21,"AAAAADZv808=")</f>
        <v>#VALUE!</v>
      </c>
      <c r="CC3" t="e">
        <f>AND(Inputs!D21,"AAAAADZv81A=")</f>
        <v>#VALUE!</v>
      </c>
      <c r="CD3" t="e">
        <f>AND(Inputs!E21,"AAAAADZv81E=")</f>
        <v>#VALUE!</v>
      </c>
      <c r="CE3" t="e">
        <f>AND(Inputs!F21,"AAAAADZv81I=")</f>
        <v>#VALUE!</v>
      </c>
      <c r="CF3" t="e">
        <f>AND(Inputs!G21,"AAAAADZv81M=")</f>
        <v>#VALUE!</v>
      </c>
      <c r="CG3" t="e">
        <f>AND(Inputs!H21,"AAAAADZv81Q=")</f>
        <v>#VALUE!</v>
      </c>
      <c r="CH3" t="e">
        <f>AND(Inputs!I21,"AAAAADZv81U=")</f>
        <v>#VALUE!</v>
      </c>
      <c r="CI3" t="e">
        <f>AND(Inputs!J21,"AAAAADZv81Y=")</f>
        <v>#VALUE!</v>
      </c>
      <c r="CJ3" t="e">
        <f>AND(Inputs!K21,"AAAAADZv81c=")</f>
        <v>#VALUE!</v>
      </c>
      <c r="CK3" t="e">
        <f>AND(Inputs!L21,"AAAAADZv81g=")</f>
        <v>#VALUE!</v>
      </c>
      <c r="CL3" t="e">
        <f>AND(Inputs!M21,"AAAAADZv81k=")</f>
        <v>#VALUE!</v>
      </c>
      <c r="CM3">
        <f>IF(Inputs!22:22,"AAAAADZv81o=",0)</f>
        <v>0</v>
      </c>
      <c r="CN3" t="e">
        <f>AND(Inputs!A22,"AAAAADZv81s=")</f>
        <v>#VALUE!</v>
      </c>
      <c r="CO3" t="e">
        <f>AND(Inputs!B22,"AAAAADZv81w=")</f>
        <v>#VALUE!</v>
      </c>
      <c r="CP3" t="e">
        <f>AND(Inputs!C22,"AAAAADZv810=")</f>
        <v>#VALUE!</v>
      </c>
      <c r="CQ3" t="e">
        <f>AND(Inputs!D22,"AAAAADZv814=")</f>
        <v>#VALUE!</v>
      </c>
      <c r="CR3" t="e">
        <f>AND(Inputs!E22,"AAAAADZv818=")</f>
        <v>#VALUE!</v>
      </c>
      <c r="CS3" t="e">
        <f>AND(Inputs!G22,"AAAAADZv82A=")</f>
        <v>#VALUE!</v>
      </c>
      <c r="CT3" t="e">
        <f>AND(Inputs!#REF!,"AAAAADZv82E=")</f>
        <v>#REF!</v>
      </c>
      <c r="CU3" t="e">
        <f>AND(Inputs!#REF!,"AAAAADZv82I=")</f>
        <v>#REF!</v>
      </c>
      <c r="CV3" t="e">
        <f>AND(Inputs!#REF!,"AAAAADZv82M=")</f>
        <v>#REF!</v>
      </c>
      <c r="CW3" t="e">
        <f>AND(Inputs!J22,"AAAAADZv82Q=")</f>
        <v>#VALUE!</v>
      </c>
      <c r="CX3" t="e">
        <f>AND(Inputs!K22,"AAAAADZv82U=")</f>
        <v>#VALUE!</v>
      </c>
      <c r="CY3" t="e">
        <f>AND(Inputs!L22,"AAAAADZv82Y=")</f>
        <v>#VALUE!</v>
      </c>
      <c r="CZ3" t="e">
        <f>AND(Inputs!M22,"AAAAADZv82c=")</f>
        <v>#VALUE!</v>
      </c>
      <c r="DA3">
        <f>IF(Inputs!24:24,"AAAAADZv82g=",0)</f>
        <v>0</v>
      </c>
      <c r="DB3" t="e">
        <f>AND(Inputs!A24,"AAAAADZv82k=")</f>
        <v>#VALUE!</v>
      </c>
      <c r="DC3" t="e">
        <f>AND(Inputs!B24,"AAAAADZv82o=")</f>
        <v>#VALUE!</v>
      </c>
      <c r="DD3" t="e">
        <f>AND(Inputs!C24,"AAAAADZv82s=")</f>
        <v>#VALUE!</v>
      </c>
      <c r="DE3" t="e">
        <f>AND(Inputs!D24,"AAAAADZv82w=")</f>
        <v>#VALUE!</v>
      </c>
      <c r="DF3" t="e">
        <f>AND(Inputs!E24,"AAAAADZv820=")</f>
        <v>#VALUE!</v>
      </c>
      <c r="DG3" t="e">
        <f>AND(Inputs!H22,"AAAAADZv824=")</f>
        <v>#VALUE!</v>
      </c>
      <c r="DH3" t="e">
        <f>AND(Inputs!I22,"AAAAADZv828=")</f>
        <v>#VALUE!</v>
      </c>
      <c r="DI3" t="e">
        <f>AND(Inputs!H24,"AAAAADZv83A=")</f>
        <v>#VALUE!</v>
      </c>
      <c r="DJ3" t="e">
        <f>AND(Inputs!I24,"AAAAADZv83E=")</f>
        <v>#VALUE!</v>
      </c>
      <c r="DK3" t="e">
        <f>AND(Inputs!J24,"AAAAADZv83I=")</f>
        <v>#VALUE!</v>
      </c>
      <c r="DL3" t="e">
        <f>AND(Inputs!K24,"AAAAADZv83M=")</f>
        <v>#VALUE!</v>
      </c>
      <c r="DM3" t="e">
        <f>AND(Inputs!L24,"AAAAADZv83Q=")</f>
        <v>#VALUE!</v>
      </c>
      <c r="DN3" t="e">
        <f>AND(Inputs!M24,"AAAAADZv83U=")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IF(Inputs!32:32,"AAAAADZv864=",0)</f>
        <v>0</v>
      </c>
      <c r="FT3" t="e">
        <f>AND(Inputs!A32,"AAAAADZv868=")</f>
        <v>#VALUE!</v>
      </c>
      <c r="FU3" t="e">
        <f>AND(Inputs!B32,"AAAAADZv87A=")</f>
        <v>#VALUE!</v>
      </c>
      <c r="FV3" t="e">
        <f>AND(Inputs!C32,"AAAAADZv87E=")</f>
        <v>#VALUE!</v>
      </c>
      <c r="FW3" t="e">
        <f>AND(Inputs!D32,"AAAAADZv87I=")</f>
        <v>#VALUE!</v>
      </c>
      <c r="FX3" t="e">
        <f>AND(Inputs!E32,"AAAAADZv87M=")</f>
        <v>#VALUE!</v>
      </c>
      <c r="FY3" t="e">
        <f>AND(Inputs!F32,"AAAAADZv87Q=")</f>
        <v>#VALUE!</v>
      </c>
      <c r="FZ3" t="e">
        <f>AND(Inputs!G32,"AAAAADZv87U=")</f>
        <v>#VALUE!</v>
      </c>
      <c r="GA3" t="e">
        <f>AND(Inputs!H32,"AAAAADZv87Y=")</f>
        <v>#VALUE!</v>
      </c>
      <c r="GB3" t="e">
        <f>AND(Inputs!I32,"AAAAADZv87c=")</f>
        <v>#VALUE!</v>
      </c>
      <c r="GC3" t="e">
        <f>AND(Inputs!J32,"AAAAADZv87g=")</f>
        <v>#VALUE!</v>
      </c>
      <c r="GD3" t="e">
        <f>AND(Inputs!K32,"AAAAADZv87k=")</f>
        <v>#VALUE!</v>
      </c>
      <c r="GE3" t="e">
        <f>AND(Inputs!L32,"AAAAADZv87o=")</f>
        <v>#VALUE!</v>
      </c>
      <c r="GF3" t="e">
        <f>AND(Inputs!M32,"AAAAADZv87s=")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f>IF(Inputs!33:33,"AAAAAHZt9sY=",0)</f>
        <v>0</v>
      </c>
      <c r="GR4" t="e">
        <f>AND(Inputs!A33,"AAAAAHZt9sc=")</f>
        <v>#VALUE!</v>
      </c>
      <c r="GS4" t="e">
        <f>AND(Inputs!B33,"AAAAAHZt9sg=")</f>
        <v>#VALUE!</v>
      </c>
      <c r="GT4" t="e">
        <f>AND(Inputs!C33,"AAAAAHZt9sk=")</f>
        <v>#VALUE!</v>
      </c>
      <c r="GU4" t="e">
        <f>AND(Inputs!D33,"AAAAAHZt9so=")</f>
        <v>#VALUE!</v>
      </c>
      <c r="GV4" t="e">
        <f>AND(Inputs!E33,"AAAAAHZt9ss=")</f>
        <v>#VALUE!</v>
      </c>
      <c r="GW4" t="e">
        <f>AND(Inputs!F33,"AAAAAHZt9sw=")</f>
        <v>#VALUE!</v>
      </c>
      <c r="GX4" t="e">
        <f>AND(Inputs!G33,"AAAAAHZt9s0=")</f>
        <v>#VALUE!</v>
      </c>
      <c r="GY4" t="e">
        <f>AND(Inputs!H33,"AAAAAHZt9s4=")</f>
        <v>#VALUE!</v>
      </c>
      <c r="GZ4" t="e">
        <f>AND(Inputs!I33,"AAAAAHZt9s8=")</f>
        <v>#VALUE!</v>
      </c>
      <c r="HA4" t="e">
        <f>AND(Inputs!J33,"AAAAAHZt9tA=")</f>
        <v>#VALUE!</v>
      </c>
      <c r="HB4" t="e">
        <f>AND(Inputs!K33,"AAAAAHZt9tE=")</f>
        <v>#VALUE!</v>
      </c>
      <c r="HC4" t="e">
        <f>AND(Inputs!L33,"AAAAAHZt9tI=")</f>
        <v>#VALUE!</v>
      </c>
      <c r="HD4" t="e">
        <f>AND(Inputs!M33,"AAAAAHZt9tM=")</f>
        <v>#VALUE!</v>
      </c>
      <c r="HE4">
        <f>IF(Inputs!34:34,"AAAAAHZt9tQ=",0)</f>
        <v>0</v>
      </c>
      <c r="HF4" t="e">
        <f>AND(Inputs!A34,"AAAAAHZt9tU=")</f>
        <v>#VALUE!</v>
      </c>
      <c r="HG4" t="e">
        <f>AND(Inputs!B34,"AAAAAHZt9tY=")</f>
        <v>#VALUE!</v>
      </c>
      <c r="HH4" t="e">
        <f>AND(Inputs!C34,"AAAAAHZt9tc=")</f>
        <v>#VALUE!</v>
      </c>
      <c r="HI4" t="e">
        <f>AND(Inputs!D34,"AAAAAHZt9tg=")</f>
        <v>#VALUE!</v>
      </c>
      <c r="HJ4" t="e">
        <f>AND(Inputs!E34,"AAAAAHZt9tk=")</f>
        <v>#VALUE!</v>
      </c>
      <c r="HK4" t="e">
        <f>AND(Inputs!F34,"AAAAAHZt9to=")</f>
        <v>#VALUE!</v>
      </c>
      <c r="HL4" t="e">
        <f>AND(Inputs!G34,"AAAAAHZt9ts=")</f>
        <v>#VALUE!</v>
      </c>
      <c r="HM4" t="e">
        <f>AND(Inputs!H34,"AAAAAHZt9tw=")</f>
        <v>#VALUE!</v>
      </c>
      <c r="HN4" t="e">
        <f>AND(Inputs!I34,"AAAAAHZt9t0=")</f>
        <v>#VALUE!</v>
      </c>
      <c r="HO4" t="e">
        <f>AND(Inputs!J34,"AAAAAHZt9t4=")</f>
        <v>#VALUE!</v>
      </c>
      <c r="HP4" t="e">
        <f>AND(Inputs!K34,"AAAAAHZt9t8=")</f>
        <v>#VALUE!</v>
      </c>
      <c r="HQ4" t="e">
        <f>AND(Inputs!L34,"AAAAAHZt9uA=")</f>
        <v>#VALUE!</v>
      </c>
      <c r="HR4" t="e">
        <f>AND(Inputs!M34,"AAAAAHZt9uE=")</f>
        <v>#VALUE!</v>
      </c>
      <c r="HS4">
        <f>IF(Inputs!35:35,"AAAAAHZt9uI=",0)</f>
        <v>0</v>
      </c>
      <c r="HT4" t="e">
        <f>AND(Inputs!A35,"AAAAAHZt9uM=")</f>
        <v>#VALUE!</v>
      </c>
      <c r="HU4" t="e">
        <f>AND(Inputs!B35,"AAAAAHZt9uQ=")</f>
        <v>#VALUE!</v>
      </c>
      <c r="HV4" t="e">
        <f>AND(Inputs!C35,"AAAAAHZt9uU=")</f>
        <v>#VALUE!</v>
      </c>
      <c r="HW4" t="e">
        <f>AND(Inputs!D35,"AAAAAHZt9uY=")</f>
        <v>#VALUE!</v>
      </c>
      <c r="HX4" t="e">
        <f>AND(Inputs!E35,"AAAAAHZt9uc=")</f>
        <v>#VALUE!</v>
      </c>
      <c r="HY4" t="e">
        <f>AND(Inputs!F35,"AAAAAHZt9ug=")</f>
        <v>#VALUE!</v>
      </c>
      <c r="HZ4" t="e">
        <f>AND(Inputs!G35,"AAAAAHZt9uk=")</f>
        <v>#VALUE!</v>
      </c>
      <c r="IA4" t="e">
        <f>AND(Inputs!H35,"AAAAAHZt9uo=")</f>
        <v>#VALUE!</v>
      </c>
      <c r="IB4" t="e">
        <f>AND(Inputs!I35,"AAAAAHZt9us=")</f>
        <v>#VALUE!</v>
      </c>
      <c r="IC4" t="e">
        <f>AND(Inputs!J35,"AAAAAHZt9uw=")</f>
        <v>#VALUE!</v>
      </c>
      <c r="ID4" t="e">
        <f>AND(Inputs!K35,"AAAAAHZt9u0=")</f>
        <v>#VALUE!</v>
      </c>
      <c r="IE4" t="e">
        <f>AND(Inputs!L35,"AAAAAHZt9u4=")</f>
        <v>#VALUE!</v>
      </c>
      <c r="IF4" t="e">
        <f>AND(Inputs!M35,"AAAAAHZt9u8=")</f>
        <v>#VALUE!</v>
      </c>
      <c r="IG4">
        <f>IF(Inputs!36:36,"AAAAAHZt9vA=",0)</f>
        <v>0</v>
      </c>
      <c r="IH4" t="e">
        <f>AND(Inputs!A36,"AAAAAHZt9vE=")</f>
        <v>#VALUE!</v>
      </c>
      <c r="II4" t="e">
        <f>AND(Inputs!B36,"AAAAAHZt9vI=")</f>
        <v>#VALUE!</v>
      </c>
      <c r="IJ4" t="e">
        <f>AND(Inputs!C36,"AAAAAHZt9vM=")</f>
        <v>#VALUE!</v>
      </c>
      <c r="IK4" t="e">
        <f>AND(Inputs!D36,"AAAAAHZt9vQ=")</f>
        <v>#VALUE!</v>
      </c>
      <c r="IL4" t="e">
        <f>AND(Inputs!E36,"AAAAAHZt9vU=")</f>
        <v>#VALUE!</v>
      </c>
      <c r="IM4" t="e">
        <f>AND(Inputs!F36,"AAAAAHZt9vY=")</f>
        <v>#VALUE!</v>
      </c>
      <c r="IN4" t="e">
        <f>AND(Inputs!G36,"AAAAAHZt9vc=")</f>
        <v>#VALUE!</v>
      </c>
      <c r="IO4" t="e">
        <f>AND(Inputs!H36,"AAAAAHZt9vg=")</f>
        <v>#VALUE!</v>
      </c>
      <c r="IP4" t="e">
        <f>AND(Inputs!I36,"AAAAAHZt9vk=")</f>
        <v>#VALUE!</v>
      </c>
      <c r="IQ4" t="e">
        <f>AND(Inputs!J36,"AAAAAHZt9vo=")</f>
        <v>#VALUE!</v>
      </c>
      <c r="IR4" t="e">
        <f>AND(Inputs!K36,"AAAAAHZt9vs=")</f>
        <v>#VALUE!</v>
      </c>
      <c r="IS4" t="e">
        <f>AND(Inputs!L36,"AAAAAHZt9vw=")</f>
        <v>#VALUE!</v>
      </c>
      <c r="IT4" t="e">
        <f>AND(Inputs!M36,"AAAAAHZt9v0=")</f>
        <v>#VALUE!</v>
      </c>
      <c r="IU4">
        <f>IF(Inputs!37:37,"AAAAAHZt9v4=",0)</f>
        <v>0</v>
      </c>
      <c r="IV4" t="e">
        <f>AND(Inputs!A37,"AAAAAHZt9v8=")</f>
        <v>#VALUE!</v>
      </c>
    </row>
    <row r="5" spans="1:256" x14ac:dyDescent="0.2">
      <c r="A5" t="e">
        <f>AND(Inputs!B37,"AAAAAH9/rwA=")</f>
        <v>#VALUE!</v>
      </c>
      <c r="B5" t="e">
        <f>AND(Inputs!C37,"AAAAAH9/rwE=")</f>
        <v>#VALUE!</v>
      </c>
      <c r="C5" t="e">
        <f>AND(Inputs!D37,"AAAAAH9/rwI=")</f>
        <v>#VALUE!</v>
      </c>
      <c r="D5" t="e">
        <f>AND(Inputs!E37,"AAAAAH9/rwM=")</f>
        <v>#VALUE!</v>
      </c>
      <c r="E5" t="e">
        <f>AND(Inputs!F37,"AAAAAH9/rwQ=")</f>
        <v>#VALUE!</v>
      </c>
      <c r="F5" t="e">
        <f>AND(Inputs!G37,"AAAAAH9/rwU=")</f>
        <v>#VALUE!</v>
      </c>
      <c r="G5" t="e">
        <f>AND(Inputs!H37,"AAAAAH9/rwY=")</f>
        <v>#VALUE!</v>
      </c>
      <c r="H5" t="e">
        <f>AND(Inputs!I37,"AAAAAH9/rwc=")</f>
        <v>#VALUE!</v>
      </c>
      <c r="I5" t="e">
        <f>AND(Inputs!J37,"AAAAAH9/rwg=")</f>
        <v>#VALUE!</v>
      </c>
      <c r="J5" t="e">
        <f>AND(Inputs!K37,"AAAAAH9/rwk=")</f>
        <v>#VALUE!</v>
      </c>
      <c r="K5" t="e">
        <f>AND(Inputs!L37,"AAAAAH9/rwo=")</f>
        <v>#VALUE!</v>
      </c>
      <c r="L5" t="e">
        <f>AND(Inputs!M37,"AAAAAH9/rws=")</f>
        <v>#VALUE!</v>
      </c>
      <c r="M5">
        <f>IF(Inputs!38:38,"AAAAAH9/rww=",0)</f>
        <v>0</v>
      </c>
      <c r="N5" t="e">
        <f>AND(Inputs!#REF!,"AAAAAH9/rw0=")</f>
        <v>#REF!</v>
      </c>
      <c r="O5" t="e">
        <f>AND(Inputs!#REF!,"AAAAAH9/rw4=")</f>
        <v>#REF!</v>
      </c>
      <c r="P5" t="e">
        <f>AND(Inputs!#REF!,"AAAAAH9/rw8=")</f>
        <v>#REF!</v>
      </c>
      <c r="Q5" t="e">
        <f>AND(Inputs!#REF!,"AAAAAH9/rxA=")</f>
        <v>#REF!</v>
      </c>
      <c r="R5" t="e">
        <f>AND(Inputs!#REF!,"AAAAAH9/rxE=")</f>
        <v>#REF!</v>
      </c>
      <c r="S5" t="e">
        <f>AND(Inputs!A38,"AAAAAH9/rxI=")</f>
        <v>#VALUE!</v>
      </c>
      <c r="T5" t="e">
        <f>AND(Inputs!B38,"AAAAAH9/rxM=")</f>
        <v>#VALUE!</v>
      </c>
      <c r="U5" t="e">
        <f>AND(Inputs!C38,"AAAAAH9/rxQ=")</f>
        <v>#VALUE!</v>
      </c>
      <c r="V5" t="e">
        <f>AND(Inputs!D38,"AAAAAH9/rxU=")</f>
        <v>#VALUE!</v>
      </c>
      <c r="W5" t="e">
        <f>AND(Inputs!E38,"AAAAAH9/rxY=")</f>
        <v>#VALUE!</v>
      </c>
      <c r="X5" t="e">
        <f>AND(Inputs!F38,"AAAAAH9/rxc=")</f>
        <v>#VALUE!</v>
      </c>
      <c r="Y5" t="e">
        <f>AND(Inputs!G38,"AAAAAH9/rxg=")</f>
        <v>#VALUE!</v>
      </c>
      <c r="Z5" t="e">
        <f>AND(Inputs!H38,"AAAAAH9/rxk=")</f>
        <v>#VALUE!</v>
      </c>
      <c r="AA5">
        <f>IF(Inputs!39:39,"AAAAAH9/rxo=",0)</f>
        <v>0</v>
      </c>
      <c r="AB5" t="e">
        <f>AND(Inputs!#REF!,"AAAAAH9/rxs=")</f>
        <v>#REF!</v>
      </c>
      <c r="AC5" t="e">
        <f>AND(Inputs!#REF!,"AAAAAH9/rxw=")</f>
        <v>#REF!</v>
      </c>
      <c r="AD5" t="e">
        <f>AND(Inputs!#REF!,"AAAAAH9/rx0=")</f>
        <v>#REF!</v>
      </c>
      <c r="AE5" t="e">
        <f>AND(Inputs!#REF!,"AAAAAH9/rx4=")</f>
        <v>#REF!</v>
      </c>
      <c r="AF5" t="e">
        <f>AND(Inputs!#REF!,"AAAAAH9/rx8=")</f>
        <v>#REF!</v>
      </c>
      <c r="AG5" t="e">
        <f>AND(Inputs!A39,"AAAAAH9/ryA=")</f>
        <v>#VALUE!</v>
      </c>
      <c r="AH5" t="e">
        <f>AND(Inputs!B39,"AAAAAH9/ryE=")</f>
        <v>#VALUE!</v>
      </c>
      <c r="AI5" t="e">
        <f>AND(Inputs!C39,"AAAAAH9/ryI=")</f>
        <v>#VALUE!</v>
      </c>
      <c r="AJ5" t="e">
        <f>AND(Inputs!D39,"AAAAAH9/ryM=")</f>
        <v>#VALUE!</v>
      </c>
      <c r="AK5" t="e">
        <f>AND(Inputs!E39,"AAAAAH9/ryQ=")</f>
        <v>#VALUE!</v>
      </c>
      <c r="AL5" t="e">
        <f>AND(Inputs!F39,"AAAAAH9/ryU=")</f>
        <v>#VALUE!</v>
      </c>
      <c r="AM5" t="e">
        <f>AND(Inputs!G39,"AAAAAH9/ryY=")</f>
        <v>#VALUE!</v>
      </c>
      <c r="AN5" t="e">
        <f>AND(Inputs!H39,"AAAAAH9/ryc=")</f>
        <v>#VALUE!</v>
      </c>
      <c r="AO5">
        <f>IF(Inputs!40:40,"AAAAAH9/ryg=",0)</f>
        <v>0</v>
      </c>
      <c r="AP5" t="e">
        <f>AND(Inputs!#REF!,"AAAAAH9/ryk=")</f>
        <v>#REF!</v>
      </c>
      <c r="AQ5" t="e">
        <f>AND(Inputs!#REF!,"AAAAAH9/ryo=")</f>
        <v>#REF!</v>
      </c>
      <c r="AR5" t="e">
        <f>AND(Inputs!#REF!,"AAAAAH9/rys=")</f>
        <v>#REF!</v>
      </c>
      <c r="AS5" t="e">
        <f>AND(Inputs!#REF!,"AAAAAH9/ryw=")</f>
        <v>#REF!</v>
      </c>
      <c r="AT5" t="e">
        <f>AND(Inputs!#REF!,"AAAAAH9/ry0=")</f>
        <v>#REF!</v>
      </c>
      <c r="AU5" t="e">
        <f>AND(Inputs!A40,"AAAAAH9/ry4=")</f>
        <v>#VALUE!</v>
      </c>
      <c r="AV5" t="e">
        <f>AND(Inputs!B40,"AAAAAH9/ry8=")</f>
        <v>#VALUE!</v>
      </c>
      <c r="AW5" t="e">
        <f>AND(Inputs!C40,"AAAAAH9/rzA=")</f>
        <v>#VALUE!</v>
      </c>
      <c r="AX5" t="e">
        <f>AND(Inputs!D40,"AAAAAH9/rzE=")</f>
        <v>#VALUE!</v>
      </c>
      <c r="AY5" t="e">
        <f>AND(Inputs!E40,"AAAAAH9/rzI=")</f>
        <v>#VALUE!</v>
      </c>
      <c r="AZ5" t="e">
        <f>AND(Inputs!F40,"AAAAAH9/rzM=")</f>
        <v>#VALUE!</v>
      </c>
      <c r="BA5" t="e">
        <f>AND(Inputs!G40,"AAAAAH9/rzQ=")</f>
        <v>#VALUE!</v>
      </c>
      <c r="BB5" t="e">
        <f>AND(Inputs!H40,"AAAAAH9/rzU=")</f>
        <v>#VALUE!</v>
      </c>
      <c r="BC5">
        <f>IF(Inputs!41:41,"AAAAAH9/rzY=",0)</f>
        <v>0</v>
      </c>
      <c r="BD5" t="e">
        <f>AND(Inputs!#REF!,"AAAAAH9/rzc=")</f>
        <v>#REF!</v>
      </c>
      <c r="BE5" t="e">
        <f>AND(Inputs!#REF!,"AAAAAH9/rzg=")</f>
        <v>#REF!</v>
      </c>
      <c r="BF5" t="e">
        <f>AND(Inputs!#REF!,"AAAAAH9/rzk=")</f>
        <v>#REF!</v>
      </c>
      <c r="BG5" t="e">
        <f>AND(Inputs!#REF!,"AAAAAH9/rzo=")</f>
        <v>#REF!</v>
      </c>
      <c r="BH5" t="e">
        <f>AND(Inputs!#REF!,"AAAAAH9/rzs=")</f>
        <v>#REF!</v>
      </c>
      <c r="BI5" t="e">
        <f>AND(Inputs!A41,"AAAAAH9/rzw=")</f>
        <v>#VALUE!</v>
      </c>
      <c r="BJ5" t="e">
        <f>AND(Inputs!B41,"AAAAAH9/rz0=")</f>
        <v>#VALUE!</v>
      </c>
      <c r="BK5" t="e">
        <f>AND(Inputs!C41,"AAAAAH9/rz4=")</f>
        <v>#VALUE!</v>
      </c>
      <c r="BL5" t="e">
        <f>AND(Inputs!D41,"AAAAAH9/rz8=")</f>
        <v>#VALUE!</v>
      </c>
      <c r="BM5" t="e">
        <f>AND(Inputs!E41,"AAAAAH9/r0A=")</f>
        <v>#VALUE!</v>
      </c>
      <c r="BN5" t="e">
        <f>AND(Inputs!F41,"AAAAAH9/r0E=")</f>
        <v>#VALUE!</v>
      </c>
      <c r="BO5" t="e">
        <f>AND(Inputs!G41,"AAAAAH9/r0I=")</f>
        <v>#VALUE!</v>
      </c>
      <c r="BP5" t="e">
        <f>AND(Inputs!H41,"AAAAAH9/r0M=")</f>
        <v>#VALUE!</v>
      </c>
      <c r="BQ5">
        <f>IF(Inputs!42:42,"AAAAAH9/r0Q=",0)</f>
        <v>0</v>
      </c>
      <c r="BR5" t="e">
        <f>AND(Inputs!#REF!,"AAAAAH9/r0U=")</f>
        <v>#REF!</v>
      </c>
      <c r="BS5" t="e">
        <f>AND(Inputs!#REF!,"AAAAAH9/r0Y=")</f>
        <v>#REF!</v>
      </c>
      <c r="BT5" t="e">
        <f>AND(Inputs!#REF!,"AAAAAH9/r0c=")</f>
        <v>#REF!</v>
      </c>
      <c r="BU5" t="e">
        <f>AND(Inputs!#REF!,"AAAAAH9/r0g=")</f>
        <v>#REF!</v>
      </c>
      <c r="BV5" t="e">
        <f>AND(Inputs!#REF!,"AAAAAH9/r0k=")</f>
        <v>#REF!</v>
      </c>
      <c r="BW5" t="e">
        <f>AND(Inputs!A42,"AAAAAH9/r0o=")</f>
        <v>#VALUE!</v>
      </c>
      <c r="BX5" t="e">
        <f>AND(Inputs!B42,"AAAAAH9/r0s=")</f>
        <v>#VALUE!</v>
      </c>
      <c r="BY5" t="e">
        <f>AND(Inputs!C42,"AAAAAH9/r0w=")</f>
        <v>#VALUE!</v>
      </c>
      <c r="BZ5" t="e">
        <f>AND(Inputs!D42,"AAAAAH9/r00=")</f>
        <v>#VALUE!</v>
      </c>
      <c r="CA5" t="e">
        <f>AND(Inputs!E42,"AAAAAH9/r04=")</f>
        <v>#VALUE!</v>
      </c>
      <c r="CB5" t="e">
        <f>AND(Inputs!F42,"AAAAAH9/r08=")</f>
        <v>#VALUE!</v>
      </c>
      <c r="CC5" t="e">
        <f>AND(Inputs!G42,"AAAAAH9/r1A=")</f>
        <v>#VALUE!</v>
      </c>
      <c r="CD5" t="e">
        <f>AND(Inputs!H42,"AAAAAH9/r1E=")</f>
        <v>#VALUE!</v>
      </c>
      <c r="CE5">
        <f>IF(Inputs!43:43,"AAAAAH9/r1I=",0)</f>
        <v>0</v>
      </c>
      <c r="CF5" t="e">
        <f>AND(Inputs!#REF!,"AAAAAH9/r1M=")</f>
        <v>#REF!</v>
      </c>
      <c r="CG5" t="e">
        <f>AND(Inputs!#REF!,"AAAAAH9/r1Q=")</f>
        <v>#REF!</v>
      </c>
      <c r="CH5" t="e">
        <f>AND(Inputs!#REF!,"AAAAAH9/r1U=")</f>
        <v>#REF!</v>
      </c>
      <c r="CI5" t="e">
        <f>AND(Inputs!#REF!,"AAAAAH9/r1Y=")</f>
        <v>#REF!</v>
      </c>
      <c r="CJ5" t="e">
        <f>AND(Inputs!#REF!,"AAAAAH9/r1c=")</f>
        <v>#REF!</v>
      </c>
      <c r="CK5" t="e">
        <f>AND(Inputs!A43,"AAAAAH9/r1g=")</f>
        <v>#VALUE!</v>
      </c>
      <c r="CL5" t="e">
        <f>AND(Inputs!B43,"AAAAAH9/r1k=")</f>
        <v>#VALUE!</v>
      </c>
      <c r="CM5" t="e">
        <f>AND(Inputs!C43,"AAAAAH9/r1o=")</f>
        <v>#VALUE!</v>
      </c>
      <c r="CN5" t="e">
        <f>AND(Inputs!D43,"AAAAAH9/r1s=")</f>
        <v>#VALUE!</v>
      </c>
      <c r="CO5" t="e">
        <f>AND(Inputs!E43,"AAAAAH9/r1w=")</f>
        <v>#VALUE!</v>
      </c>
      <c r="CP5" t="e">
        <f>AND(Inputs!F43,"AAAAAH9/r10=")</f>
        <v>#VALUE!</v>
      </c>
      <c r="CQ5" t="e">
        <f>AND(Inputs!G43,"AAAAAH9/r14=")</f>
        <v>#VALUE!</v>
      </c>
      <c r="CR5" t="e">
        <f>AND(Inputs!H43,"AAAAAH9/r18=")</f>
        <v>#VALUE!</v>
      </c>
      <c r="CS5">
        <f>IF(Inputs!44:44,"AAAAAH9/r2A=",0)</f>
        <v>0</v>
      </c>
      <c r="CT5" t="e">
        <f>IF(Inputs!A:A,"AAAAAH9/r2E=",0)</f>
        <v>#VALUE!</v>
      </c>
      <c r="CU5">
        <f>IF(Inputs!B:B,"AAAAAH9/r2I=",0)</f>
        <v>0</v>
      </c>
      <c r="CV5">
        <f>IF(Inputs!C:C,"AAAAAH9/r2M=",0)</f>
        <v>0</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AND(Output!K1,"AAAAAH9/r3c=")</f>
        <v>#VALUE!</v>
      </c>
      <c r="DQ5" t="e">
        <f>AND(Output!L1,"AAAAAH9/r3g=")</f>
        <v>#VALUE!</v>
      </c>
      <c r="DR5" t="e">
        <f>AND(Output!M1,"AAAAAH9/r3k=")</f>
        <v>#VALUE!</v>
      </c>
      <c r="DS5" t="e">
        <f>AND(Output!N1,"AAAAAH9/r3o=")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AND(Output!K2,"AAAAAH9/r4Q=")</f>
        <v>#VALUE!</v>
      </c>
      <c r="ED5" t="e">
        <f>AND(Output!L2,"AAAAAH9/r4U=")</f>
        <v>#VALUE!</v>
      </c>
      <c r="EE5" t="e">
        <f>AND(Output!M2,"AAAAAH9/r4Y=")</f>
        <v>#VALUE!</v>
      </c>
      <c r="EF5" t="e">
        <f>AND(Output!N2,"AAAAAH9/r4c=")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IF(Output!5:5,"AAAAAH9/r5U=",0)</f>
        <v>0</v>
      </c>
      <c r="EU5" t="e">
        <f>AND(Output!A5,"AAAAAH9/r5Y=")</f>
        <v>#VALUE!</v>
      </c>
      <c r="EV5" t="e">
        <f>AND(Output!B5,"AAAAAH9/r5c=")</f>
        <v>#VALUE!</v>
      </c>
      <c r="EW5" t="e">
        <f>AND(Output!C5,"AAAAAH9/r5g=")</f>
        <v>#VALUE!</v>
      </c>
      <c r="EX5" t="e">
        <f>AND(Output!D5,"AAAAAH9/r5k=")</f>
        <v>#VALUE!</v>
      </c>
      <c r="EY5" t="e">
        <f>AND(Output!E5,"AAAAAH9/r5o=")</f>
        <v>#VALUE!</v>
      </c>
      <c r="EZ5" t="e">
        <f>AND(Output!F5,"AAAAAH9/r5s=")</f>
        <v>#VALUE!</v>
      </c>
      <c r="FA5" t="e">
        <f>AND(Output!G5,"AAAAAH9/r5w=")</f>
        <v>#VALUE!</v>
      </c>
      <c r="FB5" t="e">
        <f>AND(Output!H5,"AAAAAH9/r50=")</f>
        <v>#VALUE!</v>
      </c>
      <c r="FC5" t="e">
        <f>AND(Output!K5,"AAAAAH9/r54=")</f>
        <v>#VALUE!</v>
      </c>
      <c r="FD5" t="e">
        <f>AND(Output!L5,"AAAAAH9/r58=")</f>
        <v>#VALUE!</v>
      </c>
      <c r="FE5" t="e">
        <f>AND(Output!M5,"AAAAAH9/r6A=")</f>
        <v>#VALUE!</v>
      </c>
      <c r="FF5" t="e">
        <f>AND(Output!N5,"AAAAAH9/r6E=")</f>
        <v>#VALUE!</v>
      </c>
      <c r="FG5">
        <f>IF(Output!6:6,"AAAAAH9/r6I=",0)</f>
        <v>0</v>
      </c>
      <c r="FH5" t="e">
        <f>AND(Output!A6,"AAAAAH9/r6M=")</f>
        <v>#VALUE!</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AND(Output!H6,"AAAAAH9/r6w=")</f>
        <v>#VALUE!</v>
      </c>
      <c r="FR5" t="e">
        <f>AND(Output!K6,"AAAAAH9/r60=")</f>
        <v>#VALUE!</v>
      </c>
      <c r="FS5" t="e">
        <f>AND(Output!L6,"AAAAAH9/r64=")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AND(Output!K9,"AAAAAH9/r7o=")</f>
        <v>#VALUE!</v>
      </c>
      <c r="GF5" t="e">
        <f>AND(Output!L9,"AAAAAH9/r7s=")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f>IF(Output!10:10,"AAAAAH9/ez4=",0)</f>
        <v>0</v>
      </c>
      <c r="BL6" t="e">
        <f>AND(Output!A10,"AAAAAH9/ez8=")</f>
        <v>#VALUE!</v>
      </c>
      <c r="BM6" t="e">
        <f>AND(Output!B10,"AAAAAH9/e0A=")</f>
        <v>#VALUE!</v>
      </c>
      <c r="BN6" t="e">
        <f>AND(Output!#REF!,"AAAAAH9/e0E=")</f>
        <v>#REF!</v>
      </c>
      <c r="BO6" t="e">
        <f>AND(Output!#REF!,"AAAAAH9/e0I=")</f>
        <v>#REF!</v>
      </c>
      <c r="BP6" t="e">
        <f>AND(Output!C10,"AAAAAH9/e0M=")</f>
        <v>#VALUE!</v>
      </c>
      <c r="BQ6" t="e">
        <f>AND(Output!D10,"AAAAAH9/e0Q=")</f>
        <v>#VALUE!</v>
      </c>
      <c r="BR6" t="e">
        <f>AND(Output!E10,"AAAAAH9/e0U=")</f>
        <v>#VALUE!</v>
      </c>
      <c r="BS6" t="e">
        <f>AND(Output!F10,"AAAAAH9/e0Y=")</f>
        <v>#VALUE!</v>
      </c>
      <c r="BT6" t="e">
        <f>AND(Output!G10,"AAAAAH9/e0c=")</f>
        <v>#VALUE!</v>
      </c>
      <c r="BU6" t="e">
        <f>AND(Output!H10,"AAAAAH9/e0g=")</f>
        <v>#VALUE!</v>
      </c>
      <c r="BV6" t="e">
        <f>AND(Output!K10,"AAAAAH9/e0k=")</f>
        <v>#VALUE!</v>
      </c>
      <c r="BW6" t="e">
        <f>AND(Output!L10,"AAAAAH9/e0o=")</f>
        <v>#VALUE!</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str">
        <f>IF(Output!D:D,"AAAAAH3//wA=",0)</f>
        <v>AAAAAH3//wA=</v>
      </c>
      <c r="B9" t="e">
        <f>IF(Output!E:E,"AAAAAH3//wE=",0)</f>
        <v>#VALUE!</v>
      </c>
      <c r="C9" t="e">
        <f>IF(Output!F:F,"AAAAAH3//wI=",0)</f>
        <v>#VALUE!</v>
      </c>
      <c r="D9" t="e">
        <f>IF(Output!G:G,"AAAAAH3//wM=",0)</f>
        <v>#VALUE!</v>
      </c>
      <c r="E9" t="e">
        <f>IF(Output!H:H,"AAAAAH3//wQ=",0)</f>
        <v>#VALUE!</v>
      </c>
      <c r="F9" t="e">
        <f>IF(Output!K:K,"AAAAAH3//wU=",0)</f>
        <v>#VALUE!</v>
      </c>
      <c r="G9">
        <f>IF(Output!L:L,"AAAAAH3//wY=",0)</f>
        <v>0</v>
      </c>
      <c r="H9">
        <f>IF(Output!M:M,"AAAAAH3//wc=",0)</f>
        <v>0</v>
      </c>
      <c r="I9">
        <f>IF(Output!N:N,"AAAAAH3//wg=",0)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Heater'!#REF!,"AAAAAGvv7mw=")</f>
        <v>#REF!</v>
      </c>
      <c r="DF25" t="e">
        <f>AND('Auxiliary Heater'!A3,"AAAAAGvv7m0=")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Heater'!5:5,"AAAAAGvv7ns=",0)</f>
        <v>0</v>
      </c>
      <c r="DU25" t="e">
        <f>AND('Auxiliary Heater'!A5,"AAAAAGvv7nw=")</f>
        <v>#VALUE!</v>
      </c>
      <c r="DV25" t="e">
        <f>AND('Auxiliary Heater'!B5,"AAAAAGvv7n0=")</f>
        <v>#VALUE!</v>
      </c>
      <c r="DW25" t="e">
        <f>AND('Auxiliary Heater'!C5,"AAAAAGvv7n4=")</f>
        <v>#VALUE!</v>
      </c>
      <c r="DX25" t="e">
        <f>AND('Auxiliary Heater'!D5,"AAAAAGvv7n8=")</f>
        <v>#VALUE!</v>
      </c>
      <c r="DY25" t="e">
        <f>AND('Auxiliary Heater'!E5,"AAAAAGvv7oA=")</f>
        <v>#VALUE!</v>
      </c>
      <c r="DZ25" t="e">
        <f>AND('Auxiliary Heater'!F5,"AAAAAGvv7oE=")</f>
        <v>#VALUE!</v>
      </c>
      <c r="EA25" t="e">
        <f>AND('Auxiliary Heater'!G5,"AAAAAGvv7oI=")</f>
        <v>#VALUE!</v>
      </c>
      <c r="EB25" t="e">
        <f>AND('Auxiliary Heater'!H5,"AAAAAGvv7oM=")</f>
        <v>#VALUE!</v>
      </c>
      <c r="EC25" t="e">
        <f>AND('Auxiliary Heater'!I6,"AAAAAGvv7oQ=")</f>
        <v>#VALUE!</v>
      </c>
      <c r="ED25" t="e">
        <f>AND('Auxiliary Heater'!J5,"AAAAAGvv7oU=")</f>
        <v>#VALUE!</v>
      </c>
      <c r="EE25" t="e">
        <f>AND('Auxiliary Heater'!K5,"AAAAAGvv7oY=")</f>
        <v>#VALUE!</v>
      </c>
      <c r="EF25" t="e">
        <f>AND('Auxiliary Heater'!L5,"AAAAAGvv7oc=")</f>
        <v>#VALUE!</v>
      </c>
      <c r="EG25" t="e">
        <f>AND('Auxiliary Heater'!M5,"AAAAAGvv7og=")</f>
        <v>#VALUE!</v>
      </c>
      <c r="EH25" t="e">
        <f>AND('Auxiliary Heater'!N5,"AAAAAGvv7ok=")</f>
        <v>#VALUE!</v>
      </c>
      <c r="EI25" t="e">
        <f>AND('Auxiliary Heater'!O5,"AAAAAGvv7oo=")</f>
        <v>#VALUE!</v>
      </c>
      <c r="EJ25">
        <f>IF('Auxiliary Heater'!6:6,"AAAAAGvv7os=",0)</f>
        <v>0</v>
      </c>
      <c r="EK25" t="e">
        <f>AND('Auxiliary Heater'!A6,"AAAAAGvv7ow=")</f>
        <v>#VALUE!</v>
      </c>
      <c r="EL25" t="e">
        <f>AND('Auxiliary Heater'!B6,"AAAAAGvv7o0=")</f>
        <v>#VALUE!</v>
      </c>
      <c r="EM25" t="e">
        <f>AND('Auxiliary Heater'!C6,"AAAAAGvv7o4=")</f>
        <v>#VALUE!</v>
      </c>
      <c r="EN25" t="e">
        <f>AND('Auxiliary Heater'!D6,"AAAAAGvv7o8=")</f>
        <v>#VALUE!</v>
      </c>
      <c r="EO25" t="e">
        <f>AND('Auxiliary Heater'!E6,"AAAAAGvv7pA=")</f>
        <v>#VALUE!</v>
      </c>
      <c r="EP25" t="e">
        <f>AND('Auxiliary Heater'!F6,"AAAAAGvv7pE=")</f>
        <v>#VALUE!</v>
      </c>
      <c r="EQ25" t="e">
        <f>AND('Auxiliary Heater'!G6,"AAAAAGvv7pI=")</f>
        <v>#VALUE!</v>
      </c>
      <c r="ER25" t="e">
        <f>AND('Auxiliary Heater'!H6,"AAAAAGvv7pM=")</f>
        <v>#VALUE!</v>
      </c>
      <c r="ES25" t="e">
        <f>AND('Auxiliary Heater'!I7,"AAAAAGvv7pQ=")</f>
        <v>#VALUE!</v>
      </c>
      <c r="ET25" t="e">
        <f>AND('Auxiliary Heater'!J6,"AAAAAGvv7pU=")</f>
        <v>#VALUE!</v>
      </c>
      <c r="EU25" t="e">
        <f>AND('Auxiliary Heater'!K6,"AAAAAGvv7pY=")</f>
        <v>#VALUE!</v>
      </c>
      <c r="EV25" t="e">
        <f>AND('Auxiliary Heater'!L6,"AAAAAGvv7pc=")</f>
        <v>#VALUE!</v>
      </c>
      <c r="EW25" t="e">
        <f>AND('Auxiliary Heater'!M6,"AAAAAGvv7pg=")</f>
        <v>#VALUE!</v>
      </c>
      <c r="EX25" t="e">
        <f>AND('Auxiliary Heater'!N6,"AAAAAGvv7pk=")</f>
        <v>#VALUE!</v>
      </c>
      <c r="EY25" t="e">
        <f>AND('Auxiliary Heater'!O6,"AAAAAGvv7po=")</f>
        <v>#VALUE!</v>
      </c>
      <c r="EZ25">
        <f>IF('Auxiliary Heater'!7:7,"AAAAAGvv7ps=",0)</f>
        <v>0</v>
      </c>
      <c r="FA25" t="e">
        <f>AND('Auxiliary Heater'!A7,"AAAAAGvv7pw=")</f>
        <v>#VALUE!</v>
      </c>
      <c r="FB25" t="e">
        <f>AND('Auxiliary Heater'!B7,"AAAAAGvv7p0=")</f>
        <v>#VALUE!</v>
      </c>
      <c r="FC25" t="e">
        <f>AND('Auxiliary Heater'!C7,"AAAAAGvv7p4=")</f>
        <v>#VALUE!</v>
      </c>
      <c r="FD25" t="e">
        <f>AND('Auxiliary Heater'!D7,"AAAAAGvv7p8=")</f>
        <v>#VALUE!</v>
      </c>
      <c r="FE25" t="e">
        <f>AND('Auxiliary Heater'!E7,"AAAAAGvv7qA=")</f>
        <v>#VALUE!</v>
      </c>
      <c r="FF25" t="e">
        <f>AND('Auxiliary Heater'!F7,"AAAAAGvv7qE=")</f>
        <v>#VALUE!</v>
      </c>
      <c r="FG25" t="e">
        <f>AND('Auxiliary Heater'!G7,"AAAAAGvv7qI=")</f>
        <v>#VALUE!</v>
      </c>
      <c r="FH25" t="e">
        <f>AND('Auxiliary Heater'!H7,"AAAAAGvv7qM=")</f>
        <v>#VALUE!</v>
      </c>
      <c r="FI25" t="e">
        <f>AND('Auxiliary Heater'!#REF!,"AAAAAGvv7qQ=")</f>
        <v>#REF!</v>
      </c>
      <c r="FJ25" t="e">
        <f>AND('Auxiliary Heater'!J7,"AAAAAGvv7qU=")</f>
        <v>#VALUE!</v>
      </c>
      <c r="FK25" t="e">
        <f>AND('Auxiliary Heater'!K7,"AAAAAGvv7qY=")</f>
        <v>#VALUE!</v>
      </c>
      <c r="FL25" t="e">
        <f>AND('Auxiliary Heater'!L7,"AAAAAGvv7qc=")</f>
        <v>#VALUE!</v>
      </c>
      <c r="FM25" t="e">
        <f>AND('Auxiliary Heater'!M7,"AAAAAGvv7qg=")</f>
        <v>#VALUE!</v>
      </c>
      <c r="FN25" t="e">
        <f>AND('Auxiliary Heater'!N7,"AAAAAGvv7qk=")</f>
        <v>#VALUE!</v>
      </c>
      <c r="FO25" t="e">
        <f>AND('Auxiliary Heater'!O7,"AAAAAGvv7qo=")</f>
        <v>#VALUE!</v>
      </c>
      <c r="FP25">
        <f>IF('Auxiliary Heater'!11:11,"AAAAAGvv7qs=",0)</f>
        <v>0</v>
      </c>
      <c r="FQ25" t="e">
        <f>AND('Auxiliary Heater'!A11,"AAAAAGvv7qw=")</f>
        <v>#VALUE!</v>
      </c>
      <c r="FR25" t="e">
        <f>AND('Auxiliary Heater'!B11,"AAAAAGvv7q0=")</f>
        <v>#VALUE!</v>
      </c>
      <c r="FS25" t="e">
        <f>AND('Auxiliary Heater'!C11,"AAAAAGvv7q4=")</f>
        <v>#VALUE!</v>
      </c>
      <c r="FT25" t="e">
        <f>AND('Auxiliary Heater'!D11,"AAAAAGvv7q8=")</f>
        <v>#VALUE!</v>
      </c>
      <c r="FU25" t="e">
        <f>AND('Auxiliary Heater'!E11,"AAAAAGvv7rA=")</f>
        <v>#VALUE!</v>
      </c>
      <c r="FV25" t="e">
        <f>AND('Auxiliary Heater'!F11,"AAAAAGvv7rE=")</f>
        <v>#VALUE!</v>
      </c>
      <c r="FW25" t="e">
        <f>AND('Auxiliary Heater'!G11,"AAAAAGvv7rI=")</f>
        <v>#VALUE!</v>
      </c>
      <c r="FX25" t="e">
        <f>AND('Auxiliary Heater'!H11,"AAAAAGvv7rM=")</f>
        <v>#VALUE!</v>
      </c>
      <c r="FY25" t="e">
        <f>AND('Auxiliary Heater'!I11,"AAAAAGvv7rQ=")</f>
        <v>#VALUE!</v>
      </c>
      <c r="FZ25" t="e">
        <f>AND('Auxiliary Heater'!J11,"AAAAAGvv7rU=")</f>
        <v>#VALUE!</v>
      </c>
      <c r="GA25" t="e">
        <f>AND('Auxiliary Heater'!K11,"AAAAAGvv7rY=")</f>
        <v>#VALUE!</v>
      </c>
      <c r="GB25" t="e">
        <f>AND('Auxiliary Heater'!L11,"AAAAAGvv7rc=")</f>
        <v>#VALUE!</v>
      </c>
      <c r="GC25" t="e">
        <f>AND('Auxiliary Heater'!M11,"AAAAAGvv7rg=")</f>
        <v>#VALUE!</v>
      </c>
      <c r="GD25" t="e">
        <f>AND('Auxiliary Heater'!N11,"AAAAAGvv7rk=")</f>
        <v>#VALUE!</v>
      </c>
      <c r="GE25" t="e">
        <f>AND('Auxiliary Heater'!O11,"AAAAAGvv7ro=")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x14ac:dyDescent="0.2">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Heater'!12:12,"AAAAAA9y+0s=",0)</f>
        <v>0</v>
      </c>
      <c r="BY26" t="e">
        <f>AND('Auxiliary Heater'!A12,"AAAAAA9y+0w=")</f>
        <v>#VALUE!</v>
      </c>
      <c r="BZ26" t="e">
        <f>AND('Auxiliary Heater'!B12,"AAAAAA9y+00=")</f>
        <v>#VALUE!</v>
      </c>
      <c r="CA26" t="e">
        <f>AND('Auxiliary Heater'!C12,"AAAAAA9y+04=")</f>
        <v>#VALUE!</v>
      </c>
      <c r="CB26" t="e">
        <f>AND('Auxiliary Heater'!D12,"AAAAAA9y+08=")</f>
        <v>#VALUE!</v>
      </c>
      <c r="CC26" t="e">
        <f>AND('Auxiliary Heater'!E12,"AAAAAA9y+1A=")</f>
        <v>#VALUE!</v>
      </c>
      <c r="CD26" t="e">
        <f>AND('Auxiliary Heater'!F12,"AAAAAA9y+1E=")</f>
        <v>#VALUE!</v>
      </c>
      <c r="CE26" t="e">
        <f>AND('Auxiliary Heater'!G12,"AAAAAA9y+1I=")</f>
        <v>#VALUE!</v>
      </c>
      <c r="CF26" t="e">
        <f>AND('Auxiliary Heater'!H12,"AAAAAA9y+1M=")</f>
        <v>#VALUE!</v>
      </c>
      <c r="CG26" t="e">
        <f>AND('Auxiliary Heater'!I12,"AAAAAA9y+1Q=")</f>
        <v>#VALUE!</v>
      </c>
      <c r="CH26" t="e">
        <f>AND('Auxiliary Heater'!J12,"AAAAAA9y+1U=")</f>
        <v>#VALUE!</v>
      </c>
      <c r="CI26" t="e">
        <f>AND('Auxiliary Heater'!K12,"AAAAAA9y+1Y=")</f>
        <v>#VALUE!</v>
      </c>
      <c r="CJ26" t="e">
        <f>AND('Auxiliary Heater'!L12,"AAAAAA9y+1c=")</f>
        <v>#VALUE!</v>
      </c>
      <c r="CK26" t="e">
        <f>AND('Auxiliary Heater'!M12,"AAAAAA9y+1g=")</f>
        <v>#VALUE!</v>
      </c>
      <c r="CL26" t="e">
        <f>AND('Auxiliary Heater'!N12,"AAAAAA9y+1k=")</f>
        <v>#VALUE!</v>
      </c>
      <c r="CM26" t="e">
        <f>AND('Auxiliary Heater'!O12,"AAAAAA9y+1o=")</f>
        <v>#VALUE!</v>
      </c>
      <c r="CN26">
        <f>IF('Auxiliary Heater'!27:27,"AAAAAA9y+1s=",0)</f>
        <v>0</v>
      </c>
      <c r="CO26" t="e">
        <f>AND('Auxiliary Heater'!A27,"AAAAAA9y+1w=")</f>
        <v>#VALUE!</v>
      </c>
      <c r="CP26" t="e">
        <f>AND('Auxiliary Heater'!B27,"AAAAAA9y+10=")</f>
        <v>#VALUE!</v>
      </c>
      <c r="CQ26" t="e">
        <f>AND('Auxiliary Heater'!C27,"AAAAAA9y+14=")</f>
        <v>#VALUE!</v>
      </c>
      <c r="CR26" t="e">
        <f>AND('Auxiliary Heater'!D27,"AAAAAA9y+18=")</f>
        <v>#VALUE!</v>
      </c>
      <c r="CS26" t="e">
        <f>AND('Auxiliary Heater'!E27,"AAAAAA9y+2A=")</f>
        <v>#VALUE!</v>
      </c>
      <c r="CT26" t="e">
        <f>AND('Auxiliary Heater'!F27,"AAAAAA9y+2E=")</f>
        <v>#VALUE!</v>
      </c>
      <c r="CU26" t="e">
        <f>AND('Auxiliary Heater'!G27,"AAAAAA9y+2I=")</f>
        <v>#VALUE!</v>
      </c>
      <c r="CV26" t="e">
        <f>AND('Auxiliary Heater'!H27,"AAAAAA9y+2M=")</f>
        <v>#VALUE!</v>
      </c>
      <c r="CW26" t="e">
        <f>AND('Auxiliary Heater'!I27,"AAAAAA9y+2Q=")</f>
        <v>#VALUE!</v>
      </c>
      <c r="CX26" t="e">
        <f>AND('Auxiliary Heater'!J27,"AAAAAA9y+2U=")</f>
        <v>#VALUE!</v>
      </c>
      <c r="CY26" t="e">
        <f>AND('Auxiliary Heater'!K27,"AAAAAA9y+2Y=")</f>
        <v>#VALUE!</v>
      </c>
      <c r="CZ26" t="e">
        <f>AND('Auxiliary Heater'!L27,"AAAAAA9y+2c=")</f>
        <v>#VALUE!</v>
      </c>
      <c r="DA26" t="e">
        <f>AND('Auxiliary Heater'!M27,"AAAAAA9y+2g=")</f>
        <v>#VALUE!</v>
      </c>
      <c r="DB26" t="e">
        <f>AND('Auxiliary Heater'!N27,"AAAAAA9y+2k=")</f>
        <v>#VALUE!</v>
      </c>
      <c r="DC26" t="e">
        <f>AND('Auxiliary Heater'!O27,"AAAAAA9y+2o=")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x14ac:dyDescent="0.2">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x14ac:dyDescent="0.2">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x14ac:dyDescent="0.2">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Heater'!41:41,"AAAAAHuTb1s=",0)</f>
        <v>0</v>
      </c>
      <c r="CO29" t="e">
        <f>AND('Auxiliary Heater'!A41,"AAAAAHuTb1w=")</f>
        <v>#VALUE!</v>
      </c>
      <c r="CP29" t="e">
        <f>AND('Auxiliary Heater'!B41,"AAAAAHuTb10=")</f>
        <v>#VALUE!</v>
      </c>
      <c r="CQ29" t="e">
        <f>AND('Auxiliary Heater'!C41,"AAAAAHuTb14=")</f>
        <v>#VALUE!</v>
      </c>
      <c r="CR29" t="e">
        <f>AND('Auxiliary Heater'!D41,"AAAAAHuTb18=")</f>
        <v>#VALUE!</v>
      </c>
      <c r="CS29" t="e">
        <f>AND('Auxiliary Heater'!E41,"AAAAAHuTb2A=")</f>
        <v>#VALUE!</v>
      </c>
      <c r="CT29" t="e">
        <f>AND('Auxiliary Heater'!F41,"AAAAAHuTb2E=")</f>
        <v>#VALUE!</v>
      </c>
      <c r="CU29" t="e">
        <f>AND('Auxiliary Heater'!G41,"AAAAAHuTb2I=")</f>
        <v>#VALUE!</v>
      </c>
      <c r="CV29" t="e">
        <f>AND('Auxiliary Heater'!H41,"AAAAAHuTb2M=")</f>
        <v>#VALUE!</v>
      </c>
      <c r="CW29" t="e">
        <f>AND('Auxiliary Heater'!I41,"AAAAAHuTb2Q=")</f>
        <v>#VALUE!</v>
      </c>
      <c r="CX29" t="e">
        <f>AND('Auxiliary Heater'!J41,"AAAAAHuTb2U=")</f>
        <v>#VALUE!</v>
      </c>
      <c r="CY29" t="e">
        <f>AND('Auxiliary Heater'!K41,"AAAAAHuTb2Y=")</f>
        <v>#VALUE!</v>
      </c>
      <c r="CZ29" t="e">
        <f>AND('Auxiliary Heater'!L41,"AAAAAHuTb2c=")</f>
        <v>#VALUE!</v>
      </c>
      <c r="DA29" t="e">
        <f>AND('Auxiliary Heater'!M41,"AAAAAHuTb2g=")</f>
        <v>#VALUE!</v>
      </c>
      <c r="DB29" t="e">
        <f>AND('Auxiliary Heater'!N41,"AAAAAHuTb2k=")</f>
        <v>#VALUE!</v>
      </c>
      <c r="DC29" t="e">
        <f>AND('Auxiliary Heater'!O41,"AAAAAHuTb2o=")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x14ac:dyDescent="0.2">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Heater'!42:42,"AAAAAFLo7ws=",0)</f>
        <v>0</v>
      </c>
      <c r="M30" t="e">
        <f>AND('Auxiliary Heater'!A42,"AAAAAFLo7ww=")</f>
        <v>#VALUE!</v>
      </c>
      <c r="N30" t="e">
        <f>AND('Auxiliary Heater'!B42,"AAAAAFLo7w0=")</f>
        <v>#VALUE!</v>
      </c>
      <c r="O30" t="e">
        <f>AND('Auxiliary Heater'!C42,"AAAAAFLo7w4=")</f>
        <v>#VALUE!</v>
      </c>
      <c r="P30" t="e">
        <f>AND('Auxiliary Heater'!D42,"AAAAAFLo7w8=")</f>
        <v>#VALUE!</v>
      </c>
      <c r="Q30" t="e">
        <f>AND('Auxiliary Heater'!E42,"AAAAAFLo7xA=")</f>
        <v>#VALUE!</v>
      </c>
      <c r="R30" t="e">
        <f>AND('Auxiliary Heater'!F42,"AAAAAFLo7xE=")</f>
        <v>#VALUE!</v>
      </c>
      <c r="S30" t="e">
        <f>AND('Auxiliary Heater'!G42,"AAAAAFLo7xI=")</f>
        <v>#VALUE!</v>
      </c>
      <c r="T30" t="e">
        <f>AND('Auxiliary Heater'!H42,"AAAAAFLo7xM=")</f>
        <v>#VALUE!</v>
      </c>
      <c r="U30" t="e">
        <f>AND('Auxiliary Heater'!I42,"AAAAAFLo7xQ=")</f>
        <v>#VALUE!</v>
      </c>
      <c r="V30" t="e">
        <f>AND('Auxiliary Heater'!J42,"AAAAAFLo7xU=")</f>
        <v>#VALUE!</v>
      </c>
      <c r="W30" t="e">
        <f>AND('Auxiliary Heater'!K42,"AAAAAFLo7xY=")</f>
        <v>#VALUE!</v>
      </c>
      <c r="X30" t="e">
        <f>AND('Auxiliary Heater'!L42,"AAAAAFLo7xc=")</f>
        <v>#VALUE!</v>
      </c>
      <c r="Y30" t="e">
        <f>AND('Auxiliary Heater'!M42,"AAAAAFLo7xg=")</f>
        <v>#VALUE!</v>
      </c>
      <c r="Z30" t="e">
        <f>AND('Auxiliary Heater'!N42,"AAAAAFLo7xk=")</f>
        <v>#VALUE!</v>
      </c>
      <c r="AA30" t="e">
        <f>AND('Auxiliary Heater'!O42,"AAAAAFLo7xo=")</f>
        <v>#VALUE!</v>
      </c>
      <c r="AB30">
        <f>IF('Auxiliary Heater'!43:43,"AAAAAFLo7xs=",0)</f>
        <v>0</v>
      </c>
      <c r="AC30" t="e">
        <f>AND('Auxiliary Heater'!A43,"AAAAAFLo7xw=")</f>
        <v>#VALUE!</v>
      </c>
      <c r="AD30" t="e">
        <f>AND('Auxiliary Heater'!B43,"AAAAAFLo7x0=")</f>
        <v>#VALUE!</v>
      </c>
      <c r="AE30" t="e">
        <f>AND('Auxiliary Heater'!C43,"AAAAAFLo7x4=")</f>
        <v>#VALUE!</v>
      </c>
      <c r="AF30" t="e">
        <f>AND('Auxiliary Heater'!D43,"AAAAAFLo7x8=")</f>
        <v>#VALUE!</v>
      </c>
      <c r="AG30" t="e">
        <f>AND('Auxiliary Heater'!E43,"AAAAAFLo7yA=")</f>
        <v>#VALUE!</v>
      </c>
      <c r="AH30" t="e">
        <f>AND('Auxiliary Heater'!F43,"AAAAAFLo7yE=")</f>
        <v>#VALUE!</v>
      </c>
      <c r="AI30" t="e">
        <f>AND('Auxiliary Heater'!G43,"AAAAAFLo7yI=")</f>
        <v>#VALUE!</v>
      </c>
      <c r="AJ30" t="e">
        <f>AND('Auxiliary Heater'!H43,"AAAAAFLo7yM=")</f>
        <v>#VALUE!</v>
      </c>
      <c r="AK30" t="e">
        <f>AND('Auxiliary Heater'!I43,"AAAAAFLo7yQ=")</f>
        <v>#VALUE!</v>
      </c>
      <c r="AL30" t="e">
        <f>AND('Auxiliary Heater'!J43,"AAAAAFLo7yU=")</f>
        <v>#VALUE!</v>
      </c>
      <c r="AM30" t="e">
        <f>AND('Auxiliary Heater'!K43,"AAAAAFLo7yY=")</f>
        <v>#VALUE!</v>
      </c>
      <c r="AN30" t="e">
        <f>AND('Auxiliary Heater'!L43,"AAAAAFLo7yc=")</f>
        <v>#VALUE!</v>
      </c>
      <c r="AO30" t="e">
        <f>AND('Auxiliary Heater'!M43,"AAAAAFLo7yg=")</f>
        <v>#VALUE!</v>
      </c>
      <c r="AP30" t="e">
        <f>AND('Auxiliary Heater'!N43,"AAAAAFLo7yk=")</f>
        <v>#VALUE!</v>
      </c>
      <c r="AQ30" t="e">
        <f>AND('Auxiliary Heater'!O43,"AAAAAFLo7yo=")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x14ac:dyDescent="0.2">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x14ac:dyDescent="0.2">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f>IF('Auxiliary Heater'!B:B,"AAAAAHdcng8=",0)</f>
        <v>0</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4</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R27"/>
  <sheetViews>
    <sheetView workbookViewId="0">
      <selection activeCell="A2" sqref="A2:M2"/>
    </sheetView>
  </sheetViews>
  <sheetFormatPr defaultColWidth="8.7109375" defaultRowHeight="12.75" x14ac:dyDescent="0.2"/>
  <cols>
    <col min="1" max="1" width="14.42578125" customWidth="1"/>
    <col min="2" max="2" width="14.28515625" customWidth="1"/>
    <col min="3" max="3" width="14.42578125" customWidth="1"/>
    <col min="5" max="5" width="10.28515625" customWidth="1"/>
    <col min="8" max="8" width="8.7109375" bestFit="1" customWidth="1"/>
    <col min="13" max="13" width="12.42578125" customWidth="1"/>
  </cols>
  <sheetData>
    <row r="1" spans="1:18" s="63" customFormat="1" ht="20.25" x14ac:dyDescent="0.3">
      <c r="A1" s="278" t="str">
        <f>Inputs!A1</f>
        <v>Potential To Emit Calculator for Sawmill Facilities</v>
      </c>
      <c r="B1" s="278"/>
      <c r="C1" s="278"/>
      <c r="D1" s="278"/>
      <c r="E1" s="278"/>
      <c r="F1" s="278"/>
      <c r="G1" s="278"/>
      <c r="H1" s="278"/>
      <c r="I1" s="278"/>
      <c r="J1" s="278"/>
      <c r="K1" s="278"/>
      <c r="L1" s="278"/>
      <c r="M1" s="278"/>
      <c r="N1" s="64"/>
      <c r="O1" s="10"/>
      <c r="P1" s="10"/>
    </row>
    <row r="2" spans="1:18" s="63" customFormat="1" x14ac:dyDescent="0.2">
      <c r="A2" s="279">
        <f>Inputs!A2</f>
        <v>42552</v>
      </c>
      <c r="B2" s="279"/>
      <c r="C2" s="279"/>
      <c r="D2" s="279"/>
      <c r="E2" s="279"/>
      <c r="F2" s="279"/>
      <c r="G2" s="279"/>
      <c r="H2" s="279"/>
      <c r="I2" s="279"/>
      <c r="J2" s="279"/>
      <c r="K2" s="279"/>
      <c r="L2" s="279"/>
      <c r="M2" s="279"/>
      <c r="N2" s="11"/>
      <c r="O2" s="11"/>
      <c r="P2" s="11"/>
      <c r="Q2" s="11"/>
      <c r="R2" s="11"/>
    </row>
    <row r="3" spans="1:18" ht="13.35" customHeight="1" x14ac:dyDescent="0.25">
      <c r="A3" s="298" t="s">
        <v>144</v>
      </c>
      <c r="B3" s="298"/>
      <c r="C3" s="298"/>
      <c r="D3" s="298"/>
      <c r="E3" s="298"/>
      <c r="F3" s="298"/>
      <c r="G3" s="298"/>
      <c r="H3" s="298"/>
      <c r="I3" s="298"/>
      <c r="J3" s="298"/>
      <c r="K3" s="298"/>
      <c r="L3" s="298"/>
      <c r="M3" s="298"/>
    </row>
    <row r="4" spans="1:18" x14ac:dyDescent="0.2">
      <c r="A4" s="67"/>
      <c r="B4" s="1"/>
      <c r="C4" s="67"/>
      <c r="D4" s="67"/>
      <c r="E4" s="67"/>
      <c r="F4" s="67"/>
      <c r="G4" s="67"/>
      <c r="H4" s="67"/>
      <c r="I4" s="67"/>
      <c r="J4" s="67"/>
      <c r="K4" s="67"/>
      <c r="L4" s="67"/>
      <c r="M4" s="67"/>
    </row>
    <row r="5" spans="1:18" ht="14.25" x14ac:dyDescent="0.2">
      <c r="A5" s="299" t="s">
        <v>157</v>
      </c>
      <c r="B5" s="300"/>
      <c r="C5" s="72">
        <f>Inputs!D17</f>
        <v>30</v>
      </c>
      <c r="D5" s="3" t="s">
        <v>158</v>
      </c>
      <c r="E5" s="67"/>
      <c r="F5" s="67"/>
      <c r="G5" s="67"/>
      <c r="H5" s="67"/>
      <c r="I5" s="5" t="s">
        <v>1</v>
      </c>
      <c r="J5" s="67"/>
      <c r="K5" s="67"/>
      <c r="L5" s="67"/>
      <c r="M5" s="67"/>
    </row>
    <row r="6" spans="1:18" x14ac:dyDescent="0.2">
      <c r="A6" s="300" t="s">
        <v>87</v>
      </c>
      <c r="B6" s="300"/>
      <c r="C6" s="72" t="str">
        <f>IF(Inputs!I17="Y","Baghouse",IF(Inputs!H17="Y","Cyclone","No Controls"))</f>
        <v>Cyclone</v>
      </c>
      <c r="D6" s="67"/>
      <c r="E6" s="67"/>
      <c r="F6" s="67"/>
      <c r="G6" s="67"/>
      <c r="H6" s="67"/>
      <c r="I6" s="2" t="s">
        <v>22</v>
      </c>
      <c r="J6" s="67"/>
      <c r="K6" s="67"/>
      <c r="L6" s="67"/>
      <c r="M6" s="67"/>
    </row>
    <row r="7" spans="1:18" x14ac:dyDescent="0.2">
      <c r="A7" s="67"/>
      <c r="B7" s="12"/>
      <c r="C7" s="12"/>
      <c r="D7" s="67"/>
      <c r="E7" s="67"/>
      <c r="F7" s="67"/>
      <c r="G7" s="67"/>
      <c r="H7" s="67"/>
      <c r="I7" s="2"/>
      <c r="J7" s="67"/>
      <c r="K7" s="67"/>
      <c r="L7" s="67"/>
      <c r="M7" s="67"/>
    </row>
    <row r="8" spans="1:18" ht="13.5" thickBot="1" x14ac:dyDescent="0.25">
      <c r="A8" s="67"/>
      <c r="B8" s="67"/>
      <c r="C8" s="67"/>
      <c r="D8" s="67"/>
      <c r="E8" s="67"/>
      <c r="F8" s="67"/>
      <c r="G8" s="67"/>
      <c r="H8" s="67"/>
      <c r="I8" s="67"/>
      <c r="J8" s="67"/>
      <c r="K8" s="67"/>
      <c r="L8" s="67"/>
      <c r="M8" s="67"/>
    </row>
    <row r="9" spans="1:18" ht="12" customHeight="1" thickTop="1" x14ac:dyDescent="0.2">
      <c r="A9" s="134"/>
      <c r="B9" s="134"/>
      <c r="C9" s="134"/>
      <c r="D9" s="134"/>
      <c r="E9" s="134"/>
      <c r="F9" s="134"/>
      <c r="G9" s="134"/>
      <c r="H9" s="134"/>
      <c r="I9" s="134"/>
      <c r="J9" s="134"/>
      <c r="K9" s="134"/>
      <c r="L9" s="134"/>
      <c r="M9" s="134"/>
    </row>
    <row r="10" spans="1:18" ht="13.5" thickBot="1" x14ac:dyDescent="0.25">
      <c r="A10" s="1"/>
      <c r="B10" s="1" t="s">
        <v>83</v>
      </c>
      <c r="C10" s="67"/>
      <c r="D10" s="135"/>
      <c r="E10" s="12"/>
      <c r="F10" s="12"/>
      <c r="G10" s="67" t="s">
        <v>10</v>
      </c>
      <c r="H10" s="67" t="s">
        <v>10</v>
      </c>
      <c r="I10" s="53"/>
      <c r="J10" s="54" t="s">
        <v>10</v>
      </c>
      <c r="K10" s="67"/>
      <c r="L10" s="67"/>
      <c r="M10" s="67"/>
    </row>
    <row r="11" spans="1:18" s="17" customFormat="1" ht="12.75" customHeight="1" x14ac:dyDescent="0.2">
      <c r="A11" s="67"/>
      <c r="B11" s="148"/>
      <c r="C11" s="133"/>
      <c r="D11" s="133"/>
      <c r="E11" s="149"/>
      <c r="F11" s="133"/>
      <c r="G11" s="133"/>
      <c r="H11" s="133" t="s">
        <v>19</v>
      </c>
      <c r="I11" s="133"/>
      <c r="J11" s="133"/>
      <c r="K11" s="150"/>
      <c r="L11" s="150"/>
      <c r="M11" s="151"/>
      <c r="N11" s="23"/>
      <c r="O11" s="23"/>
    </row>
    <row r="12" spans="1:18" s="17" customFormat="1" ht="15.75" x14ac:dyDescent="0.3">
      <c r="A12" s="66"/>
      <c r="B12" s="86" t="s">
        <v>160</v>
      </c>
      <c r="C12" s="66"/>
      <c r="D12" s="66"/>
      <c r="E12" s="31" t="s">
        <v>161</v>
      </c>
      <c r="F12" s="75" t="s">
        <v>6</v>
      </c>
      <c r="G12" s="75" t="s">
        <v>5</v>
      </c>
      <c r="H12" s="75" t="s">
        <v>7</v>
      </c>
      <c r="I12" s="75" t="s">
        <v>8</v>
      </c>
      <c r="J12" s="75" t="s">
        <v>18</v>
      </c>
      <c r="K12" s="123" t="s">
        <v>20</v>
      </c>
      <c r="L12" s="263" t="s">
        <v>193</v>
      </c>
      <c r="M12" s="132" t="s">
        <v>81</v>
      </c>
      <c r="N12" s="23"/>
      <c r="O12" s="23"/>
      <c r="P12" s="23"/>
    </row>
    <row r="13" spans="1:18" s="17" customFormat="1" ht="15" customHeight="1" x14ac:dyDescent="0.2">
      <c r="A13" s="66"/>
      <c r="B13" s="124" t="s">
        <v>84</v>
      </c>
      <c r="C13" s="66"/>
      <c r="D13" s="66"/>
      <c r="E13" s="130">
        <f>IF(C5&gt;9.999,0.1,IF($C6="No Controls",0.56+0.017,""))</f>
        <v>0.1</v>
      </c>
      <c r="F13" s="136">
        <f>IF(C5&gt;9.999,0.1,IF($C6="No Controls",0.5,""))</f>
        <v>0.1</v>
      </c>
      <c r="G13" s="136">
        <f>IF(C5&gt;9.999,0.1,IF($C6="No Controls",0.43,""))</f>
        <v>0.1</v>
      </c>
      <c r="H13" s="128">
        <v>2.5000000000000001E-2</v>
      </c>
      <c r="I13" s="129">
        <v>0.22</v>
      </c>
      <c r="J13" s="130">
        <v>0.6</v>
      </c>
      <c r="K13" s="131">
        <v>1.7000000000000001E-2</v>
      </c>
      <c r="L13" s="131">
        <v>1.9E-2</v>
      </c>
      <c r="M13" s="126">
        <f>(0.00083+0.004+0.0042+0.000000047+0.0000054+0.000045+0.00079+0.000033+0.000028+0.00000018+0.000031+0.0044+0.019+0.000097+0.00000011+0.000051+0.000061+0.0019+0.0000000000086+0.00092+0.000000022+0.000018+0.000025)+0.5/0.5*(0.0000079+0.000022+0.0000011+0.0000041+0.000021+0.0000065+0.000048+0.0016+0.0000035+0.000033+0.0000028)</f>
        <v>3.8184659008599992E-2</v>
      </c>
      <c r="N13" s="23"/>
      <c r="O13" s="23"/>
      <c r="P13" s="23"/>
    </row>
    <row r="14" spans="1:18" s="17" customFormat="1" ht="15" customHeight="1" x14ac:dyDescent="0.2">
      <c r="A14" s="66"/>
      <c r="B14" s="124" t="s">
        <v>85</v>
      </c>
      <c r="C14" s="66"/>
      <c r="D14" s="66"/>
      <c r="E14" s="130">
        <f>IF(C5&gt;9.999,0.1,IF($C6="Cyclone",0.35+0.017,""))</f>
        <v>0.1</v>
      </c>
      <c r="F14" s="136">
        <f>IF(C5&gt;9.999,0.1,IF($C6="Cyclone",0.32,""))</f>
        <v>0.1</v>
      </c>
      <c r="G14" s="136">
        <f>IF(C5&gt;9.999,0.1,IF($C6="Cyclone",0.19,""))</f>
        <v>0.1</v>
      </c>
      <c r="H14" s="128">
        <v>2.5000000000000001E-2</v>
      </c>
      <c r="I14" s="129">
        <v>0.22</v>
      </c>
      <c r="J14" s="130">
        <v>0.6</v>
      </c>
      <c r="K14" s="131">
        <v>1.7000000000000001E-2</v>
      </c>
      <c r="L14" s="131">
        <v>1.9E-2</v>
      </c>
      <c r="M14" s="126">
        <f>(0.00083+0.004+0.0042+0.000000047+0.0000054+0.000045+0.00079+0.000033+0.000028+0.00000018+0.000031+0.0044+0.019+0.000097+0.00000011+0.000051+0.000061+0.0019+0.0000000000086+0.00092+0.000000022+0.000018+0.000025)+0.32/0.5*(0.0000079+0.000022+0.0000011+0.0000041+0.000021+0.0000065+0.000048+0.0016+0.0000035+0.000033+0.0000028)</f>
        <v>3.7554695008599995E-2</v>
      </c>
      <c r="N14" s="23"/>
      <c r="O14" s="23"/>
      <c r="P14" s="23"/>
    </row>
    <row r="15" spans="1:18" s="17" customFormat="1" ht="15" customHeight="1" x14ac:dyDescent="0.2">
      <c r="A15" s="66"/>
      <c r="B15" s="124" t="s">
        <v>86</v>
      </c>
      <c r="C15" s="66"/>
      <c r="D15" s="66"/>
      <c r="E15" s="130">
        <f>IF(C5&gt;9.999,0.1,IF($C6="Baghouse",0.1+0.017,""))</f>
        <v>0.1</v>
      </c>
      <c r="F15" s="136">
        <f>IF(C5&gt;9.999,0.1,IF($C6="Baghouse",0.074,""))</f>
        <v>0.1</v>
      </c>
      <c r="G15" s="136">
        <f>IF(C5&gt;9.999,0.1,IF($C6="Baghouse",0.065,""))</f>
        <v>0.1</v>
      </c>
      <c r="H15" s="128">
        <v>2.5000000000000001E-2</v>
      </c>
      <c r="I15" s="129">
        <v>0.22</v>
      </c>
      <c r="J15" s="130">
        <v>0.6</v>
      </c>
      <c r="K15" s="131">
        <v>1.7000000000000001E-2</v>
      </c>
      <c r="L15" s="131">
        <v>1.9E-2</v>
      </c>
      <c r="M15" s="126">
        <f>(0.00083+0.004+0.0042+0.000000047+0.0000054+0.000045+0.00079+0.000033+0.000028+0.00000018+0.000031+0.0044+0.000097+0.019+0.00000011+0.000051+0.000061+0.0019+0.0000000000086+0.00092+0.000000022+0.000018+0.000025)+0.074/0.5*(0.0000079+0.000022+0.0000011+0.0000041+0.000021+0.0000065+0.000048+0.0016+0.0000035+0.000033+0.0000028)</f>
        <v>3.6693744208599992E-2</v>
      </c>
      <c r="N15" s="23"/>
      <c r="O15" s="23"/>
      <c r="P15" s="23"/>
    </row>
    <row r="16" spans="1:18" s="17" customFormat="1" ht="13.5" thickBot="1" x14ac:dyDescent="0.25">
      <c r="A16" s="66"/>
      <c r="B16" s="137"/>
      <c r="C16" s="138"/>
      <c r="D16" s="138"/>
      <c r="E16" s="139"/>
      <c r="F16" s="139"/>
      <c r="G16" s="140"/>
      <c r="H16" s="139"/>
      <c r="I16" s="139"/>
      <c r="J16" s="139"/>
      <c r="K16" s="141"/>
      <c r="L16" s="141"/>
      <c r="M16" s="127"/>
      <c r="N16" s="23"/>
      <c r="O16" s="23"/>
      <c r="P16" s="23"/>
    </row>
    <row r="17" spans="1:16" s="17" customFormat="1" ht="13.5" thickTop="1" x14ac:dyDescent="0.2">
      <c r="A17" s="66"/>
      <c r="B17" s="124"/>
      <c r="C17" s="66"/>
      <c r="D17" s="66"/>
      <c r="E17" s="167"/>
      <c r="F17" s="167"/>
      <c r="G17" s="157"/>
      <c r="H17" s="167"/>
      <c r="I17" s="167"/>
      <c r="J17" s="167"/>
      <c r="K17" s="167"/>
      <c r="L17" s="167"/>
      <c r="M17" s="210"/>
      <c r="N17" s="23"/>
      <c r="O17" s="23"/>
      <c r="P17" s="23"/>
    </row>
    <row r="18" spans="1:16" s="16" customFormat="1" x14ac:dyDescent="0.2">
      <c r="A18" s="30"/>
      <c r="B18" s="124" t="s">
        <v>26</v>
      </c>
      <c r="C18" s="30"/>
      <c r="D18" s="30"/>
      <c r="E18" s="79">
        <f t="shared" ref="E18:M18" si="0">$C$5*MAX(E13:E15)*8760/2000</f>
        <v>13.14</v>
      </c>
      <c r="F18" s="79">
        <f t="shared" si="0"/>
        <v>13.14</v>
      </c>
      <c r="G18" s="79">
        <f t="shared" si="0"/>
        <v>13.14</v>
      </c>
      <c r="H18" s="79">
        <f t="shared" si="0"/>
        <v>3.2850000000000001</v>
      </c>
      <c r="I18" s="79">
        <f t="shared" si="0"/>
        <v>28.908000000000001</v>
      </c>
      <c r="J18" s="79">
        <f t="shared" si="0"/>
        <v>78.84</v>
      </c>
      <c r="K18" s="79">
        <f>$C$5*MAX(K13:K15)*8760/2000</f>
        <v>2.2338</v>
      </c>
      <c r="L18" s="79">
        <f>$C$5*MAX(L13:L15)*8760/2000</f>
        <v>2.4965999999999999</v>
      </c>
      <c r="M18" s="125">
        <f t="shared" si="0"/>
        <v>5.0174641937300386</v>
      </c>
      <c r="N18" s="24"/>
      <c r="O18" s="24"/>
      <c r="P18" s="24"/>
    </row>
    <row r="19" spans="1:16" s="17" customFormat="1" ht="13.5" thickBot="1" x14ac:dyDescent="0.25">
      <c r="A19" s="66"/>
      <c r="B19" s="142"/>
      <c r="C19" s="143"/>
      <c r="D19" s="143"/>
      <c r="E19" s="144"/>
      <c r="F19" s="145"/>
      <c r="G19" s="145"/>
      <c r="H19" s="146" t="s">
        <v>10</v>
      </c>
      <c r="I19" s="146"/>
      <c r="J19" s="146"/>
      <c r="K19" s="147"/>
      <c r="L19" s="147"/>
      <c r="M19" s="152"/>
      <c r="N19" s="23"/>
      <c r="O19" s="23"/>
      <c r="P19" s="23"/>
    </row>
    <row r="20" spans="1:16" s="17" customFormat="1" x14ac:dyDescent="0.2">
      <c r="A20" s="67"/>
      <c r="B20" s="30" t="s">
        <v>162</v>
      </c>
      <c r="C20" s="66"/>
      <c r="D20" s="66"/>
      <c r="E20" s="153"/>
      <c r="F20" s="154"/>
      <c r="G20" s="154"/>
      <c r="H20" s="154"/>
      <c r="I20" s="154"/>
      <c r="J20" s="154"/>
      <c r="K20" s="154"/>
      <c r="L20" s="154"/>
      <c r="M20" s="66"/>
      <c r="N20" s="23"/>
      <c r="O20" s="23"/>
      <c r="P20" s="23"/>
    </row>
    <row r="21" spans="1:16" s="17" customFormat="1" x14ac:dyDescent="0.2">
      <c r="A21" s="67"/>
      <c r="B21" s="252" t="s">
        <v>159</v>
      </c>
      <c r="C21" s="66"/>
      <c r="D21" s="66"/>
      <c r="E21" s="153"/>
      <c r="F21" s="154"/>
      <c r="G21" s="154"/>
      <c r="H21" s="154"/>
      <c r="I21" s="154"/>
      <c r="J21" s="154"/>
      <c r="K21" s="154"/>
      <c r="L21" s="154"/>
      <c r="M21" s="66"/>
      <c r="N21" s="23"/>
      <c r="O21" s="23"/>
      <c r="P21" s="23"/>
    </row>
    <row r="22" spans="1:16" s="17" customFormat="1" ht="27" customHeight="1" x14ac:dyDescent="0.2">
      <c r="A22" s="67"/>
      <c r="B22" s="297" t="s">
        <v>174</v>
      </c>
      <c r="C22" s="297"/>
      <c r="D22" s="297"/>
      <c r="E22" s="297"/>
      <c r="F22" s="297"/>
      <c r="G22" s="297"/>
      <c r="H22" s="297"/>
      <c r="I22" s="297"/>
      <c r="J22" s="297"/>
      <c r="K22" s="297"/>
      <c r="L22" s="297"/>
      <c r="M22" s="297"/>
      <c r="N22" s="23"/>
      <c r="O22" s="23"/>
      <c r="P22" s="23"/>
    </row>
    <row r="23" spans="1:16" s="17" customFormat="1" x14ac:dyDescent="0.2">
      <c r="A23" s="67"/>
      <c r="B23" s="9" t="s">
        <v>173</v>
      </c>
      <c r="C23" s="67"/>
      <c r="D23" s="67"/>
      <c r="E23" s="67"/>
      <c r="F23" s="67"/>
      <c r="G23" s="67"/>
      <c r="H23" s="67"/>
      <c r="I23" s="67"/>
      <c r="J23" s="67"/>
      <c r="K23" s="67"/>
      <c r="L23" s="67"/>
      <c r="M23" s="67"/>
    </row>
    <row r="24" spans="1:16" s="17" customFormat="1" x14ac:dyDescent="0.2">
      <c r="A24" s="67"/>
      <c r="B24" s="3" t="s">
        <v>180</v>
      </c>
      <c r="C24" s="67"/>
      <c r="D24" s="67"/>
      <c r="E24" s="67"/>
      <c r="F24" s="67"/>
      <c r="G24" s="67"/>
      <c r="H24" s="67"/>
      <c r="I24" s="67"/>
      <c r="J24" s="67"/>
      <c r="K24" s="67"/>
      <c r="L24" s="67"/>
      <c r="M24" s="67"/>
    </row>
    <row r="25" spans="1:16" s="17" customFormat="1" x14ac:dyDescent="0.2">
      <c r="A25" s="67"/>
      <c r="C25" s="67"/>
      <c r="D25" s="67"/>
      <c r="E25" s="67"/>
      <c r="F25" s="67"/>
      <c r="G25" s="67"/>
      <c r="H25" s="67"/>
      <c r="I25" s="67"/>
      <c r="J25" s="67"/>
      <c r="K25" s="67"/>
      <c r="L25" s="67"/>
      <c r="M25" s="67"/>
    </row>
    <row r="26" spans="1:16" s="17" customFormat="1" x14ac:dyDescent="0.2">
      <c r="A26" s="67"/>
      <c r="B26" s="1" t="s">
        <v>11</v>
      </c>
      <c r="C26" s="67"/>
      <c r="D26" s="67"/>
      <c r="E26" s="67"/>
      <c r="F26" s="67"/>
      <c r="G26" s="67"/>
      <c r="H26" s="67"/>
      <c r="I26" s="67"/>
      <c r="J26" s="67"/>
      <c r="K26" s="67"/>
      <c r="L26" s="67"/>
      <c r="M26" s="67"/>
    </row>
    <row r="27" spans="1:16" s="17" customFormat="1" x14ac:dyDescent="0.2">
      <c r="A27" s="67"/>
      <c r="B27" s="67" t="s">
        <v>88</v>
      </c>
      <c r="C27" s="67"/>
      <c r="D27" s="67"/>
      <c r="E27" s="67"/>
      <c r="F27" s="67"/>
      <c r="G27" s="67"/>
      <c r="H27" s="67"/>
      <c r="I27" s="67"/>
      <c r="J27" s="67"/>
      <c r="K27" s="67"/>
      <c r="L27" s="67"/>
      <c r="M27" s="67"/>
    </row>
  </sheetData>
  <mergeCells count="6">
    <mergeCell ref="B22:M22"/>
    <mergeCell ref="A1:M1"/>
    <mergeCell ref="A2:M2"/>
    <mergeCell ref="A3:M3"/>
    <mergeCell ref="A5:B5"/>
    <mergeCell ref="A6:B6"/>
  </mergeCells>
  <pageMargins left="0.75" right="0.75" top="1" bottom="1" header="0.5" footer="0.5"/>
  <pageSetup orientation="portrait"/>
  <headerFooter alignWithMargins="0">
    <oddFooter>Page &amp;P of &amp;N</oddFooter>
  </headerFooter>
  <colBreaks count="1" manualBreakCount="1">
    <brk id="14"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7"/>
  <sheetViews>
    <sheetView workbookViewId="0">
      <selection activeCell="U24" sqref="U24"/>
    </sheetView>
  </sheetViews>
  <sheetFormatPr defaultColWidth="8.7109375" defaultRowHeight="12.75" x14ac:dyDescent="0.2"/>
  <cols>
    <col min="1" max="1" width="11.42578125" customWidth="1"/>
    <col min="2" max="2" width="22.28515625" customWidth="1"/>
    <col min="4" max="4" width="7" customWidth="1"/>
  </cols>
  <sheetData>
    <row r="1" spans="1:15" ht="20.25" x14ac:dyDescent="0.3">
      <c r="A1" s="278" t="str">
        <f>Inputs!A1</f>
        <v>Potential To Emit Calculator for Sawmill Facilities</v>
      </c>
      <c r="B1" s="278"/>
      <c r="C1" s="278"/>
      <c r="D1" s="278"/>
      <c r="E1" s="278"/>
      <c r="F1" s="278"/>
      <c r="G1" s="278"/>
      <c r="H1" s="278"/>
      <c r="I1" s="278"/>
      <c r="J1" s="278"/>
      <c r="K1" s="278"/>
      <c r="L1" s="278"/>
      <c r="M1" s="278"/>
      <c r="N1" s="10"/>
      <c r="O1" s="10"/>
    </row>
    <row r="2" spans="1:15" x14ac:dyDescent="0.2">
      <c r="A2" s="279">
        <f>Inputs!A2</f>
        <v>42552</v>
      </c>
      <c r="B2" s="279"/>
      <c r="C2" s="279"/>
      <c r="D2" s="279"/>
      <c r="E2" s="279"/>
      <c r="F2" s="279"/>
      <c r="G2" s="279"/>
      <c r="H2" s="279"/>
      <c r="I2" s="279"/>
      <c r="J2" s="279"/>
      <c r="K2" s="279"/>
      <c r="L2" s="279"/>
      <c r="M2" s="279"/>
      <c r="N2" s="11"/>
      <c r="O2" s="11"/>
    </row>
    <row r="3" spans="1:15" ht="13.35" customHeight="1" x14ac:dyDescent="0.25">
      <c r="A3" s="298" t="s">
        <v>145</v>
      </c>
      <c r="B3" s="298"/>
      <c r="C3" s="298"/>
      <c r="D3" s="298"/>
      <c r="E3" s="298"/>
      <c r="F3" s="298"/>
      <c r="G3" s="298"/>
      <c r="H3" s="298"/>
      <c r="I3" s="298"/>
      <c r="J3" s="298"/>
      <c r="K3" s="298"/>
      <c r="L3" s="298"/>
      <c r="M3" s="298"/>
    </row>
    <row r="4" spans="1:15" ht="13.35" customHeight="1" x14ac:dyDescent="0.25">
      <c r="A4" s="258"/>
      <c r="B4" s="258"/>
      <c r="C4" s="258"/>
      <c r="D4" s="258"/>
      <c r="E4" s="258"/>
      <c r="F4" s="258"/>
      <c r="G4" s="258"/>
      <c r="H4" s="258"/>
      <c r="I4" s="258"/>
      <c r="J4" s="258"/>
      <c r="K4" s="258"/>
      <c r="L4" s="258"/>
      <c r="M4" s="258"/>
    </row>
    <row r="5" spans="1:15" x14ac:dyDescent="0.2">
      <c r="A5" s="67"/>
      <c r="B5" s="155"/>
      <c r="C5" s="155" t="s">
        <v>58</v>
      </c>
      <c r="D5" s="156">
        <f>Inputs!D20</f>
        <v>0</v>
      </c>
      <c r="E5" s="107" t="s">
        <v>33</v>
      </c>
      <c r="F5" s="67"/>
      <c r="G5" s="67"/>
      <c r="H5" s="67"/>
      <c r="I5" s="67"/>
      <c r="J5" s="67"/>
      <c r="K5" s="67"/>
      <c r="L5" s="67"/>
      <c r="M5" s="67"/>
    </row>
    <row r="6" spans="1:15" x14ac:dyDescent="0.2">
      <c r="A6" s="67"/>
      <c r="B6" s="155"/>
      <c r="C6" s="155" t="s">
        <v>59</v>
      </c>
      <c r="D6" s="156">
        <f>Inputs!D21</f>
        <v>10</v>
      </c>
      <c r="E6" s="107" t="s">
        <v>33</v>
      </c>
      <c r="F6" s="67"/>
      <c r="G6" s="67"/>
      <c r="H6" s="67"/>
      <c r="I6" s="5" t="s">
        <v>1</v>
      </c>
      <c r="J6" s="67"/>
      <c r="K6" s="67"/>
      <c r="L6" s="67"/>
      <c r="M6" s="67"/>
    </row>
    <row r="7" spans="1:15" x14ac:dyDescent="0.2">
      <c r="A7" s="67"/>
      <c r="B7" s="155"/>
      <c r="C7" s="155" t="s">
        <v>60</v>
      </c>
      <c r="D7" s="156">
        <f>Inputs!D22</f>
        <v>0</v>
      </c>
      <c r="E7" s="107" t="s">
        <v>33</v>
      </c>
      <c r="F7" s="67"/>
      <c r="G7" s="67"/>
      <c r="H7" s="67"/>
      <c r="I7" s="2" t="s">
        <v>22</v>
      </c>
      <c r="J7" s="67"/>
      <c r="K7" s="67"/>
      <c r="L7" s="67"/>
      <c r="M7" s="67"/>
    </row>
    <row r="8" spans="1:15" s="17" customFormat="1" ht="12.75" customHeight="1" thickBot="1" x14ac:dyDescent="0.25">
      <c r="A8" s="67"/>
      <c r="B8" s="154"/>
      <c r="C8" s="154"/>
      <c r="D8" s="154"/>
      <c r="E8" s="154"/>
      <c r="F8" s="154"/>
      <c r="G8" s="154"/>
      <c r="H8" s="154" t="s">
        <v>10</v>
      </c>
      <c r="I8" s="154"/>
      <c r="J8" s="154"/>
      <c r="K8" s="66"/>
      <c r="L8" s="66"/>
      <c r="M8" s="66"/>
      <c r="N8" s="23"/>
    </row>
    <row r="9" spans="1:15" s="17" customFormat="1" ht="15.75" x14ac:dyDescent="0.3">
      <c r="A9" s="66"/>
      <c r="B9" s="30" t="s">
        <v>32</v>
      </c>
      <c r="C9" s="30"/>
      <c r="D9" s="66"/>
      <c r="E9" s="162" t="s">
        <v>17</v>
      </c>
      <c r="F9" s="163" t="s">
        <v>6</v>
      </c>
      <c r="G9" s="163" t="s">
        <v>5</v>
      </c>
      <c r="H9" s="163" t="s">
        <v>7</v>
      </c>
      <c r="I9" s="163" t="s">
        <v>8</v>
      </c>
      <c r="J9" s="163" t="s">
        <v>18</v>
      </c>
      <c r="K9" s="163" t="s">
        <v>20</v>
      </c>
      <c r="L9" s="164" t="s">
        <v>81</v>
      </c>
      <c r="M9" s="66"/>
      <c r="N9" s="23"/>
      <c r="O9" s="23"/>
    </row>
    <row r="10" spans="1:15" s="17" customFormat="1" ht="15" customHeight="1" thickBot="1" x14ac:dyDescent="0.25">
      <c r="A10" s="66"/>
      <c r="B10" s="66" t="s">
        <v>10</v>
      </c>
      <c r="C10" s="66"/>
      <c r="D10" s="66"/>
      <c r="E10" s="93">
        <f>SUM(E18,E33,E48)</f>
        <v>0.33508196721311467</v>
      </c>
      <c r="F10" s="94">
        <f t="shared" ref="F10:K10" si="0">SUM(F18,F33,F48)</f>
        <v>0.33508196721311467</v>
      </c>
      <c r="G10" s="94">
        <f t="shared" si="0"/>
        <v>0.33508196721311467</v>
      </c>
      <c r="H10" s="94">
        <f t="shared" si="0"/>
        <v>7.1803278688524599E-5</v>
      </c>
      <c r="I10" s="94">
        <f t="shared" si="0"/>
        <v>6.222950819672131</v>
      </c>
      <c r="J10" s="94">
        <f t="shared" si="0"/>
        <v>3.5901639344262293</v>
      </c>
      <c r="K10" s="94">
        <f t="shared" si="0"/>
        <v>0.47868852459016392</v>
      </c>
      <c r="L10" s="165">
        <f>SUM(L18,L33,L48)</f>
        <v>0</v>
      </c>
      <c r="M10" s="66"/>
      <c r="N10" s="23"/>
      <c r="O10" s="23"/>
    </row>
    <row r="11" spans="1:15" ht="13.5" thickBot="1" x14ac:dyDescent="0.25">
      <c r="A11" s="67"/>
      <c r="B11" s="67"/>
      <c r="C11" s="67"/>
      <c r="D11" s="67"/>
      <c r="E11" s="67"/>
      <c r="F11" s="67"/>
      <c r="G11" s="67"/>
      <c r="H11" s="67"/>
      <c r="I11" s="67"/>
      <c r="J11" s="67"/>
      <c r="K11" s="67"/>
      <c r="L11" s="67"/>
      <c r="M11" s="67"/>
    </row>
    <row r="12" spans="1:15" ht="13.5" thickTop="1" x14ac:dyDescent="0.2">
      <c r="A12" s="134"/>
      <c r="B12" s="134"/>
      <c r="C12" s="134"/>
      <c r="D12" s="134"/>
      <c r="E12" s="134"/>
      <c r="F12" s="134"/>
      <c r="G12" s="134"/>
      <c r="H12" s="134"/>
      <c r="I12" s="134"/>
      <c r="J12" s="134"/>
      <c r="K12" s="134"/>
      <c r="L12" s="134"/>
      <c r="M12" s="67"/>
    </row>
    <row r="13" spans="1:15" ht="13.5" thickBot="1" x14ac:dyDescent="0.25">
      <c r="A13" s="1" t="s">
        <v>24</v>
      </c>
      <c r="B13" s="1" t="s">
        <v>21</v>
      </c>
      <c r="C13" s="67"/>
      <c r="D13" s="135" t="s">
        <v>95</v>
      </c>
      <c r="E13" s="72" t="str">
        <f>IF(D5&gt;0,"Y","")</f>
        <v/>
      </c>
      <c r="F13" s="67"/>
      <c r="G13" s="67"/>
      <c r="H13" s="67"/>
      <c r="I13" s="67"/>
      <c r="J13" s="67"/>
      <c r="K13" s="67"/>
      <c r="L13" s="67"/>
      <c r="M13" s="67"/>
    </row>
    <row r="14" spans="1:15" s="17" customFormat="1" ht="12.75" customHeight="1" x14ac:dyDescent="0.2">
      <c r="A14" s="67"/>
      <c r="B14" s="148"/>
      <c r="C14" s="133"/>
      <c r="D14" s="133"/>
      <c r="E14" s="133"/>
      <c r="F14" s="133"/>
      <c r="G14" s="133"/>
      <c r="H14" s="133" t="s">
        <v>19</v>
      </c>
      <c r="I14" s="133"/>
      <c r="J14" s="133"/>
      <c r="K14" s="168"/>
      <c r="L14" s="169"/>
      <c r="M14" s="66"/>
      <c r="N14" s="23"/>
    </row>
    <row r="15" spans="1:15" s="17" customFormat="1" ht="15.75" x14ac:dyDescent="0.3">
      <c r="A15" s="66"/>
      <c r="B15" s="124"/>
      <c r="C15" s="66"/>
      <c r="D15" s="66"/>
      <c r="E15" s="75" t="s">
        <v>17</v>
      </c>
      <c r="F15" s="75" t="s">
        <v>14</v>
      </c>
      <c r="G15" s="75" t="s">
        <v>5</v>
      </c>
      <c r="H15" s="75" t="s">
        <v>7</v>
      </c>
      <c r="I15" s="75" t="s">
        <v>8</v>
      </c>
      <c r="J15" s="75" t="s">
        <v>18</v>
      </c>
      <c r="K15" s="75" t="s">
        <v>20</v>
      </c>
      <c r="L15" s="171" t="s">
        <v>81</v>
      </c>
      <c r="M15" s="66"/>
      <c r="N15" s="23"/>
      <c r="O15" s="23"/>
    </row>
    <row r="16" spans="1:15" s="17" customFormat="1" ht="15" customHeight="1" thickBot="1" x14ac:dyDescent="0.25">
      <c r="A16" s="66"/>
      <c r="B16" s="137" t="s">
        <v>91</v>
      </c>
      <c r="C16" s="138"/>
      <c r="D16" s="201"/>
      <c r="E16" s="202">
        <v>7.6</v>
      </c>
      <c r="F16" s="202">
        <v>7.6</v>
      </c>
      <c r="G16" s="202">
        <v>7.6</v>
      </c>
      <c r="H16" s="202">
        <v>0.6</v>
      </c>
      <c r="I16" s="202">
        <v>100</v>
      </c>
      <c r="J16" s="202">
        <v>84</v>
      </c>
      <c r="K16" s="203">
        <v>5.5</v>
      </c>
      <c r="L16" s="204">
        <v>1.8869</v>
      </c>
      <c r="M16" s="66"/>
      <c r="N16" s="23"/>
      <c r="O16" s="23"/>
    </row>
    <row r="17" spans="1:15" s="17" customFormat="1" ht="13.5" thickTop="1" x14ac:dyDescent="0.2">
      <c r="A17" s="66"/>
      <c r="B17" s="124"/>
      <c r="C17" s="66"/>
      <c r="D17" s="66"/>
      <c r="E17" s="167"/>
      <c r="F17" s="167"/>
      <c r="G17" s="167"/>
      <c r="H17" s="167"/>
      <c r="I17" s="167"/>
      <c r="J17" s="167"/>
      <c r="K17" s="167"/>
      <c r="L17" s="200"/>
      <c r="M17" s="66"/>
      <c r="N17" s="23"/>
      <c r="O17" s="23"/>
    </row>
    <row r="18" spans="1:15" s="16" customFormat="1" x14ac:dyDescent="0.2">
      <c r="A18" s="30"/>
      <c r="B18" s="124" t="s">
        <v>26</v>
      </c>
      <c r="C18" s="30"/>
      <c r="D18" s="30"/>
      <c r="E18" s="79">
        <f>IF($E$13="Y",$D$5/1020*E16*8760/2000,0)</f>
        <v>0</v>
      </c>
      <c r="F18" s="79">
        <f t="shared" ref="F18:L18" si="1">IF($E$13="Y",$D$5/1020*F16*8760/2000,0)</f>
        <v>0</v>
      </c>
      <c r="G18" s="79">
        <f t="shared" si="1"/>
        <v>0</v>
      </c>
      <c r="H18" s="79">
        <f t="shared" si="1"/>
        <v>0</v>
      </c>
      <c r="I18" s="79">
        <f t="shared" si="1"/>
        <v>0</v>
      </c>
      <c r="J18" s="79">
        <f t="shared" si="1"/>
        <v>0</v>
      </c>
      <c r="K18" s="79">
        <f t="shared" si="1"/>
        <v>0</v>
      </c>
      <c r="L18" s="125">
        <f t="shared" si="1"/>
        <v>0</v>
      </c>
      <c r="M18" s="30"/>
      <c r="N18" s="24"/>
      <c r="O18" s="24"/>
    </row>
    <row r="19" spans="1:15" s="17" customFormat="1" ht="13.5" thickBot="1" x14ac:dyDescent="0.25">
      <c r="A19" s="66"/>
      <c r="B19" s="142"/>
      <c r="C19" s="143"/>
      <c r="D19" s="143"/>
      <c r="E19" s="170"/>
      <c r="F19" s="147"/>
      <c r="G19" s="147"/>
      <c r="H19" s="147" t="s">
        <v>10</v>
      </c>
      <c r="I19" s="147"/>
      <c r="J19" s="147"/>
      <c r="K19" s="147"/>
      <c r="L19" s="152"/>
      <c r="M19" s="66"/>
      <c r="N19" s="23"/>
      <c r="O19" s="23"/>
    </row>
    <row r="20" spans="1:15" s="17" customFormat="1" x14ac:dyDescent="0.2">
      <c r="A20" s="67"/>
      <c r="B20" s="30" t="s">
        <v>12</v>
      </c>
      <c r="C20" s="66"/>
      <c r="D20" s="66"/>
      <c r="E20" s="153"/>
      <c r="F20" s="154"/>
      <c r="G20" s="154"/>
      <c r="H20" s="154"/>
      <c r="I20" s="154"/>
      <c r="J20" s="154"/>
      <c r="K20" s="154"/>
      <c r="L20" s="66"/>
      <c r="M20" s="66"/>
      <c r="N20" s="23"/>
      <c r="O20" s="23"/>
    </row>
    <row r="21" spans="1:15" s="17" customFormat="1" x14ac:dyDescent="0.2">
      <c r="A21" s="67"/>
      <c r="B21" s="66" t="s">
        <v>98</v>
      </c>
      <c r="C21" s="66"/>
      <c r="D21" s="66"/>
      <c r="E21" s="153"/>
      <c r="F21" s="154"/>
      <c r="G21" s="154"/>
      <c r="H21" s="154"/>
      <c r="I21" s="154"/>
      <c r="J21" s="154"/>
      <c r="K21" s="154"/>
      <c r="L21" s="66"/>
      <c r="M21" s="66"/>
      <c r="N21" s="23"/>
      <c r="O21" s="23"/>
    </row>
    <row r="22" spans="1:15" s="17" customFormat="1" ht="15.75" x14ac:dyDescent="0.3">
      <c r="A22" s="67"/>
      <c r="B22" s="67" t="s">
        <v>94</v>
      </c>
      <c r="C22" s="67"/>
      <c r="D22" s="67"/>
      <c r="E22" s="67"/>
      <c r="F22" s="67"/>
      <c r="G22" s="67"/>
      <c r="H22" s="67"/>
      <c r="I22" s="67"/>
      <c r="J22" s="67"/>
      <c r="K22" s="67"/>
      <c r="L22" s="67"/>
      <c r="M22" s="67"/>
    </row>
    <row r="23" spans="1:15" s="17" customFormat="1" x14ac:dyDescent="0.2">
      <c r="A23" s="67"/>
      <c r="B23" s="67"/>
      <c r="C23" s="67"/>
      <c r="D23" s="67"/>
      <c r="E23" s="67"/>
      <c r="F23" s="67"/>
      <c r="G23" s="67"/>
      <c r="H23" s="67"/>
      <c r="I23" s="67"/>
      <c r="J23" s="67"/>
      <c r="K23" s="67"/>
      <c r="L23" s="67"/>
      <c r="M23" s="67"/>
    </row>
    <row r="24" spans="1:15" s="17" customFormat="1" x14ac:dyDescent="0.2">
      <c r="A24" s="67"/>
      <c r="B24" s="1" t="s">
        <v>11</v>
      </c>
      <c r="C24" s="67"/>
      <c r="D24" s="67"/>
      <c r="E24" s="67"/>
      <c r="F24" s="67"/>
      <c r="G24" s="67"/>
      <c r="H24" s="67"/>
      <c r="I24" s="67"/>
      <c r="J24" s="67"/>
      <c r="K24" s="67"/>
      <c r="L24" s="67"/>
      <c r="M24" s="67"/>
    </row>
    <row r="25" spans="1:15" s="17" customFormat="1" x14ac:dyDescent="0.2">
      <c r="A25" s="67"/>
      <c r="B25" s="67" t="s">
        <v>27</v>
      </c>
      <c r="C25" s="67"/>
      <c r="D25" s="67"/>
      <c r="E25" s="67"/>
      <c r="F25" s="67"/>
      <c r="G25" s="67"/>
      <c r="H25" s="67"/>
      <c r="I25" s="67"/>
      <c r="J25" s="67"/>
      <c r="K25" s="67"/>
      <c r="L25" s="67"/>
      <c r="M25" s="67"/>
    </row>
    <row r="26" spans="1:15" s="17" customFormat="1" x14ac:dyDescent="0.2">
      <c r="A26" s="67"/>
      <c r="B26" s="67"/>
      <c r="C26" s="67"/>
      <c r="D26" s="67"/>
      <c r="E26" s="67"/>
      <c r="F26" s="67"/>
      <c r="G26" s="67"/>
      <c r="H26" s="67"/>
      <c r="I26" s="67"/>
      <c r="J26" s="67"/>
      <c r="K26" s="67"/>
      <c r="L26" s="67"/>
      <c r="M26" s="67"/>
    </row>
    <row r="27" spans="1:15" x14ac:dyDescent="0.2">
      <c r="A27" s="67"/>
      <c r="B27" s="67"/>
      <c r="C27" s="67"/>
      <c r="D27" s="67"/>
      <c r="E27" s="67"/>
      <c r="F27" s="67"/>
      <c r="G27" s="67"/>
      <c r="H27" s="67"/>
      <c r="I27" s="67"/>
      <c r="J27" s="67"/>
      <c r="K27" s="67"/>
      <c r="L27" s="67"/>
      <c r="M27" s="67"/>
    </row>
    <row r="28" spans="1:15" ht="13.5" thickBot="1" x14ac:dyDescent="0.25">
      <c r="A28" s="1" t="s">
        <v>24</v>
      </c>
      <c r="B28" s="1" t="s">
        <v>28</v>
      </c>
      <c r="C28" s="67"/>
      <c r="D28" s="135" t="s">
        <v>95</v>
      </c>
      <c r="E28" s="72" t="str">
        <f>IF(D6&gt;0,"Y","")</f>
        <v>Y</v>
      </c>
      <c r="F28" s="67"/>
      <c r="G28" s="67" t="s">
        <v>29</v>
      </c>
      <c r="H28" s="67"/>
      <c r="I28" s="173">
        <f>Inputs!H21</f>
        <v>1.5E-3</v>
      </c>
      <c r="J28" s="67" t="s">
        <v>0</v>
      </c>
      <c r="K28" s="67"/>
      <c r="L28" s="67"/>
      <c r="M28" s="67"/>
    </row>
    <row r="29" spans="1:15" s="17" customFormat="1" ht="12.75" customHeight="1" x14ac:dyDescent="0.2">
      <c r="A29" s="67"/>
      <c r="B29" s="148"/>
      <c r="C29" s="133"/>
      <c r="D29" s="133"/>
      <c r="E29" s="133"/>
      <c r="F29" s="133"/>
      <c r="G29" s="133"/>
      <c r="H29" s="133" t="s">
        <v>19</v>
      </c>
      <c r="I29" s="133"/>
      <c r="J29" s="133"/>
      <c r="K29" s="168"/>
      <c r="L29" s="169"/>
      <c r="M29" s="66"/>
      <c r="N29" s="23"/>
    </row>
    <row r="30" spans="1:15" s="17" customFormat="1" ht="15.75" x14ac:dyDescent="0.3">
      <c r="A30" s="66"/>
      <c r="B30" s="124"/>
      <c r="C30" s="66"/>
      <c r="D30" s="66"/>
      <c r="E30" s="75" t="s">
        <v>17</v>
      </c>
      <c r="F30" s="75" t="s">
        <v>14</v>
      </c>
      <c r="G30" s="75" t="s">
        <v>5</v>
      </c>
      <c r="H30" s="75" t="s">
        <v>7</v>
      </c>
      <c r="I30" s="75" t="s">
        <v>8</v>
      </c>
      <c r="J30" s="75" t="s">
        <v>18</v>
      </c>
      <c r="K30" s="75" t="s">
        <v>20</v>
      </c>
      <c r="L30" s="171" t="s">
        <v>81</v>
      </c>
      <c r="M30" s="66"/>
      <c r="N30" s="23"/>
      <c r="O30" s="23"/>
    </row>
    <row r="31" spans="1:15" s="17" customFormat="1" ht="15" customHeight="1" thickBot="1" x14ac:dyDescent="0.25">
      <c r="A31" s="66"/>
      <c r="B31" s="137" t="s">
        <v>92</v>
      </c>
      <c r="C31" s="138"/>
      <c r="D31" s="201"/>
      <c r="E31" s="202">
        <v>0.7</v>
      </c>
      <c r="F31" s="202">
        <v>0.7</v>
      </c>
      <c r="G31" s="202">
        <v>0.7</v>
      </c>
      <c r="H31" s="202">
        <f>0.1*I28</f>
        <v>1.5000000000000001E-4</v>
      </c>
      <c r="I31" s="202">
        <v>13</v>
      </c>
      <c r="J31" s="202">
        <v>7.5</v>
      </c>
      <c r="K31" s="203">
        <v>1</v>
      </c>
      <c r="L31" s="205"/>
      <c r="M31" s="66"/>
      <c r="N31" s="23"/>
      <c r="O31" s="23"/>
    </row>
    <row r="32" spans="1:15" s="17" customFormat="1" ht="13.5" thickTop="1" x14ac:dyDescent="0.2">
      <c r="A32" s="66"/>
      <c r="B32" s="124"/>
      <c r="C32" s="66"/>
      <c r="D32" s="66"/>
      <c r="E32" s="167"/>
      <c r="F32" s="167"/>
      <c r="G32" s="167"/>
      <c r="H32" s="167"/>
      <c r="I32" s="167"/>
      <c r="J32" s="167"/>
      <c r="K32" s="167"/>
      <c r="L32" s="200"/>
      <c r="M32" s="66"/>
      <c r="N32" s="23"/>
      <c r="O32" s="23"/>
    </row>
    <row r="33" spans="1:15" s="16" customFormat="1" x14ac:dyDescent="0.2">
      <c r="A33" s="30"/>
      <c r="B33" s="124" t="s">
        <v>26</v>
      </c>
      <c r="C33" s="30"/>
      <c r="D33" s="30"/>
      <c r="E33" s="79">
        <f>IF($E$28="Y",$D$6/91.5*E31*8760/2000,0)</f>
        <v>0.33508196721311467</v>
      </c>
      <c r="F33" s="79">
        <f t="shared" ref="F33:L33" si="2">IF($E$28="Y",$D$6/91.5*F31*8760/2000,0)</f>
        <v>0.33508196721311467</v>
      </c>
      <c r="G33" s="79">
        <f t="shared" si="2"/>
        <v>0.33508196721311467</v>
      </c>
      <c r="H33" s="79">
        <f t="shared" si="2"/>
        <v>7.1803278688524599E-5</v>
      </c>
      <c r="I33" s="79">
        <f t="shared" si="2"/>
        <v>6.222950819672131</v>
      </c>
      <c r="J33" s="79">
        <f t="shared" si="2"/>
        <v>3.5901639344262293</v>
      </c>
      <c r="K33" s="79">
        <f t="shared" si="2"/>
        <v>0.47868852459016392</v>
      </c>
      <c r="L33" s="125">
        <f t="shared" si="2"/>
        <v>0</v>
      </c>
      <c r="M33" s="30"/>
      <c r="N33" s="24"/>
      <c r="O33" s="24"/>
    </row>
    <row r="34" spans="1:15" s="17" customFormat="1" ht="13.5" thickBot="1" x14ac:dyDescent="0.25">
      <c r="A34" s="66"/>
      <c r="B34" s="142"/>
      <c r="C34" s="143"/>
      <c r="D34" s="143"/>
      <c r="E34" s="170"/>
      <c r="F34" s="147"/>
      <c r="G34" s="147"/>
      <c r="H34" s="147" t="s">
        <v>10</v>
      </c>
      <c r="I34" s="147"/>
      <c r="J34" s="147"/>
      <c r="K34" s="147"/>
      <c r="L34" s="152"/>
      <c r="M34" s="66"/>
      <c r="N34" s="23"/>
      <c r="O34" s="23"/>
    </row>
    <row r="35" spans="1:15" s="17" customFormat="1" x14ac:dyDescent="0.2">
      <c r="A35" s="67"/>
      <c r="B35" s="30" t="s">
        <v>12</v>
      </c>
      <c r="C35" s="66"/>
      <c r="D35" s="66"/>
      <c r="E35" s="153"/>
      <c r="F35" s="154"/>
      <c r="G35" s="154"/>
      <c r="H35" s="154"/>
      <c r="I35" s="154"/>
      <c r="J35" s="154"/>
      <c r="K35" s="154"/>
      <c r="L35" s="66"/>
      <c r="M35" s="66"/>
      <c r="N35" s="23"/>
      <c r="O35" s="23"/>
    </row>
    <row r="36" spans="1:15" s="17" customFormat="1" x14ac:dyDescent="0.2">
      <c r="A36" s="67"/>
      <c r="B36" s="66" t="s">
        <v>34</v>
      </c>
      <c r="C36" s="66"/>
      <c r="D36" s="66"/>
      <c r="E36" s="153"/>
      <c r="F36" s="154"/>
      <c r="G36" s="154"/>
      <c r="H36" s="154"/>
      <c r="I36" s="154"/>
      <c r="J36" s="154"/>
      <c r="K36" s="154"/>
      <c r="L36" s="66"/>
      <c r="M36" s="66"/>
      <c r="N36" s="23"/>
      <c r="O36" s="23"/>
    </row>
    <row r="37" spans="1:15" s="17" customFormat="1" ht="15.75" x14ac:dyDescent="0.3">
      <c r="A37" s="67"/>
      <c r="B37" s="67" t="s">
        <v>94</v>
      </c>
      <c r="C37" s="67"/>
      <c r="D37" s="67"/>
      <c r="E37" s="67"/>
      <c r="F37" s="67"/>
      <c r="G37" s="67"/>
      <c r="H37" s="67"/>
      <c r="I37" s="67"/>
      <c r="J37" s="67"/>
      <c r="K37" s="67"/>
      <c r="L37" s="67"/>
      <c r="M37" s="67"/>
    </row>
    <row r="38" spans="1:15" s="17" customFormat="1" x14ac:dyDescent="0.2">
      <c r="A38" s="67"/>
      <c r="B38" s="67"/>
      <c r="C38" s="67"/>
      <c r="D38" s="67"/>
      <c r="E38" s="67"/>
      <c r="F38" s="67"/>
      <c r="G38" s="67"/>
      <c r="H38" s="67"/>
      <c r="I38" s="67"/>
      <c r="J38" s="67"/>
      <c r="K38" s="67"/>
      <c r="L38" s="67"/>
      <c r="M38" s="67"/>
    </row>
    <row r="39" spans="1:15" s="17" customFormat="1" x14ac:dyDescent="0.2">
      <c r="A39" s="67"/>
      <c r="B39" s="1" t="s">
        <v>11</v>
      </c>
      <c r="C39" s="67"/>
      <c r="D39" s="67"/>
      <c r="E39" s="67"/>
      <c r="F39" s="67"/>
      <c r="G39" s="67"/>
      <c r="H39" s="67"/>
      <c r="I39" s="67"/>
      <c r="J39" s="67"/>
      <c r="K39" s="67"/>
      <c r="L39" s="67"/>
      <c r="M39" s="67"/>
    </row>
    <row r="40" spans="1:15" s="17" customFormat="1" x14ac:dyDescent="0.2">
      <c r="A40" s="67"/>
      <c r="B40" s="67" t="s">
        <v>30</v>
      </c>
      <c r="C40" s="67"/>
      <c r="D40" s="67"/>
      <c r="E40" s="67"/>
      <c r="F40" s="67"/>
      <c r="G40" s="67"/>
      <c r="H40" s="67"/>
      <c r="I40" s="67"/>
      <c r="J40" s="67"/>
      <c r="K40" s="67"/>
      <c r="L40" s="67"/>
      <c r="M40" s="67"/>
    </row>
    <row r="41" spans="1:15" x14ac:dyDescent="0.2">
      <c r="A41" s="67"/>
      <c r="B41" s="67"/>
      <c r="C41" s="67"/>
      <c r="D41" s="67"/>
      <c r="E41" s="67"/>
      <c r="F41" s="67"/>
      <c r="G41" s="67"/>
      <c r="H41" s="67"/>
      <c r="I41" s="67"/>
      <c r="J41" s="67"/>
      <c r="K41" s="67"/>
      <c r="L41" s="67"/>
      <c r="M41" s="67"/>
    </row>
    <row r="42" spans="1:15" x14ac:dyDescent="0.2">
      <c r="A42" s="67"/>
      <c r="B42" s="67"/>
      <c r="C42" s="67"/>
      <c r="D42" s="67"/>
      <c r="E42" s="67"/>
      <c r="F42" s="67"/>
      <c r="G42" s="67"/>
      <c r="H42" s="67"/>
      <c r="I42" s="67"/>
      <c r="J42" s="67"/>
      <c r="K42" s="67"/>
      <c r="L42" s="67"/>
      <c r="M42" s="67"/>
    </row>
    <row r="43" spans="1:15" ht="13.5" thickBot="1" x14ac:dyDescent="0.25">
      <c r="A43" s="1" t="s">
        <v>24</v>
      </c>
      <c r="B43" s="1" t="s">
        <v>90</v>
      </c>
      <c r="C43" s="67"/>
      <c r="D43" s="135" t="s">
        <v>95</v>
      </c>
      <c r="E43" s="72" t="str">
        <f>IF(D7&gt;0,"Y","")</f>
        <v/>
      </c>
      <c r="F43" s="67"/>
      <c r="G43" s="67" t="s">
        <v>29</v>
      </c>
      <c r="H43" s="67"/>
      <c r="I43" s="173">
        <f>Inputs!H22</f>
        <v>1.5E-3</v>
      </c>
      <c r="J43" s="67" t="s">
        <v>0</v>
      </c>
      <c r="K43" s="67"/>
      <c r="L43" s="67"/>
      <c r="M43" s="67"/>
    </row>
    <row r="44" spans="1:15" s="17" customFormat="1" ht="12.75" customHeight="1" x14ac:dyDescent="0.2">
      <c r="A44" s="67"/>
      <c r="B44" s="148"/>
      <c r="C44" s="133"/>
      <c r="D44" s="133"/>
      <c r="E44" s="133"/>
      <c r="F44" s="133"/>
      <c r="G44" s="133"/>
      <c r="H44" s="133" t="s">
        <v>19</v>
      </c>
      <c r="I44" s="133"/>
      <c r="J44" s="133"/>
      <c r="K44" s="168"/>
      <c r="L44" s="169"/>
      <c r="M44" s="66"/>
      <c r="N44" s="23"/>
    </row>
    <row r="45" spans="1:15" s="17" customFormat="1" ht="15.75" x14ac:dyDescent="0.2">
      <c r="A45" s="66"/>
      <c r="B45" s="124"/>
      <c r="C45" s="66"/>
      <c r="D45" s="66"/>
      <c r="E45" s="158" t="s">
        <v>38</v>
      </c>
      <c r="F45" s="158" t="s">
        <v>6</v>
      </c>
      <c r="G45" s="158" t="s">
        <v>5</v>
      </c>
      <c r="H45" s="158" t="s">
        <v>7</v>
      </c>
      <c r="I45" s="158" t="s">
        <v>8</v>
      </c>
      <c r="J45" s="158" t="s">
        <v>18</v>
      </c>
      <c r="K45" s="158" t="s">
        <v>20</v>
      </c>
      <c r="L45" s="96" t="s">
        <v>81</v>
      </c>
      <c r="M45" s="66"/>
      <c r="N45" s="23"/>
      <c r="O45" s="23"/>
    </row>
    <row r="46" spans="1:15" s="17" customFormat="1" ht="15" customHeight="1" thickBot="1" x14ac:dyDescent="0.25">
      <c r="A46" s="66"/>
      <c r="B46" s="137" t="s">
        <v>93</v>
      </c>
      <c r="C46" s="138"/>
      <c r="D46" s="138"/>
      <c r="E46" s="206">
        <v>2</v>
      </c>
      <c r="F46" s="207">
        <v>3.3</v>
      </c>
      <c r="G46" s="207">
        <v>2.5499999999999998</v>
      </c>
      <c r="H46" s="207">
        <f>142*I43</f>
        <v>0.21299999999999999</v>
      </c>
      <c r="I46" s="207">
        <v>20</v>
      </c>
      <c r="J46" s="206">
        <v>5</v>
      </c>
      <c r="K46" s="208">
        <v>0.34</v>
      </c>
      <c r="L46" s="209">
        <v>0.55369999999999997</v>
      </c>
      <c r="M46" s="66"/>
      <c r="N46" s="23"/>
      <c r="O46" s="23"/>
    </row>
    <row r="47" spans="1:15" s="17" customFormat="1" ht="13.5" thickTop="1" x14ac:dyDescent="0.2">
      <c r="A47" s="66"/>
      <c r="B47" s="124"/>
      <c r="C47" s="66"/>
      <c r="D47" s="66"/>
      <c r="E47" s="167"/>
      <c r="F47" s="167"/>
      <c r="G47" s="167"/>
      <c r="H47" s="167"/>
      <c r="I47" s="167"/>
      <c r="J47" s="167"/>
      <c r="K47" s="167"/>
      <c r="L47" s="200"/>
      <c r="M47" s="66"/>
      <c r="N47" s="23"/>
      <c r="O47" s="23"/>
    </row>
    <row r="48" spans="1:15" s="16" customFormat="1" x14ac:dyDescent="0.2">
      <c r="A48" s="30"/>
      <c r="B48" s="124" t="s">
        <v>26</v>
      </c>
      <c r="C48" s="30"/>
      <c r="D48" s="30"/>
      <c r="E48" s="79">
        <f>IF($E$43="Y",$D$7/140*E46*8760/2000,0)</f>
        <v>0</v>
      </c>
      <c r="F48" s="79">
        <f t="shared" ref="F48:L48" si="3">IF($E$43="Y",$D$7/140*F46*8760/2000,0)</f>
        <v>0</v>
      </c>
      <c r="G48" s="79">
        <f t="shared" si="3"/>
        <v>0</v>
      </c>
      <c r="H48" s="79">
        <f t="shared" si="3"/>
        <v>0</v>
      </c>
      <c r="I48" s="79">
        <f t="shared" si="3"/>
        <v>0</v>
      </c>
      <c r="J48" s="79">
        <f t="shared" si="3"/>
        <v>0</v>
      </c>
      <c r="K48" s="79">
        <f t="shared" si="3"/>
        <v>0</v>
      </c>
      <c r="L48" s="125">
        <f t="shared" si="3"/>
        <v>0</v>
      </c>
      <c r="M48" s="30"/>
      <c r="N48" s="24"/>
      <c r="O48" s="24"/>
    </row>
    <row r="49" spans="1:15" s="17" customFormat="1" ht="13.5" thickBot="1" x14ac:dyDescent="0.25">
      <c r="A49" s="66"/>
      <c r="B49" s="142"/>
      <c r="C49" s="143"/>
      <c r="D49" s="143"/>
      <c r="E49" s="170"/>
      <c r="F49" s="147"/>
      <c r="G49" s="147"/>
      <c r="H49" s="147" t="s">
        <v>10</v>
      </c>
      <c r="I49" s="147"/>
      <c r="J49" s="147"/>
      <c r="K49" s="147"/>
      <c r="L49" s="152"/>
      <c r="M49" s="66"/>
      <c r="N49" s="23"/>
      <c r="O49" s="23"/>
    </row>
    <row r="50" spans="1:15" s="17" customFormat="1" x14ac:dyDescent="0.2">
      <c r="A50" s="67"/>
      <c r="B50" s="30" t="s">
        <v>12</v>
      </c>
      <c r="C50" s="66"/>
      <c r="D50" s="66"/>
      <c r="E50" s="153"/>
      <c r="F50" s="154"/>
      <c r="G50" s="154"/>
      <c r="H50" s="154"/>
      <c r="I50" s="154"/>
      <c r="J50" s="154"/>
      <c r="K50" s="154"/>
      <c r="L50" s="66"/>
      <c r="M50" s="66"/>
      <c r="N50" s="23"/>
      <c r="O50" s="23"/>
    </row>
    <row r="51" spans="1:15" s="17" customFormat="1" x14ac:dyDescent="0.2">
      <c r="A51" s="67"/>
      <c r="B51" s="66" t="s">
        <v>97</v>
      </c>
      <c r="C51" s="66"/>
      <c r="D51" s="66"/>
      <c r="E51" s="153"/>
      <c r="F51" s="154"/>
      <c r="G51" s="154"/>
      <c r="H51" s="154"/>
      <c r="I51" s="154"/>
      <c r="J51" s="154"/>
      <c r="K51" s="154"/>
      <c r="L51" s="66"/>
      <c r="M51" s="66"/>
      <c r="N51" s="23"/>
      <c r="O51" s="23"/>
    </row>
    <row r="52" spans="1:15" s="17" customFormat="1" x14ac:dyDescent="0.2">
      <c r="A52" s="67"/>
      <c r="B52" s="67" t="s">
        <v>48</v>
      </c>
      <c r="C52" s="67"/>
      <c r="D52" s="67"/>
      <c r="E52" s="67"/>
      <c r="F52" s="67"/>
      <c r="G52" s="67"/>
      <c r="H52" s="67"/>
      <c r="I52" s="67"/>
      <c r="J52" s="67"/>
      <c r="K52" s="66"/>
      <c r="L52" s="66"/>
      <c r="M52" s="66"/>
      <c r="N52" s="23"/>
    </row>
    <row r="53" spans="1:15" s="17" customFormat="1" x14ac:dyDescent="0.2">
      <c r="A53" s="67"/>
      <c r="B53" s="67"/>
      <c r="C53" s="67"/>
      <c r="D53" s="67"/>
      <c r="E53" s="67"/>
      <c r="F53" s="67"/>
      <c r="G53" s="67"/>
      <c r="H53" s="67"/>
      <c r="I53" s="67"/>
      <c r="J53" s="67"/>
      <c r="K53" s="67"/>
      <c r="L53" s="67"/>
      <c r="M53" s="67"/>
    </row>
    <row r="54" spans="1:15" s="17" customFormat="1" x14ac:dyDescent="0.2">
      <c r="A54" s="67"/>
      <c r="B54" s="1" t="s">
        <v>11</v>
      </c>
      <c r="C54" s="67"/>
      <c r="D54" s="67"/>
      <c r="E54" s="67"/>
      <c r="F54" s="67"/>
      <c r="G54" s="67"/>
      <c r="H54" s="67"/>
      <c r="I54" s="67"/>
      <c r="J54" s="67"/>
      <c r="K54" s="67"/>
      <c r="L54" s="67"/>
      <c r="M54" s="67"/>
    </row>
    <row r="55" spans="1:15" s="17" customFormat="1" x14ac:dyDescent="0.2">
      <c r="A55" s="67"/>
      <c r="B55" s="67" t="s">
        <v>31</v>
      </c>
      <c r="C55" s="67"/>
      <c r="D55" s="67"/>
      <c r="E55" s="67"/>
      <c r="F55" s="67"/>
      <c r="G55" s="67"/>
      <c r="H55" s="67"/>
      <c r="I55" s="67"/>
      <c r="J55" s="67"/>
      <c r="K55" s="67"/>
      <c r="L55" s="67"/>
      <c r="M55" s="67"/>
    </row>
    <row r="56" spans="1:15" x14ac:dyDescent="0.2">
      <c r="A56" s="67"/>
      <c r="B56" s="67"/>
      <c r="C56" s="67"/>
      <c r="D56" s="67"/>
      <c r="E56" s="67"/>
      <c r="F56" s="67"/>
      <c r="G56" s="67"/>
      <c r="H56" s="67"/>
      <c r="I56" s="67"/>
      <c r="J56" s="67"/>
      <c r="K56" s="67"/>
      <c r="L56" s="67"/>
      <c r="M56" s="67"/>
    </row>
    <row r="57" spans="1:15" x14ac:dyDescent="0.2">
      <c r="A57" s="67"/>
      <c r="B57" s="67"/>
      <c r="C57" s="67"/>
      <c r="D57" s="67"/>
      <c r="E57" s="67"/>
      <c r="F57" s="67"/>
      <c r="G57" s="67"/>
      <c r="H57" s="67"/>
      <c r="I57" s="67"/>
      <c r="J57" s="67"/>
      <c r="K57" s="67"/>
      <c r="L57" s="67"/>
      <c r="M57" s="67"/>
    </row>
  </sheetData>
  <mergeCells count="3">
    <mergeCell ref="A1:M1"/>
    <mergeCell ref="A2:M2"/>
    <mergeCell ref="A3:M3"/>
  </mergeCells>
  <phoneticPr fontId="2"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9"/>
  <sheetViews>
    <sheetView workbookViewId="0">
      <selection activeCell="C32" sqref="C32"/>
    </sheetView>
  </sheetViews>
  <sheetFormatPr defaultColWidth="8.7109375" defaultRowHeight="12.75" x14ac:dyDescent="0.2"/>
  <cols>
    <col min="1" max="1" width="14.42578125" customWidth="1"/>
    <col min="2" max="2" width="16" customWidth="1"/>
    <col min="3" max="3" width="18.42578125" customWidth="1"/>
    <col min="4" max="4" width="11.28515625" customWidth="1"/>
    <col min="5" max="5" width="10.28515625" customWidth="1"/>
    <col min="8" max="11" width="8.7109375" bestFit="1" customWidth="1"/>
    <col min="12" max="12" width="12.42578125" customWidth="1"/>
  </cols>
  <sheetData>
    <row r="1" spans="1:17" s="63" customFormat="1" ht="20.25" x14ac:dyDescent="0.3">
      <c r="A1" s="278" t="str">
        <f>Inputs!A1</f>
        <v>Potential To Emit Calculator for Sawmill Facilities</v>
      </c>
      <c r="B1" s="278"/>
      <c r="C1" s="278"/>
      <c r="D1" s="278"/>
      <c r="E1" s="278"/>
      <c r="F1" s="278"/>
      <c r="G1" s="278"/>
      <c r="H1" s="278"/>
      <c r="I1" s="278"/>
      <c r="J1" s="278"/>
      <c r="K1" s="278"/>
      <c r="L1" s="278"/>
      <c r="M1" s="64"/>
      <c r="N1" s="10"/>
      <c r="O1" s="10"/>
    </row>
    <row r="2" spans="1:17" s="63" customFormat="1" x14ac:dyDescent="0.2">
      <c r="A2" s="279">
        <f>Inputs!A2</f>
        <v>42552</v>
      </c>
      <c r="B2" s="279"/>
      <c r="C2" s="279"/>
      <c r="D2" s="279"/>
      <c r="E2" s="279"/>
      <c r="F2" s="279"/>
      <c r="G2" s="279"/>
      <c r="H2" s="279"/>
      <c r="I2" s="279"/>
      <c r="J2" s="279"/>
      <c r="K2" s="279"/>
      <c r="L2" s="279"/>
      <c r="M2" s="11"/>
      <c r="N2" s="11"/>
      <c r="O2" s="11"/>
      <c r="P2" s="11"/>
      <c r="Q2" s="11"/>
    </row>
    <row r="3" spans="1:17" ht="15.75" x14ac:dyDescent="0.25">
      <c r="A3" s="298" t="s">
        <v>181</v>
      </c>
      <c r="B3" s="298"/>
      <c r="C3" s="298"/>
      <c r="D3" s="298"/>
      <c r="E3" s="298"/>
      <c r="F3" s="298"/>
      <c r="G3" s="298"/>
      <c r="H3" s="298"/>
      <c r="I3" s="298"/>
      <c r="J3" s="298"/>
      <c r="K3" s="298"/>
      <c r="L3" s="298"/>
    </row>
    <row r="4" spans="1:17" ht="15.75" x14ac:dyDescent="0.25">
      <c r="A4" s="71"/>
      <c r="B4" s="15"/>
    </row>
    <row r="5" spans="1:17" x14ac:dyDescent="0.2">
      <c r="A5" s="74"/>
      <c r="B5" s="196" t="s">
        <v>133</v>
      </c>
      <c r="C5" s="197">
        <f>Inputs!D14</f>
        <v>20</v>
      </c>
      <c r="D5" s="119" t="s">
        <v>135</v>
      </c>
      <c r="I5" s="5" t="s">
        <v>1</v>
      </c>
    </row>
    <row r="6" spans="1:17" x14ac:dyDescent="0.2">
      <c r="A6" s="74"/>
      <c r="B6" s="196" t="s">
        <v>138</v>
      </c>
      <c r="C6" s="197" t="str">
        <f>IF(Inputs!I14="Y","Baghouse",IF(Inputs!H14="Y","Cyclone","No Control"))</f>
        <v>Cyclone</v>
      </c>
      <c r="D6" s="119"/>
      <c r="I6" s="2" t="s">
        <v>22</v>
      </c>
    </row>
    <row r="7" spans="1:17" x14ac:dyDescent="0.2">
      <c r="A7" s="198"/>
      <c r="B7" s="196" t="s">
        <v>134</v>
      </c>
      <c r="C7" s="197">
        <f>Inputs!D15</f>
        <v>20</v>
      </c>
      <c r="D7" s="119" t="s">
        <v>135</v>
      </c>
      <c r="I7" s="2"/>
    </row>
    <row r="8" spans="1:17" x14ac:dyDescent="0.2">
      <c r="A8" s="198"/>
      <c r="B8" s="196" t="s">
        <v>137</v>
      </c>
      <c r="C8" s="199" t="str">
        <f>IF(Inputs!I15="Y","Baghouse",IF(Inputs!H15="Y","Cyclone","No Control"))</f>
        <v>Cyclone</v>
      </c>
      <c r="D8" s="198"/>
      <c r="I8" s="5"/>
    </row>
    <row r="9" spans="1:17" ht="13.5" thickBot="1" x14ac:dyDescent="0.25">
      <c r="A9" s="3"/>
      <c r="B9" s="12"/>
      <c r="C9" s="12"/>
      <c r="D9" s="3"/>
      <c r="I9" s="5"/>
    </row>
    <row r="10" spans="1:17" ht="12" customHeight="1" thickTop="1" x14ac:dyDescent="0.2">
      <c r="A10" s="4"/>
      <c r="B10" s="4"/>
      <c r="C10" s="4"/>
      <c r="D10" s="4"/>
      <c r="E10" s="4"/>
      <c r="F10" s="4"/>
      <c r="G10" s="4"/>
      <c r="H10" s="4"/>
      <c r="I10" s="4"/>
      <c r="J10" s="4"/>
      <c r="K10" s="4"/>
      <c r="L10" s="4"/>
    </row>
    <row r="11" spans="1:17" ht="13.5" thickBot="1" x14ac:dyDescent="0.25">
      <c r="A11" s="1"/>
      <c r="B11" s="1" t="s">
        <v>141</v>
      </c>
      <c r="D11" s="55"/>
      <c r="E11" s="12"/>
      <c r="F11" s="12"/>
      <c r="G11" s="3" t="s">
        <v>10</v>
      </c>
      <c r="H11" s="3" t="s">
        <v>10</v>
      </c>
      <c r="I11" s="53"/>
      <c r="J11" s="54" t="s">
        <v>10</v>
      </c>
    </row>
    <row r="12" spans="1:17" s="17" customFormat="1" ht="12.75" customHeight="1" x14ac:dyDescent="0.2">
      <c r="B12" s="82"/>
      <c r="C12" s="83"/>
      <c r="D12" s="83"/>
      <c r="E12" s="83"/>
      <c r="F12" s="83"/>
      <c r="G12" s="83"/>
      <c r="H12" s="83" t="s">
        <v>19</v>
      </c>
      <c r="I12" s="83"/>
      <c r="J12" s="83"/>
      <c r="K12" s="85"/>
      <c r="L12" s="23"/>
      <c r="M12" s="23"/>
      <c r="N12" s="23"/>
    </row>
    <row r="13" spans="1:17" s="17" customFormat="1" ht="15.75" x14ac:dyDescent="0.3">
      <c r="A13" s="23"/>
      <c r="B13" s="86"/>
      <c r="C13" s="9"/>
      <c r="D13" s="9"/>
      <c r="E13" s="187" t="s">
        <v>17</v>
      </c>
      <c r="F13" s="188" t="s">
        <v>6</v>
      </c>
      <c r="G13" s="187" t="s">
        <v>5</v>
      </c>
      <c r="H13" s="188" t="s">
        <v>7</v>
      </c>
      <c r="I13" s="188" t="s">
        <v>8</v>
      </c>
      <c r="J13" s="188" t="s">
        <v>18</v>
      </c>
      <c r="K13" s="191" t="s">
        <v>20</v>
      </c>
      <c r="L13" s="23"/>
      <c r="M13" s="23"/>
      <c r="N13" s="23"/>
      <c r="O13" s="23"/>
    </row>
    <row r="14" spans="1:17" s="17" customFormat="1" ht="14.25" x14ac:dyDescent="0.2">
      <c r="A14" s="23"/>
      <c r="B14" s="302" t="s">
        <v>165</v>
      </c>
      <c r="C14" s="303"/>
      <c r="D14" s="74" t="s">
        <v>136</v>
      </c>
      <c r="E14" s="166" t="str">
        <f>IF($C$6="No Control",5,"")</f>
        <v/>
      </c>
      <c r="F14" s="166" t="str">
        <f>IF($C$6="No Control",2.5,"")</f>
        <v/>
      </c>
      <c r="G14" s="166" t="str">
        <f>IF($C$6="No Control",1.5,"")</f>
        <v/>
      </c>
      <c r="H14" s="188"/>
      <c r="I14" s="188"/>
      <c r="J14" s="188"/>
      <c r="K14" s="191"/>
      <c r="L14" s="23"/>
      <c r="M14" s="23"/>
      <c r="N14" s="23"/>
      <c r="O14" s="23"/>
    </row>
    <row r="15" spans="1:17" s="17" customFormat="1" ht="14.25" x14ac:dyDescent="0.2">
      <c r="A15" s="23"/>
      <c r="B15" s="302" t="s">
        <v>166</v>
      </c>
      <c r="C15" s="303"/>
      <c r="D15" s="74" t="s">
        <v>136</v>
      </c>
      <c r="E15" s="166" t="str">
        <f>IF($C$8="No Control",5,"")</f>
        <v/>
      </c>
      <c r="F15" s="166" t="str">
        <f>IF($C$8="No Control",2.5,"")</f>
        <v/>
      </c>
      <c r="G15" s="166" t="str">
        <f>IF($C$8="No Control",1.5,"")</f>
        <v/>
      </c>
      <c r="H15" s="188"/>
      <c r="I15" s="188"/>
      <c r="J15" s="188"/>
      <c r="K15" s="191"/>
      <c r="L15" s="23"/>
      <c r="M15" s="23"/>
      <c r="N15" s="23"/>
      <c r="O15" s="23"/>
    </row>
    <row r="16" spans="1:17" s="17" customFormat="1" ht="14.25" x14ac:dyDescent="0.2">
      <c r="A16" s="23"/>
      <c r="B16" s="302" t="s">
        <v>164</v>
      </c>
      <c r="C16" s="303"/>
      <c r="D16" s="74" t="s">
        <v>136</v>
      </c>
      <c r="E16" s="166">
        <f>IF($C$6="Cyclone",0.5,"")</f>
        <v>0.5</v>
      </c>
      <c r="F16" s="166">
        <f>IF($C$6="Cyclone",0.25,"")</f>
        <v>0.25</v>
      </c>
      <c r="G16" s="166">
        <f>IF($C$6="Cyclone",0.15,"")</f>
        <v>0.15</v>
      </c>
      <c r="H16" s="184" t="s">
        <v>96</v>
      </c>
      <c r="I16" s="184" t="s">
        <v>96</v>
      </c>
      <c r="J16" s="184" t="s">
        <v>96</v>
      </c>
      <c r="K16" s="228" t="s">
        <v>96</v>
      </c>
      <c r="L16" s="23"/>
      <c r="M16" s="23"/>
      <c r="N16" s="23"/>
      <c r="O16" s="23"/>
    </row>
    <row r="17" spans="1:15" s="17" customFormat="1" ht="14.25" x14ac:dyDescent="0.2">
      <c r="A17" s="23"/>
      <c r="B17" s="302" t="s">
        <v>167</v>
      </c>
      <c r="C17" s="303"/>
      <c r="D17" s="74" t="s">
        <v>136</v>
      </c>
      <c r="E17" s="166">
        <f>IF($C$8="Cyclone",0.5,"")</f>
        <v>0.5</v>
      </c>
      <c r="F17" s="166">
        <f>IF($C$8="Cyclone",0.25,"")</f>
        <v>0.25</v>
      </c>
      <c r="G17" s="166">
        <f>IF($C$8="Cyclone",0.15,"")</f>
        <v>0.15</v>
      </c>
      <c r="H17" s="184" t="s">
        <v>96</v>
      </c>
      <c r="I17" s="184" t="s">
        <v>96</v>
      </c>
      <c r="J17" s="184" t="s">
        <v>96</v>
      </c>
      <c r="K17" s="228" t="s">
        <v>96</v>
      </c>
      <c r="L17" s="23"/>
      <c r="M17" s="23"/>
      <c r="N17" s="23"/>
      <c r="O17" s="23"/>
    </row>
    <row r="18" spans="1:15" s="17" customFormat="1" ht="15" customHeight="1" x14ac:dyDescent="0.2">
      <c r="A18" s="23"/>
      <c r="B18" s="302" t="s">
        <v>168</v>
      </c>
      <c r="C18" s="303"/>
      <c r="D18" s="74" t="s">
        <v>136</v>
      </c>
      <c r="E18" s="166" t="str">
        <f>IF($C$6="Baghouse",0.001,"")</f>
        <v/>
      </c>
      <c r="F18" s="166" t="str">
        <f>IF($C$6="Baghouse",0.001,"")</f>
        <v/>
      </c>
      <c r="G18" s="166" t="str">
        <f>IF($C$6="Baghouse",0.001,"")</f>
        <v/>
      </c>
      <c r="H18" s="184" t="s">
        <v>96</v>
      </c>
      <c r="I18" s="184" t="s">
        <v>96</v>
      </c>
      <c r="J18" s="184" t="s">
        <v>96</v>
      </c>
      <c r="K18" s="228" t="s">
        <v>96</v>
      </c>
      <c r="L18" s="23"/>
    </row>
    <row r="19" spans="1:15" s="17" customFormat="1" ht="15" customHeight="1" x14ac:dyDescent="0.2">
      <c r="A19" s="23"/>
      <c r="B19" s="302" t="s">
        <v>169</v>
      </c>
      <c r="C19" s="303"/>
      <c r="D19" s="74" t="s">
        <v>136</v>
      </c>
      <c r="E19" s="166" t="str">
        <f>IF($C$8="Baghouse",0.001,"")</f>
        <v/>
      </c>
      <c r="F19" s="166" t="str">
        <f>IF($C$8="Baghouse",0.001,"")</f>
        <v/>
      </c>
      <c r="G19" s="166" t="str">
        <f>IF($C$8="Baghouse",0.001,"")</f>
        <v/>
      </c>
      <c r="H19" s="184" t="s">
        <v>96</v>
      </c>
      <c r="I19" s="184" t="s">
        <v>96</v>
      </c>
      <c r="J19" s="184" t="s">
        <v>96</v>
      </c>
      <c r="K19" s="228" t="s">
        <v>96</v>
      </c>
      <c r="L19" s="23"/>
      <c r="M19" s="23"/>
      <c r="N19" s="23"/>
      <c r="O19" s="23"/>
    </row>
    <row r="20" spans="1:15" s="17" customFormat="1" ht="13.5" thickBot="1" x14ac:dyDescent="0.25">
      <c r="A20" s="23"/>
      <c r="B20" s="192"/>
      <c r="C20" s="189"/>
      <c r="D20" s="189"/>
      <c r="E20" s="190"/>
      <c r="F20" s="190"/>
      <c r="G20" s="190"/>
      <c r="H20" s="190"/>
      <c r="I20" s="190"/>
      <c r="J20" s="190"/>
      <c r="K20" s="193"/>
      <c r="L20" s="23"/>
      <c r="M20" s="23"/>
      <c r="N20" s="23"/>
      <c r="O20" s="23"/>
    </row>
    <row r="21" spans="1:15" s="17" customFormat="1" ht="13.5" thickTop="1" x14ac:dyDescent="0.2">
      <c r="A21" s="23"/>
      <c r="B21" s="86"/>
      <c r="C21" s="9"/>
      <c r="D21" s="9"/>
      <c r="E21" s="186"/>
      <c r="F21" s="186"/>
      <c r="G21" s="186"/>
      <c r="H21" s="186"/>
      <c r="I21" s="186"/>
      <c r="J21" s="186"/>
      <c r="K21" s="223"/>
      <c r="L21" s="23"/>
      <c r="M21" s="23"/>
      <c r="N21" s="23"/>
      <c r="O21" s="23"/>
    </row>
    <row r="22" spans="1:15" s="16" customFormat="1" x14ac:dyDescent="0.2">
      <c r="A22" s="24"/>
      <c r="B22" s="86" t="s">
        <v>26</v>
      </c>
      <c r="C22" s="30"/>
      <c r="D22" s="30"/>
      <c r="E22" s="122">
        <f>$C$5*SUM(E14,E16,E18)*8760/2000+$C$7*SUM(E15,E17,E19)*8760/2000</f>
        <v>87.6</v>
      </c>
      <c r="F22" s="122">
        <f>$C$5*SUM(F14,F16,F18)*8760/2000+$C$7*SUM(F15,F17,F19)*8760/2000</f>
        <v>43.8</v>
      </c>
      <c r="G22" s="122">
        <f>$C$5*SUM(G14,G16,G18)*8760/2000+$C$7*SUM(G15,G17,G19)*8760/2000</f>
        <v>26.28</v>
      </c>
      <c r="H22" s="238">
        <f>IF($E$11="Y",$C$5*H18*500/2000,0)</f>
        <v>0</v>
      </c>
      <c r="I22" s="238">
        <f>IF($E$11="Y",$C$5*I18*500/2000,0)</f>
        <v>0</v>
      </c>
      <c r="J22" s="238">
        <f>IF($E$11="Y",$C$5*J18*500/2000,0)</f>
        <v>0</v>
      </c>
      <c r="K22" s="239">
        <f>IF($E$11="Y",$C$5*K18*500/2000,0)</f>
        <v>0</v>
      </c>
      <c r="L22" s="24"/>
      <c r="M22" s="24"/>
      <c r="N22" s="24"/>
      <c r="O22" s="24"/>
    </row>
    <row r="23" spans="1:15" s="17" customFormat="1" ht="13.5" thickBot="1" x14ac:dyDescent="0.25">
      <c r="A23" s="23"/>
      <c r="B23" s="87"/>
      <c r="C23" s="45"/>
      <c r="D23" s="45"/>
      <c r="E23" s="194"/>
      <c r="F23" s="18"/>
      <c r="G23" s="18"/>
      <c r="H23" s="18" t="s">
        <v>10</v>
      </c>
      <c r="I23" s="18"/>
      <c r="J23" s="18"/>
      <c r="K23" s="195"/>
      <c r="L23" s="23"/>
      <c r="M23" s="23"/>
      <c r="N23" s="23"/>
      <c r="O23" s="23"/>
    </row>
    <row r="24" spans="1:15" s="17" customFormat="1" ht="12" x14ac:dyDescent="0.2">
      <c r="B24" s="24" t="s">
        <v>12</v>
      </c>
      <c r="C24" s="23"/>
      <c r="D24" s="23"/>
      <c r="E24" s="26"/>
      <c r="F24" s="27"/>
      <c r="G24" s="27"/>
      <c r="H24" s="27"/>
      <c r="I24" s="27"/>
      <c r="J24" s="27"/>
      <c r="K24" s="27"/>
      <c r="L24" s="23"/>
      <c r="M24" s="23"/>
      <c r="N24" s="23"/>
      <c r="O24" s="23"/>
    </row>
    <row r="25" spans="1:15" s="17" customFormat="1" ht="39" customHeight="1" x14ac:dyDescent="0.2">
      <c r="B25" s="301" t="s">
        <v>172</v>
      </c>
      <c r="C25" s="301"/>
      <c r="D25" s="301"/>
      <c r="E25" s="301"/>
      <c r="F25" s="301"/>
      <c r="G25" s="301"/>
      <c r="H25" s="301"/>
      <c r="I25" s="301"/>
      <c r="J25" s="301"/>
      <c r="K25" s="301"/>
      <c r="L25" s="301"/>
      <c r="M25" s="23"/>
      <c r="N25" s="23"/>
      <c r="O25" s="23"/>
    </row>
    <row r="26" spans="1:15" s="17" customFormat="1" ht="36" customHeight="1" x14ac:dyDescent="0.2">
      <c r="B26" s="301" t="s">
        <v>171</v>
      </c>
      <c r="C26" s="301"/>
      <c r="D26" s="301"/>
      <c r="E26" s="301"/>
      <c r="F26" s="301"/>
      <c r="G26" s="301"/>
      <c r="H26" s="301"/>
      <c r="I26" s="301"/>
      <c r="J26" s="301"/>
      <c r="K26" s="301"/>
      <c r="L26" s="301"/>
    </row>
    <row r="27" spans="1:15" s="17" customFormat="1" ht="36.75" customHeight="1" x14ac:dyDescent="0.2">
      <c r="B27" s="301" t="s">
        <v>170</v>
      </c>
      <c r="C27" s="301"/>
      <c r="D27" s="301"/>
      <c r="E27" s="301"/>
      <c r="F27" s="301"/>
      <c r="G27" s="301"/>
      <c r="H27" s="301"/>
      <c r="I27" s="301"/>
      <c r="J27" s="301"/>
      <c r="K27" s="301"/>
      <c r="L27" s="301"/>
    </row>
    <row r="28" spans="1:15" s="17" customFormat="1" ht="12" x14ac:dyDescent="0.2">
      <c r="B28" s="16" t="s">
        <v>11</v>
      </c>
    </row>
    <row r="29" spans="1:15" s="17" customFormat="1" ht="12" x14ac:dyDescent="0.2">
      <c r="B29" s="17" t="s">
        <v>140</v>
      </c>
    </row>
  </sheetData>
  <mergeCells count="12">
    <mergeCell ref="B27:L27"/>
    <mergeCell ref="B26:L26"/>
    <mergeCell ref="A1:L1"/>
    <mergeCell ref="A2:L2"/>
    <mergeCell ref="A3:L3"/>
    <mergeCell ref="B25:L25"/>
    <mergeCell ref="B16:C16"/>
    <mergeCell ref="B18:C18"/>
    <mergeCell ref="B17:C17"/>
    <mergeCell ref="B19:C19"/>
    <mergeCell ref="B14:C14"/>
    <mergeCell ref="B15:C15"/>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3"/>
  <sheetViews>
    <sheetView workbookViewId="0">
      <selection activeCell="E13" sqref="E13"/>
    </sheetView>
  </sheetViews>
  <sheetFormatPr defaultColWidth="8.7109375" defaultRowHeight="12.75" x14ac:dyDescent="0.2"/>
  <cols>
    <col min="1" max="1" width="8" customWidth="1"/>
    <col min="2" max="2" width="20.42578125" customWidth="1"/>
    <col min="3" max="3" width="14.42578125" customWidth="1"/>
    <col min="5" max="5" width="10.28515625" customWidth="1"/>
    <col min="12" max="12" width="12.42578125" customWidth="1"/>
  </cols>
  <sheetData>
    <row r="1" spans="1:17" s="63" customFormat="1" ht="20.25" x14ac:dyDescent="0.3">
      <c r="A1" s="278" t="str">
        <f>Inputs!A1</f>
        <v>Potential To Emit Calculator for Sawmill Facilities</v>
      </c>
      <c r="B1" s="278"/>
      <c r="C1" s="278"/>
      <c r="D1" s="278"/>
      <c r="E1" s="278"/>
      <c r="F1" s="278"/>
      <c r="G1" s="278"/>
      <c r="H1" s="278"/>
      <c r="I1" s="278"/>
      <c r="J1" s="278"/>
      <c r="K1" s="278"/>
      <c r="L1" s="278"/>
      <c r="M1" s="64"/>
      <c r="N1" s="10"/>
      <c r="O1" s="10"/>
    </row>
    <row r="2" spans="1:17" s="63" customFormat="1" x14ac:dyDescent="0.2">
      <c r="A2" s="279">
        <f>Inputs!A2</f>
        <v>42552</v>
      </c>
      <c r="B2" s="279"/>
      <c r="C2" s="279"/>
      <c r="D2" s="279"/>
      <c r="E2" s="279"/>
      <c r="F2" s="279"/>
      <c r="G2" s="279"/>
      <c r="H2" s="279"/>
      <c r="I2" s="279"/>
      <c r="J2" s="279"/>
      <c r="K2" s="279"/>
      <c r="L2" s="279"/>
      <c r="M2" s="11"/>
      <c r="N2" s="11"/>
      <c r="O2" s="11"/>
      <c r="P2" s="11"/>
      <c r="Q2" s="11"/>
    </row>
    <row r="3" spans="1:17" ht="13.35" customHeight="1" x14ac:dyDescent="0.25">
      <c r="A3" s="298" t="s">
        <v>183</v>
      </c>
      <c r="B3" s="298"/>
      <c r="C3" s="298"/>
      <c r="D3" s="298"/>
      <c r="E3" s="298"/>
      <c r="F3" s="298"/>
      <c r="G3" s="298"/>
      <c r="H3" s="298"/>
      <c r="I3" s="298"/>
      <c r="J3" s="298"/>
      <c r="K3" s="298"/>
      <c r="L3" s="298"/>
    </row>
    <row r="4" spans="1:17" ht="15.75" x14ac:dyDescent="0.25">
      <c r="A4" s="71"/>
      <c r="B4" s="15"/>
    </row>
    <row r="5" spans="1:17" x14ac:dyDescent="0.2">
      <c r="A5" s="304" t="s">
        <v>50</v>
      </c>
      <c r="B5" s="304"/>
      <c r="C5" s="197">
        <f>Inputs!D16</f>
        <v>20</v>
      </c>
      <c r="D5" s="262" t="s">
        <v>191</v>
      </c>
      <c r="I5" s="5" t="s">
        <v>1</v>
      </c>
    </row>
    <row r="6" spans="1:17" x14ac:dyDescent="0.2">
      <c r="A6" s="304" t="s">
        <v>150</v>
      </c>
      <c r="B6" s="304"/>
      <c r="C6" s="197" t="str">
        <f>IF(Inputs!I16="Y","Baghouse",IF(Inputs!H16="Y","Cyclone",""))</f>
        <v>Cyclone</v>
      </c>
      <c r="D6" s="119"/>
      <c r="I6" s="2" t="s">
        <v>22</v>
      </c>
    </row>
    <row r="7" spans="1:17" ht="13.5" thickBot="1" x14ac:dyDescent="0.25">
      <c r="A7" s="3"/>
      <c r="B7" s="12"/>
      <c r="C7" s="12"/>
      <c r="D7" s="3"/>
      <c r="I7" s="5"/>
    </row>
    <row r="8" spans="1:17" ht="13.5" thickTop="1" x14ac:dyDescent="0.2">
      <c r="A8" s="4"/>
      <c r="B8" s="4"/>
      <c r="C8" s="4"/>
      <c r="D8" s="4"/>
      <c r="E8" s="4"/>
      <c r="F8" s="4"/>
      <c r="G8" s="4"/>
      <c r="H8" s="4"/>
      <c r="I8" s="4"/>
      <c r="J8" s="4"/>
      <c r="K8" s="4"/>
      <c r="L8" s="4"/>
    </row>
    <row r="9" spans="1:17" s="17" customFormat="1" ht="12.75" customHeight="1" thickBot="1" x14ac:dyDescent="0.25">
      <c r="A9" s="1"/>
      <c r="B9" s="1" t="s">
        <v>148</v>
      </c>
      <c r="C9"/>
      <c r="D9" s="55"/>
      <c r="E9" s="12"/>
      <c r="F9" s="12"/>
      <c r="G9" s="3" t="s">
        <v>10</v>
      </c>
      <c r="H9" s="3" t="s">
        <v>10</v>
      </c>
      <c r="I9" s="53"/>
      <c r="J9" s="54" t="s">
        <v>10</v>
      </c>
      <c r="K9"/>
      <c r="L9"/>
      <c r="M9" s="23"/>
      <c r="N9" s="23"/>
    </row>
    <row r="10" spans="1:17" s="17" customFormat="1" ht="12" x14ac:dyDescent="0.2">
      <c r="B10" s="82"/>
      <c r="C10" s="83"/>
      <c r="D10" s="83"/>
      <c r="E10" s="83"/>
      <c r="F10" s="83"/>
      <c r="G10" s="83"/>
      <c r="H10" s="83" t="s">
        <v>19</v>
      </c>
      <c r="I10" s="83"/>
      <c r="J10" s="83"/>
      <c r="K10" s="85"/>
      <c r="L10" s="23"/>
      <c r="M10" s="23"/>
      <c r="N10" s="23"/>
      <c r="O10" s="23"/>
    </row>
    <row r="11" spans="1:17" s="17" customFormat="1" ht="15" customHeight="1" x14ac:dyDescent="0.3">
      <c r="A11" s="23"/>
      <c r="B11" s="86"/>
      <c r="C11" s="9"/>
      <c r="D11" s="9"/>
      <c r="E11" s="187" t="s">
        <v>17</v>
      </c>
      <c r="F11" s="188" t="s">
        <v>6</v>
      </c>
      <c r="G11" s="187" t="s">
        <v>5</v>
      </c>
      <c r="H11" s="188" t="s">
        <v>7</v>
      </c>
      <c r="I11" s="188" t="s">
        <v>8</v>
      </c>
      <c r="J11" s="188" t="s">
        <v>18</v>
      </c>
      <c r="K11" s="191" t="s">
        <v>20</v>
      </c>
      <c r="L11" s="23"/>
      <c r="M11" s="23"/>
      <c r="N11" s="23"/>
      <c r="O11" s="23"/>
    </row>
    <row r="12" spans="1:17" ht="14.25" x14ac:dyDescent="0.2">
      <c r="A12" s="23"/>
      <c r="B12" s="305" t="s">
        <v>151</v>
      </c>
      <c r="C12" s="306"/>
      <c r="D12" s="74" t="s">
        <v>136</v>
      </c>
      <c r="E12" s="166">
        <f>IF($C$6="Cyclone",0.5,"")</f>
        <v>0.5</v>
      </c>
      <c r="F12" s="166">
        <f>IF($C$6="Cyclone",0.25,"")</f>
        <v>0.25</v>
      </c>
      <c r="G12" s="166">
        <f>IF($C$6="Cyclone",0.15,"")</f>
        <v>0.15</v>
      </c>
      <c r="H12" s="240">
        <v>0</v>
      </c>
      <c r="I12" s="240">
        <v>0</v>
      </c>
      <c r="J12" s="240">
        <v>0</v>
      </c>
      <c r="K12" s="241">
        <v>0</v>
      </c>
      <c r="L12" s="23"/>
    </row>
    <row r="13" spans="1:17" ht="15" customHeight="1" x14ac:dyDescent="0.2">
      <c r="A13" s="23"/>
      <c r="B13" s="305" t="s">
        <v>152</v>
      </c>
      <c r="C13" s="306"/>
      <c r="D13" s="74" t="s">
        <v>136</v>
      </c>
      <c r="E13" s="166" t="str">
        <f>IF($C$6="Baghouse",0.001,"")</f>
        <v/>
      </c>
      <c r="F13" s="166" t="str">
        <f>IF($C$6="Baghouse",0.001,"")</f>
        <v/>
      </c>
      <c r="G13" s="166" t="str">
        <f>IF($C$6="Baghouse",0.001,"")</f>
        <v/>
      </c>
      <c r="H13" s="240">
        <v>0</v>
      </c>
      <c r="I13" s="240">
        <v>0</v>
      </c>
      <c r="J13" s="240">
        <v>0</v>
      </c>
      <c r="K13" s="241">
        <v>0</v>
      </c>
      <c r="L13" s="23"/>
    </row>
    <row r="14" spans="1:17" s="17" customFormat="1" ht="13.5" thickBot="1" x14ac:dyDescent="0.25">
      <c r="A14" s="23"/>
      <c r="B14" s="192"/>
      <c r="C14" s="189"/>
      <c r="D14" s="189"/>
      <c r="E14" s="190"/>
      <c r="F14" s="190"/>
      <c r="G14" s="190"/>
      <c r="H14" s="242"/>
      <c r="I14" s="242"/>
      <c r="J14" s="242"/>
      <c r="K14" s="243"/>
      <c r="L14" s="23"/>
    </row>
    <row r="15" spans="1:17" s="17" customFormat="1" ht="13.5" thickTop="1" x14ac:dyDescent="0.2">
      <c r="A15" s="23"/>
      <c r="B15" s="86"/>
      <c r="C15" s="9"/>
      <c r="D15" s="9"/>
      <c r="E15" s="186"/>
      <c r="F15" s="186"/>
      <c r="G15" s="186"/>
      <c r="H15" s="244"/>
      <c r="I15" s="244"/>
      <c r="J15" s="244"/>
      <c r="K15" s="245"/>
      <c r="L15" s="23"/>
    </row>
    <row r="16" spans="1:17" x14ac:dyDescent="0.2">
      <c r="A16" s="24"/>
      <c r="B16" s="86" t="s">
        <v>26</v>
      </c>
      <c r="C16" s="30"/>
      <c r="D16" s="30"/>
      <c r="E16" s="122">
        <f>$C$5*MAX(E12:E13)*8760/2000</f>
        <v>43.8</v>
      </c>
      <c r="F16" s="122">
        <f>$C$5*MAX(F12:F13)*8760/2000</f>
        <v>21.9</v>
      </c>
      <c r="G16" s="122">
        <f>$C$5*MAX(G12:G13)*8760/2000</f>
        <v>13.14</v>
      </c>
      <c r="H16" s="238">
        <f>IF($E$9="Y",$C$5*#REF!*500/2000,0)</f>
        <v>0</v>
      </c>
      <c r="I16" s="238">
        <f>IF($E$9="Y",$C$5*#REF!*500/2000,0)</f>
        <v>0</v>
      </c>
      <c r="J16" s="238">
        <f>IF($E$9="Y",$C$5*#REF!*500/2000,0)</f>
        <v>0</v>
      </c>
      <c r="K16" s="239">
        <f>IF($E$9="Y",$C$5*#REF!*500/2000,0)</f>
        <v>0</v>
      </c>
      <c r="L16" s="24"/>
    </row>
    <row r="17" spans="1:15" ht="13.5" thickBot="1" x14ac:dyDescent="0.25">
      <c r="A17" s="23"/>
      <c r="B17" s="87"/>
      <c r="C17" s="45"/>
      <c r="D17" s="45"/>
      <c r="E17" s="194"/>
      <c r="F17" s="18"/>
      <c r="G17" s="18"/>
      <c r="H17" s="18" t="s">
        <v>10</v>
      </c>
      <c r="I17" s="18"/>
      <c r="J17" s="18"/>
      <c r="K17" s="195"/>
      <c r="L17" s="23"/>
    </row>
    <row r="18" spans="1:15" s="17" customFormat="1" ht="12.75" customHeight="1" x14ac:dyDescent="0.2">
      <c r="B18" s="24" t="s">
        <v>12</v>
      </c>
      <c r="C18" s="23"/>
      <c r="D18" s="23"/>
      <c r="E18" s="26"/>
      <c r="F18" s="27"/>
      <c r="G18" s="27"/>
      <c r="H18" s="27"/>
      <c r="I18" s="27"/>
      <c r="J18" s="27"/>
      <c r="K18" s="27"/>
      <c r="L18" s="23"/>
      <c r="M18" s="23"/>
      <c r="N18" s="23"/>
    </row>
    <row r="19" spans="1:15" s="17" customFormat="1" ht="35.85" customHeight="1" x14ac:dyDescent="0.2">
      <c r="B19" s="301" t="s">
        <v>139</v>
      </c>
      <c r="C19" s="301"/>
      <c r="D19" s="301"/>
      <c r="E19" s="301"/>
      <c r="F19" s="301"/>
      <c r="G19" s="301"/>
      <c r="H19" s="301"/>
      <c r="I19" s="301"/>
      <c r="J19" s="301"/>
      <c r="K19" s="301"/>
      <c r="L19" s="301"/>
      <c r="M19" s="23"/>
      <c r="N19" s="23"/>
      <c r="O19" s="23"/>
    </row>
    <row r="20" spans="1:15" s="17" customFormat="1" ht="37.35" customHeight="1" x14ac:dyDescent="0.2">
      <c r="B20" s="301" t="s">
        <v>142</v>
      </c>
      <c r="C20" s="301"/>
      <c r="D20" s="301"/>
      <c r="E20" s="301"/>
      <c r="F20" s="301"/>
      <c r="G20" s="301"/>
      <c r="H20" s="301"/>
      <c r="I20" s="301"/>
      <c r="J20" s="301"/>
      <c r="K20" s="301"/>
      <c r="L20" s="301"/>
      <c r="M20" s="23"/>
      <c r="N20" s="23"/>
      <c r="O20" s="23"/>
    </row>
    <row r="21" spans="1:15" s="17" customFormat="1" ht="12" x14ac:dyDescent="0.2">
      <c r="B21" s="17" t="s">
        <v>175</v>
      </c>
      <c r="M21" s="23"/>
      <c r="N21" s="23"/>
      <c r="O21" s="23"/>
    </row>
    <row r="22" spans="1:15" s="16" customFormat="1" ht="12" x14ac:dyDescent="0.2">
      <c r="A22" s="17"/>
      <c r="B22" s="16" t="s">
        <v>11</v>
      </c>
      <c r="C22" s="17"/>
      <c r="D22" s="17"/>
      <c r="E22" s="17"/>
      <c r="F22" s="17"/>
      <c r="G22" s="17"/>
      <c r="H22" s="17"/>
      <c r="I22" s="17"/>
      <c r="J22" s="17"/>
      <c r="K22" s="17"/>
      <c r="L22" s="17"/>
      <c r="M22" s="24"/>
      <c r="N22" s="24"/>
      <c r="O22" s="24"/>
    </row>
    <row r="23" spans="1:15" s="17" customFormat="1" ht="12" x14ac:dyDescent="0.2">
      <c r="B23" s="17" t="s">
        <v>140</v>
      </c>
      <c r="M23" s="23"/>
      <c r="N23" s="23"/>
      <c r="O23" s="23"/>
    </row>
  </sheetData>
  <mergeCells count="9">
    <mergeCell ref="B19:L19"/>
    <mergeCell ref="B20:L20"/>
    <mergeCell ref="A5:B5"/>
    <mergeCell ref="A6:B6"/>
    <mergeCell ref="A1:L1"/>
    <mergeCell ref="A2:L2"/>
    <mergeCell ref="A3:L3"/>
    <mergeCell ref="B12:C12"/>
    <mergeCell ref="B13:C13"/>
  </mergeCells>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61"/>
  <sheetViews>
    <sheetView workbookViewId="0">
      <selection activeCell="C74" sqref="C74"/>
    </sheetView>
  </sheetViews>
  <sheetFormatPr defaultColWidth="8.7109375" defaultRowHeight="12.75" x14ac:dyDescent="0.2"/>
  <cols>
    <col min="1" max="1" width="14.42578125" customWidth="1"/>
    <col min="2" max="2" width="14.28515625" customWidth="1"/>
    <col min="3" max="3" width="14.42578125" customWidth="1"/>
    <col min="4" max="4" width="10.7109375" customWidth="1"/>
    <col min="5" max="7" width="10" customWidth="1"/>
    <col min="8" max="8" width="13.28515625" customWidth="1"/>
    <col min="9" max="9" width="12.42578125" customWidth="1"/>
    <col min="10" max="10" width="15.140625" customWidth="1"/>
    <col min="11" max="11" width="10" customWidth="1"/>
    <col min="12" max="12" width="12.42578125" customWidth="1"/>
  </cols>
  <sheetData>
    <row r="1" spans="1:17" s="63" customFormat="1" ht="20.25" x14ac:dyDescent="0.3">
      <c r="A1" s="278" t="str">
        <f>Inputs!A1</f>
        <v>Potential To Emit Calculator for Sawmill Facilities</v>
      </c>
      <c r="B1" s="278"/>
      <c r="C1" s="278"/>
      <c r="D1" s="278"/>
      <c r="E1" s="278"/>
      <c r="F1" s="278"/>
      <c r="G1" s="278"/>
      <c r="H1" s="278"/>
      <c r="I1" s="278"/>
      <c r="J1" s="278"/>
      <c r="K1" s="278"/>
      <c r="L1" s="278"/>
      <c r="M1" s="64"/>
      <c r="N1" s="10"/>
      <c r="O1" s="10"/>
    </row>
    <row r="2" spans="1:17" s="63" customFormat="1" x14ac:dyDescent="0.2">
      <c r="A2" s="279">
        <f>Inputs!A2</f>
        <v>42552</v>
      </c>
      <c r="B2" s="279"/>
      <c r="C2" s="279"/>
      <c r="D2" s="279"/>
      <c r="E2" s="279"/>
      <c r="F2" s="279"/>
      <c r="G2" s="279"/>
      <c r="H2" s="279"/>
      <c r="I2" s="279"/>
      <c r="J2" s="279"/>
      <c r="K2" s="279"/>
      <c r="L2" s="279"/>
      <c r="M2" s="11"/>
      <c r="N2" s="11"/>
      <c r="O2" s="11"/>
      <c r="P2" s="11"/>
      <c r="Q2" s="11"/>
    </row>
    <row r="3" spans="1:17" ht="13.35" customHeight="1" x14ac:dyDescent="0.25">
      <c r="A3" s="298" t="s">
        <v>146</v>
      </c>
      <c r="B3" s="298"/>
      <c r="C3" s="298"/>
      <c r="D3" s="298"/>
      <c r="E3" s="298"/>
      <c r="F3" s="298"/>
      <c r="G3" s="298"/>
      <c r="H3" s="298"/>
      <c r="I3" s="298"/>
      <c r="J3" s="298"/>
      <c r="K3" s="298"/>
      <c r="L3" s="298"/>
    </row>
    <row r="4" spans="1:17" ht="15.75" x14ac:dyDescent="0.25">
      <c r="B4" s="15"/>
    </row>
    <row r="5" spans="1:17" x14ac:dyDescent="0.2">
      <c r="A5" s="304" t="s">
        <v>56</v>
      </c>
      <c r="B5" s="304"/>
      <c r="C5" s="197">
        <f>Inputs!D19</f>
        <v>15</v>
      </c>
      <c r="D5" s="119" t="s">
        <v>100</v>
      </c>
      <c r="E5" s="67"/>
      <c r="F5" s="67"/>
      <c r="G5" s="67"/>
      <c r="H5" s="67"/>
      <c r="I5" s="5" t="s">
        <v>1</v>
      </c>
      <c r="J5" s="67"/>
      <c r="K5" s="67"/>
      <c r="L5" s="67"/>
    </row>
    <row r="6" spans="1:17" x14ac:dyDescent="0.2">
      <c r="A6" s="67"/>
      <c r="B6" s="12"/>
      <c r="C6" s="12"/>
      <c r="D6" s="67"/>
      <c r="E6" s="67"/>
      <c r="F6" s="67"/>
      <c r="G6" s="67"/>
      <c r="H6" s="67"/>
      <c r="I6" s="2" t="s">
        <v>22</v>
      </c>
      <c r="J6" s="67"/>
      <c r="K6" s="67"/>
      <c r="L6" s="67"/>
    </row>
    <row r="7" spans="1:17" ht="13.5" thickBot="1" x14ac:dyDescent="0.25">
      <c r="A7" s="67"/>
      <c r="B7" s="67"/>
      <c r="C7" s="67"/>
      <c r="D7" s="67"/>
      <c r="E7" s="67"/>
      <c r="F7" s="67"/>
      <c r="G7" s="67"/>
      <c r="H7" s="67"/>
      <c r="I7" s="67"/>
      <c r="J7" s="67"/>
      <c r="K7" s="67"/>
      <c r="L7" s="67"/>
    </row>
    <row r="8" spans="1:17" ht="12" customHeight="1" thickTop="1" thickBot="1" x14ac:dyDescent="0.25">
      <c r="A8" s="134"/>
      <c r="B8" s="134"/>
      <c r="C8" s="134"/>
      <c r="D8" s="134"/>
      <c r="E8" s="134"/>
      <c r="F8" s="134"/>
      <c r="G8" s="134"/>
      <c r="H8" s="134"/>
      <c r="I8" s="134"/>
      <c r="J8" s="134"/>
      <c r="K8" s="134"/>
      <c r="L8" s="134"/>
    </row>
    <row r="9" spans="1:17" ht="12" customHeight="1" x14ac:dyDescent="0.2">
      <c r="A9" s="329" t="s">
        <v>128</v>
      </c>
      <c r="B9" s="330"/>
      <c r="C9" s="214"/>
      <c r="D9" s="215"/>
      <c r="E9" s="216"/>
      <c r="F9" s="318" t="s">
        <v>129</v>
      </c>
      <c r="G9" s="318"/>
      <c r="H9" s="318"/>
      <c r="I9" s="318"/>
      <c r="J9" s="318"/>
      <c r="K9" s="318"/>
      <c r="L9" s="319"/>
    </row>
    <row r="10" spans="1:17" ht="28.35" customHeight="1" x14ac:dyDescent="0.2">
      <c r="A10" s="324" t="s">
        <v>105</v>
      </c>
      <c r="B10" s="308"/>
      <c r="C10" s="276" t="s">
        <v>120</v>
      </c>
      <c r="D10" s="276"/>
      <c r="E10" s="178" t="s">
        <v>119</v>
      </c>
      <c r="F10" s="159" t="s">
        <v>115</v>
      </c>
      <c r="G10" s="159" t="s">
        <v>117</v>
      </c>
      <c r="H10" s="179" t="s">
        <v>118</v>
      </c>
      <c r="I10" s="179" t="s">
        <v>121</v>
      </c>
      <c r="J10" s="180" t="s">
        <v>122</v>
      </c>
      <c r="K10" s="176" t="s">
        <v>123</v>
      </c>
      <c r="L10" s="211" t="s">
        <v>116</v>
      </c>
    </row>
    <row r="11" spans="1:17" ht="12" customHeight="1" x14ac:dyDescent="0.2">
      <c r="A11" s="327" t="s">
        <v>106</v>
      </c>
      <c r="B11" s="315"/>
      <c r="C11" s="317">
        <f>Inputs!D$19*Inputs!D31/100</f>
        <v>0.75</v>
      </c>
      <c r="D11" s="317"/>
      <c r="E11" s="183" t="str">
        <f>IF(Inputs!F31="N","&gt;200","&lt;200")</f>
        <v>&lt;200</v>
      </c>
      <c r="F11" s="159">
        <f t="shared" ref="F11:L19" si="0">IF($E11="&lt;200",F42,F52)</f>
        <v>0.83879999999999999</v>
      </c>
      <c r="G11" s="159">
        <f>IF($E11="&lt;200",G42,G52)</f>
        <v>0.14799999999999999</v>
      </c>
      <c r="H11" s="159">
        <f t="shared" si="0"/>
        <v>3.3999999999999998E-3</v>
      </c>
      <c r="I11" s="159">
        <f t="shared" si="0"/>
        <v>5.5E-2</v>
      </c>
      <c r="J11" s="159">
        <f t="shared" si="0"/>
        <v>1.8E-3</v>
      </c>
      <c r="K11" s="159">
        <f t="shared" si="0"/>
        <v>2.5999999999999999E-3</v>
      </c>
      <c r="L11" s="96">
        <f t="shared" si="0"/>
        <v>0.2107</v>
      </c>
    </row>
    <row r="12" spans="1:17" ht="12" customHeight="1" x14ac:dyDescent="0.2">
      <c r="A12" s="328" t="s">
        <v>107</v>
      </c>
      <c r="B12" s="320"/>
      <c r="C12" s="317">
        <f>Inputs!D$19*Inputs!D32/100</f>
        <v>1.5</v>
      </c>
      <c r="D12" s="317"/>
      <c r="E12" s="183" t="str">
        <f>IF(Inputs!F32="N","&gt;200","&lt;200")</f>
        <v>&lt;200</v>
      </c>
      <c r="F12" s="159">
        <f t="shared" si="0"/>
        <v>0.52529999999999999</v>
      </c>
      <c r="G12" s="159">
        <f t="shared" si="0"/>
        <v>0.1484</v>
      </c>
      <c r="H12" s="159">
        <f t="shared" si="0"/>
        <v>1.6000000000000001E-3</v>
      </c>
      <c r="I12" s="159">
        <f t="shared" si="0"/>
        <v>0.13780000000000001</v>
      </c>
      <c r="J12" s="159">
        <f t="shared" si="0"/>
        <v>1.8E-3</v>
      </c>
      <c r="K12" s="159">
        <f t="shared" si="0"/>
        <v>2.5999999999999999E-3</v>
      </c>
      <c r="L12" s="96">
        <f t="shared" si="0"/>
        <v>0.29210000000000003</v>
      </c>
    </row>
    <row r="13" spans="1:17" ht="12" customHeight="1" x14ac:dyDescent="0.2">
      <c r="A13" s="327" t="s">
        <v>108</v>
      </c>
      <c r="B13" s="315"/>
      <c r="C13" s="317">
        <f>Inputs!D$19*Inputs!D33/100</f>
        <v>2.25</v>
      </c>
      <c r="D13" s="317"/>
      <c r="E13" s="183" t="str">
        <f>IF(Inputs!F33="N","&gt;200","&lt;200")</f>
        <v>&lt;200</v>
      </c>
      <c r="F13" s="159">
        <f t="shared" si="0"/>
        <v>0.36309999999999998</v>
      </c>
      <c r="G13" s="159">
        <f t="shared" si="0"/>
        <v>0.1484</v>
      </c>
      <c r="H13" s="159">
        <f t="shared" si="0"/>
        <v>3.3999999999999998E-3</v>
      </c>
      <c r="I13" s="159">
        <f t="shared" si="0"/>
        <v>0.13780000000000001</v>
      </c>
      <c r="J13" s="159">
        <f t="shared" si="0"/>
        <v>1.8E-3</v>
      </c>
      <c r="K13" s="159">
        <f t="shared" si="0"/>
        <v>2.5999999999999999E-3</v>
      </c>
      <c r="L13" s="96">
        <f t="shared" si="0"/>
        <v>0.29389999999999999</v>
      </c>
    </row>
    <row r="14" spans="1:17" ht="12" customHeight="1" x14ac:dyDescent="0.2">
      <c r="A14" s="327" t="s">
        <v>109</v>
      </c>
      <c r="B14" s="315"/>
      <c r="C14" s="317">
        <f>Inputs!D$19*Inputs!D34/100</f>
        <v>3</v>
      </c>
      <c r="D14" s="317"/>
      <c r="E14" s="183" t="str">
        <f>IF(Inputs!F34="N","&gt;200","&lt;200")</f>
        <v>&lt;200</v>
      </c>
      <c r="F14" s="159">
        <f t="shared" si="0"/>
        <v>1.1576</v>
      </c>
      <c r="G14" s="159">
        <f t="shared" si="0"/>
        <v>6.9000000000000006E-2</v>
      </c>
      <c r="H14" s="159">
        <f t="shared" si="0"/>
        <v>1.9E-3</v>
      </c>
      <c r="I14" s="159">
        <f t="shared" si="0"/>
        <v>6.8199999999999997E-2</v>
      </c>
      <c r="J14" s="159">
        <f t="shared" si="0"/>
        <v>6.9999999999999999E-4</v>
      </c>
      <c r="K14" s="159">
        <f t="shared" si="0"/>
        <v>1.1000000000000001E-3</v>
      </c>
      <c r="L14" s="96">
        <f t="shared" si="0"/>
        <v>0.1409</v>
      </c>
    </row>
    <row r="15" spans="1:17" ht="12" customHeight="1" x14ac:dyDescent="0.2">
      <c r="A15" s="327" t="s">
        <v>110</v>
      </c>
      <c r="B15" s="315"/>
      <c r="C15" s="317">
        <f>Inputs!D$19*Inputs!D35/100</f>
        <v>3.75</v>
      </c>
      <c r="D15" s="317"/>
      <c r="E15" s="183" t="str">
        <f>IF(Inputs!F35="N","&gt;200","&lt;200")</f>
        <v>&lt;200</v>
      </c>
      <c r="F15" s="159">
        <f t="shared" si="0"/>
        <v>0.17749999999999999</v>
      </c>
      <c r="G15" s="159">
        <f t="shared" si="0"/>
        <v>2.5000000000000001E-2</v>
      </c>
      <c r="H15" s="159">
        <f t="shared" si="0"/>
        <v>1.2999999999999999E-3</v>
      </c>
      <c r="I15" s="159">
        <f t="shared" si="0"/>
        <v>3.5999999999999997E-2</v>
      </c>
      <c r="J15" s="159">
        <f t="shared" si="0"/>
        <v>6.9999999999999999E-4</v>
      </c>
      <c r="K15" s="159">
        <f t="shared" si="0"/>
        <v>1E-3</v>
      </c>
      <c r="L15" s="96">
        <f t="shared" si="0"/>
        <v>6.4000000000000001E-2</v>
      </c>
    </row>
    <row r="16" spans="1:17" ht="12" customHeight="1" x14ac:dyDescent="0.2">
      <c r="A16" s="327" t="s">
        <v>111</v>
      </c>
      <c r="B16" s="315"/>
      <c r="C16" s="317">
        <f>Inputs!D$19*Inputs!D36/100</f>
        <v>1.5</v>
      </c>
      <c r="D16" s="317"/>
      <c r="E16" s="183" t="str">
        <f>IF(Inputs!F36="N","&gt;200","&lt;200")</f>
        <v>&lt;200</v>
      </c>
      <c r="F16" s="159">
        <f t="shared" si="0"/>
        <v>1.1576</v>
      </c>
      <c r="G16" s="159">
        <f t="shared" si="0"/>
        <v>6.9000000000000006E-2</v>
      </c>
      <c r="H16" s="159">
        <f t="shared" si="0"/>
        <v>1.9E-3</v>
      </c>
      <c r="I16" s="159">
        <f t="shared" si="0"/>
        <v>6.8199999999999997E-2</v>
      </c>
      <c r="J16" s="159">
        <f t="shared" si="0"/>
        <v>6.9999999999999999E-4</v>
      </c>
      <c r="K16" s="159">
        <f t="shared" si="0"/>
        <v>1.1000000000000001E-3</v>
      </c>
      <c r="L16" s="96">
        <f t="shared" si="0"/>
        <v>0.1409</v>
      </c>
    </row>
    <row r="17" spans="1:12" ht="12" customHeight="1" x14ac:dyDescent="0.2">
      <c r="A17" s="327" t="s">
        <v>112</v>
      </c>
      <c r="B17" s="315"/>
      <c r="C17" s="317">
        <f>Inputs!D$19*Inputs!D37/100</f>
        <v>0.75</v>
      </c>
      <c r="D17" s="317"/>
      <c r="E17" s="183" t="str">
        <f>IF(Inputs!F37="N","&gt;200","&lt;200")</f>
        <v>&lt;200</v>
      </c>
      <c r="F17" s="159">
        <f t="shared" si="0"/>
        <v>1.5293000000000001</v>
      </c>
      <c r="G17" s="159">
        <f t="shared" si="0"/>
        <v>6.2799999999999995E-2</v>
      </c>
      <c r="H17" s="159">
        <f t="shared" si="0"/>
        <v>4.1000000000000003E-3</v>
      </c>
      <c r="I17" s="159">
        <f t="shared" si="0"/>
        <v>4.2000000000000003E-2</v>
      </c>
      <c r="J17" s="159">
        <f t="shared" si="0"/>
        <v>3.2000000000000002E-3</v>
      </c>
      <c r="K17" s="159">
        <f t="shared" si="0"/>
        <v>4.4999999999999997E-3</v>
      </c>
      <c r="L17" s="96">
        <f t="shared" si="0"/>
        <v>0.1166</v>
      </c>
    </row>
    <row r="18" spans="1:12" ht="12" customHeight="1" x14ac:dyDescent="0.2">
      <c r="A18" s="327" t="s">
        <v>113</v>
      </c>
      <c r="B18" s="315"/>
      <c r="C18" s="317">
        <f>Inputs!D$19*Inputs!D38/100</f>
        <v>0.75</v>
      </c>
      <c r="D18" s="317"/>
      <c r="E18" s="183" t="str">
        <f>IF(Inputs!F38="N","&gt;200","&lt;200")</f>
        <v>&lt;200</v>
      </c>
      <c r="F18" s="159">
        <f t="shared" si="0"/>
        <v>2.3450000000000002</v>
      </c>
      <c r="G18" s="159">
        <f t="shared" si="0"/>
        <v>7.3999999999999996E-2</v>
      </c>
      <c r="H18" s="159">
        <f t="shared" si="0"/>
        <v>3.3999999999999998E-3</v>
      </c>
      <c r="I18" s="159">
        <f t="shared" si="0"/>
        <v>4.2000000000000003E-2</v>
      </c>
      <c r="J18" s="159">
        <f t="shared" si="0"/>
        <v>3.2000000000000002E-3</v>
      </c>
      <c r="K18" s="159">
        <f t="shared" si="0"/>
        <v>4.4999999999999997E-3</v>
      </c>
      <c r="L18" s="96">
        <f t="shared" si="0"/>
        <v>0.12709999999999999</v>
      </c>
    </row>
    <row r="19" spans="1:12" ht="12" customHeight="1" thickBot="1" x14ac:dyDescent="0.25">
      <c r="A19" s="325" t="s">
        <v>114</v>
      </c>
      <c r="B19" s="326"/>
      <c r="C19" s="323">
        <f>Inputs!D$19*Inputs!D39/100</f>
        <v>0.75</v>
      </c>
      <c r="D19" s="323"/>
      <c r="E19" s="217" t="str">
        <f>IF(Inputs!F39="N","&gt;200","&lt;200")</f>
        <v>&lt;200</v>
      </c>
      <c r="F19" s="218">
        <f t="shared" si="0"/>
        <v>2.8504999999999998</v>
      </c>
      <c r="G19" s="218">
        <f t="shared" si="0"/>
        <v>7.3999999999999996E-2</v>
      </c>
      <c r="H19" s="218">
        <f t="shared" si="0"/>
        <v>3.3999999999999998E-3</v>
      </c>
      <c r="I19" s="218">
        <f t="shared" si="0"/>
        <v>4.2000000000000003E-2</v>
      </c>
      <c r="J19" s="218">
        <f t="shared" si="0"/>
        <v>3.2000000000000002E-3</v>
      </c>
      <c r="K19" s="218">
        <f t="shared" si="0"/>
        <v>4.4999999999999997E-3</v>
      </c>
      <c r="L19" s="219">
        <f t="shared" si="0"/>
        <v>0.12709999999999999</v>
      </c>
    </row>
    <row r="20" spans="1:12" ht="12" customHeight="1" x14ac:dyDescent="0.2">
      <c r="A20" s="66"/>
      <c r="B20" s="67" t="s">
        <v>130</v>
      </c>
      <c r="C20" s="66"/>
      <c r="D20" s="66"/>
      <c r="E20" s="66"/>
      <c r="F20" s="66"/>
      <c r="G20" s="66"/>
      <c r="H20" s="66"/>
      <c r="I20" s="66"/>
      <c r="J20" s="66"/>
      <c r="K20" s="66"/>
      <c r="L20" s="66"/>
    </row>
    <row r="21" spans="1:12" s="6" customFormat="1" ht="12" customHeight="1" thickBot="1" x14ac:dyDescent="0.25">
      <c r="A21" s="66"/>
      <c r="B21" s="66"/>
      <c r="C21" s="66"/>
      <c r="D21" s="66"/>
      <c r="E21" s="66"/>
      <c r="F21" s="66"/>
      <c r="G21" s="66"/>
      <c r="H21" s="66"/>
      <c r="I21" s="66"/>
      <c r="J21" s="66"/>
      <c r="K21" s="66"/>
      <c r="L21" s="66"/>
    </row>
    <row r="22" spans="1:12" s="6" customFormat="1" ht="12" customHeight="1" x14ac:dyDescent="0.2">
      <c r="A22" s="154"/>
      <c r="B22" s="309" t="s">
        <v>127</v>
      </c>
      <c r="C22" s="310"/>
      <c r="D22" s="133"/>
      <c r="E22" s="133"/>
      <c r="F22" s="318" t="s">
        <v>19</v>
      </c>
      <c r="G22" s="318"/>
      <c r="H22" s="318"/>
      <c r="I22" s="318"/>
      <c r="J22" s="318"/>
      <c r="K22" s="318"/>
      <c r="L22" s="319"/>
    </row>
    <row r="23" spans="1:12" s="6" customFormat="1" ht="17.100000000000001" customHeight="1" x14ac:dyDescent="0.2">
      <c r="A23" s="66"/>
      <c r="B23" s="311"/>
      <c r="C23" s="312"/>
      <c r="D23" s="308" t="s">
        <v>105</v>
      </c>
      <c r="E23" s="308"/>
      <c r="F23" s="159" t="s">
        <v>115</v>
      </c>
      <c r="G23" s="159" t="s">
        <v>117</v>
      </c>
      <c r="H23" s="179" t="s">
        <v>118</v>
      </c>
      <c r="I23" s="179" t="s">
        <v>121</v>
      </c>
      <c r="J23" s="180" t="s">
        <v>122</v>
      </c>
      <c r="K23" s="176" t="s">
        <v>123</v>
      </c>
      <c r="L23" s="211" t="s">
        <v>116</v>
      </c>
    </row>
    <row r="24" spans="1:12" s="6" customFormat="1" ht="12" customHeight="1" x14ac:dyDescent="0.2">
      <c r="A24" s="66"/>
      <c r="B24" s="311"/>
      <c r="C24" s="312"/>
      <c r="D24" s="315" t="s">
        <v>106</v>
      </c>
      <c r="E24" s="315"/>
      <c r="F24" s="160">
        <f>$C11*F11*8760/2000</f>
        <v>2.755458</v>
      </c>
      <c r="G24" s="161">
        <f t="shared" ref="G24:L24" si="1">$C11*G11*8760/2000</f>
        <v>0.48617999999999995</v>
      </c>
      <c r="H24" s="161">
        <f t="shared" si="1"/>
        <v>1.1168999999999998E-2</v>
      </c>
      <c r="I24" s="161">
        <f t="shared" si="1"/>
        <v>0.180675</v>
      </c>
      <c r="J24" s="161">
        <f t="shared" si="1"/>
        <v>5.9129999999999999E-3</v>
      </c>
      <c r="K24" s="161">
        <f t="shared" si="1"/>
        <v>8.541E-3</v>
      </c>
      <c r="L24" s="212">
        <f t="shared" si="1"/>
        <v>0.69214949999999997</v>
      </c>
    </row>
    <row r="25" spans="1:12" s="6" customFormat="1" ht="12" customHeight="1" x14ac:dyDescent="0.2">
      <c r="A25" s="66"/>
      <c r="B25" s="311"/>
      <c r="C25" s="312"/>
      <c r="D25" s="320" t="s">
        <v>107</v>
      </c>
      <c r="E25" s="320"/>
      <c r="F25" s="160">
        <f t="shared" ref="F25:L25" si="2">$C12*F12*8760/2000</f>
        <v>3.4512209999999994</v>
      </c>
      <c r="G25" s="161">
        <f t="shared" si="2"/>
        <v>0.97498800000000008</v>
      </c>
      <c r="H25" s="161">
        <f t="shared" si="2"/>
        <v>1.0512000000000001E-2</v>
      </c>
      <c r="I25" s="161">
        <f t="shared" si="2"/>
        <v>0.90534599999999998</v>
      </c>
      <c r="J25" s="161">
        <f t="shared" si="2"/>
        <v>1.1826E-2</v>
      </c>
      <c r="K25" s="161">
        <f t="shared" si="2"/>
        <v>1.7082E-2</v>
      </c>
      <c r="L25" s="213">
        <f t="shared" si="2"/>
        <v>1.9190970000000003</v>
      </c>
    </row>
    <row r="26" spans="1:12" s="6" customFormat="1" ht="12" customHeight="1" x14ac:dyDescent="0.2">
      <c r="A26" s="66"/>
      <c r="B26" s="311"/>
      <c r="C26" s="312"/>
      <c r="D26" s="315" t="s">
        <v>108</v>
      </c>
      <c r="E26" s="315"/>
      <c r="F26" s="160">
        <f t="shared" ref="F26:L26" si="3">$C13*F13*8760/2000</f>
        <v>3.5783505</v>
      </c>
      <c r="G26" s="161">
        <f t="shared" si="3"/>
        <v>1.4624820000000003</v>
      </c>
      <c r="H26" s="161">
        <f t="shared" si="3"/>
        <v>3.3506999999999995E-2</v>
      </c>
      <c r="I26" s="161">
        <f t="shared" si="3"/>
        <v>1.3580190000000001</v>
      </c>
      <c r="J26" s="161">
        <f t="shared" si="3"/>
        <v>1.7739000000000001E-2</v>
      </c>
      <c r="K26" s="161">
        <f t="shared" si="3"/>
        <v>2.5622999999999996E-2</v>
      </c>
      <c r="L26" s="213">
        <f t="shared" si="3"/>
        <v>2.8963844999999995</v>
      </c>
    </row>
    <row r="27" spans="1:12" s="23" customFormat="1" x14ac:dyDescent="0.2">
      <c r="A27" s="66"/>
      <c r="B27" s="311"/>
      <c r="C27" s="312"/>
      <c r="D27" s="315" t="s">
        <v>109</v>
      </c>
      <c r="E27" s="315"/>
      <c r="F27" s="160">
        <f t="shared" ref="F27:L27" si="4">$C14*F14*8760/2000</f>
        <v>15.210863999999999</v>
      </c>
      <c r="G27" s="161">
        <f t="shared" si="4"/>
        <v>0.90666000000000013</v>
      </c>
      <c r="H27" s="161">
        <f t="shared" si="4"/>
        <v>2.4966000000000002E-2</v>
      </c>
      <c r="I27" s="161">
        <f t="shared" si="4"/>
        <v>0.89614800000000006</v>
      </c>
      <c r="J27" s="161">
        <f t="shared" si="4"/>
        <v>9.1979999999999978E-3</v>
      </c>
      <c r="K27" s="161">
        <f t="shared" si="4"/>
        <v>1.4454E-2</v>
      </c>
      <c r="L27" s="212">
        <f t="shared" si="4"/>
        <v>1.851426</v>
      </c>
    </row>
    <row r="28" spans="1:12" s="23" customFormat="1" x14ac:dyDescent="0.2">
      <c r="A28" s="66"/>
      <c r="B28" s="311"/>
      <c r="C28" s="312"/>
      <c r="D28" s="315" t="s">
        <v>110</v>
      </c>
      <c r="E28" s="315"/>
      <c r="F28" s="160">
        <f t="shared" ref="F28:L28" si="5">$C15*F15*8760/2000</f>
        <v>2.9154374999999995</v>
      </c>
      <c r="G28" s="161">
        <f t="shared" si="5"/>
        <v>0.41062500000000002</v>
      </c>
      <c r="H28" s="161">
        <f t="shared" si="5"/>
        <v>2.13525E-2</v>
      </c>
      <c r="I28" s="161">
        <f t="shared" si="5"/>
        <v>0.59129999999999994</v>
      </c>
      <c r="J28" s="161">
        <f t="shared" si="5"/>
        <v>1.1497500000000001E-2</v>
      </c>
      <c r="K28" s="161">
        <f t="shared" si="5"/>
        <v>1.6425000000000002E-2</v>
      </c>
      <c r="L28" s="212">
        <f t="shared" si="5"/>
        <v>1.0512000000000001</v>
      </c>
    </row>
    <row r="29" spans="1:12" s="23" customFormat="1" x14ac:dyDescent="0.2">
      <c r="A29" s="66"/>
      <c r="B29" s="311"/>
      <c r="C29" s="312"/>
      <c r="D29" s="315" t="s">
        <v>111</v>
      </c>
      <c r="E29" s="315"/>
      <c r="F29" s="160">
        <f t="shared" ref="F29:L29" si="6">$C16*F16*8760/2000</f>
        <v>7.6054319999999995</v>
      </c>
      <c r="G29" s="161">
        <f t="shared" si="6"/>
        <v>0.45333000000000007</v>
      </c>
      <c r="H29" s="161">
        <f t="shared" si="6"/>
        <v>1.2483000000000001E-2</v>
      </c>
      <c r="I29" s="161">
        <f t="shared" si="6"/>
        <v>0.44807400000000003</v>
      </c>
      <c r="J29" s="161">
        <f t="shared" si="6"/>
        <v>4.5989999999999989E-3</v>
      </c>
      <c r="K29" s="161">
        <f t="shared" si="6"/>
        <v>7.2269999999999999E-3</v>
      </c>
      <c r="L29" s="212">
        <f t="shared" si="6"/>
        <v>0.92571300000000001</v>
      </c>
    </row>
    <row r="30" spans="1:12" s="23" customFormat="1" x14ac:dyDescent="0.2">
      <c r="A30" s="66"/>
      <c r="B30" s="311"/>
      <c r="C30" s="312"/>
      <c r="D30" s="315" t="s">
        <v>112</v>
      </c>
      <c r="E30" s="315"/>
      <c r="F30" s="160">
        <f t="shared" ref="F30:L30" si="7">$C17*F17*8760/2000</f>
        <v>5.0237505000000002</v>
      </c>
      <c r="G30" s="161">
        <f t="shared" si="7"/>
        <v>0.20629799999999998</v>
      </c>
      <c r="H30" s="161">
        <f t="shared" si="7"/>
        <v>1.3468500000000003E-2</v>
      </c>
      <c r="I30" s="161">
        <f t="shared" si="7"/>
        <v>0.13797000000000001</v>
      </c>
      <c r="J30" s="161">
        <f t="shared" si="7"/>
        <v>1.0512000000000001E-2</v>
      </c>
      <c r="K30" s="161">
        <f t="shared" si="7"/>
        <v>1.4782499999999997E-2</v>
      </c>
      <c r="L30" s="213">
        <f t="shared" si="7"/>
        <v>0.38303100000000001</v>
      </c>
    </row>
    <row r="31" spans="1:12" s="23" customFormat="1" x14ac:dyDescent="0.2">
      <c r="A31" s="66"/>
      <c r="B31" s="311"/>
      <c r="C31" s="312"/>
      <c r="D31" s="315" t="s">
        <v>113</v>
      </c>
      <c r="E31" s="315"/>
      <c r="F31" s="160">
        <f t="shared" ref="F31:L31" si="8">$C18*F18*8760/2000</f>
        <v>7.7033249999999995</v>
      </c>
      <c r="G31" s="161">
        <f t="shared" si="8"/>
        <v>0.24308999999999997</v>
      </c>
      <c r="H31" s="161">
        <f t="shared" si="8"/>
        <v>1.1168999999999998E-2</v>
      </c>
      <c r="I31" s="161">
        <f t="shared" si="8"/>
        <v>0.13797000000000001</v>
      </c>
      <c r="J31" s="161">
        <f t="shared" si="8"/>
        <v>1.0512000000000001E-2</v>
      </c>
      <c r="K31" s="161">
        <f t="shared" si="8"/>
        <v>1.4782499999999997E-2</v>
      </c>
      <c r="L31" s="212">
        <f t="shared" si="8"/>
        <v>0.41752349999999994</v>
      </c>
    </row>
    <row r="32" spans="1:12" s="23" customFormat="1" ht="13.5" thickBot="1" x14ac:dyDescent="0.25">
      <c r="A32" s="66"/>
      <c r="B32" s="311"/>
      <c r="C32" s="312"/>
      <c r="D32" s="316" t="s">
        <v>114</v>
      </c>
      <c r="E32" s="316"/>
      <c r="F32" s="206">
        <f t="shared" ref="F32:L32" si="9">$C19*F19*8760/2000</f>
        <v>9.3638924999999986</v>
      </c>
      <c r="G32" s="208">
        <f t="shared" si="9"/>
        <v>0.24308999999999997</v>
      </c>
      <c r="H32" s="208">
        <f t="shared" si="9"/>
        <v>1.1168999999999998E-2</v>
      </c>
      <c r="I32" s="208">
        <f t="shared" si="9"/>
        <v>0.13797000000000001</v>
      </c>
      <c r="J32" s="208">
        <f t="shared" si="9"/>
        <v>1.0512000000000001E-2</v>
      </c>
      <c r="K32" s="208">
        <f t="shared" si="9"/>
        <v>1.4782499999999997E-2</v>
      </c>
      <c r="L32" s="222">
        <f t="shared" si="9"/>
        <v>0.41752349999999994</v>
      </c>
    </row>
    <row r="33" spans="1:12" s="23" customFormat="1" ht="14.25" thickTop="1" thickBot="1" x14ac:dyDescent="0.25">
      <c r="A33" s="66"/>
      <c r="B33" s="313"/>
      <c r="C33" s="314"/>
      <c r="D33" s="307" t="s">
        <v>23</v>
      </c>
      <c r="E33" s="307"/>
      <c r="F33" s="144">
        <f>SUM(F24:F32)</f>
        <v>57.607730999999994</v>
      </c>
      <c r="G33" s="144">
        <f t="shared" ref="G33:L33" si="10">SUM(G24:G32)</f>
        <v>5.3867430000000001</v>
      </c>
      <c r="H33" s="220">
        <f t="shared" si="10"/>
        <v>0.14979599999999998</v>
      </c>
      <c r="I33" s="144">
        <f t="shared" si="10"/>
        <v>4.7934720000000004</v>
      </c>
      <c r="J33" s="220">
        <f t="shared" si="10"/>
        <v>9.2308499999999988E-2</v>
      </c>
      <c r="K33" s="220">
        <f t="shared" si="10"/>
        <v>0.1336995</v>
      </c>
      <c r="L33" s="221">
        <f t="shared" si="10"/>
        <v>10.554048</v>
      </c>
    </row>
    <row r="34" spans="1:12" x14ac:dyDescent="0.2">
      <c r="A34" s="67"/>
      <c r="B34" s="67" t="s">
        <v>132</v>
      </c>
      <c r="C34" s="67"/>
      <c r="D34" s="67"/>
      <c r="E34" s="67"/>
      <c r="F34" s="67"/>
      <c r="G34" s="67"/>
      <c r="H34" s="67"/>
      <c r="I34" s="67"/>
      <c r="J34" s="67"/>
      <c r="K34" s="67"/>
      <c r="L34" s="67"/>
    </row>
    <row r="35" spans="1:12" x14ac:dyDescent="0.2">
      <c r="A35" s="67"/>
      <c r="B35" s="1" t="s">
        <v>11</v>
      </c>
      <c r="C35" s="67"/>
      <c r="D35" s="67"/>
      <c r="E35" s="67"/>
      <c r="F35" s="67"/>
      <c r="G35" s="67"/>
      <c r="H35" s="67"/>
      <c r="I35" s="67"/>
      <c r="J35" s="67"/>
      <c r="K35" s="67"/>
      <c r="L35" s="67"/>
    </row>
    <row r="36" spans="1:12" x14ac:dyDescent="0.2">
      <c r="A36" s="67"/>
      <c r="B36" s="67" t="s">
        <v>131</v>
      </c>
      <c r="C36" s="67"/>
      <c r="D36" s="67"/>
      <c r="E36" s="67"/>
      <c r="F36" s="67"/>
      <c r="G36" s="67"/>
      <c r="H36" s="67"/>
      <c r="I36" s="67"/>
      <c r="J36" s="67"/>
      <c r="K36" s="67"/>
      <c r="L36" s="67"/>
    </row>
    <row r="39" spans="1:12" hidden="1" x14ac:dyDescent="0.2"/>
    <row r="40" spans="1:12" hidden="1" x14ac:dyDescent="0.2">
      <c r="F40" s="321" t="s">
        <v>126</v>
      </c>
      <c r="G40" s="322"/>
      <c r="H40" s="322"/>
      <c r="I40" s="322"/>
      <c r="J40" s="322"/>
      <c r="K40" s="322"/>
      <c r="L40" s="322"/>
    </row>
    <row r="41" spans="1:12" hidden="1" x14ac:dyDescent="0.2">
      <c r="F41" s="159" t="s">
        <v>115</v>
      </c>
      <c r="G41" s="159" t="s">
        <v>117</v>
      </c>
      <c r="H41" s="179" t="s">
        <v>118</v>
      </c>
      <c r="I41" s="179" t="s">
        <v>121</v>
      </c>
      <c r="J41" s="180" t="s">
        <v>122</v>
      </c>
      <c r="K41" s="176" t="s">
        <v>123</v>
      </c>
      <c r="L41" s="179" t="s">
        <v>116</v>
      </c>
    </row>
    <row r="42" spans="1:12" hidden="1" x14ac:dyDescent="0.2">
      <c r="C42" s="315" t="s">
        <v>106</v>
      </c>
      <c r="D42" s="315"/>
      <c r="E42" s="175" t="s">
        <v>124</v>
      </c>
      <c r="F42" s="177">
        <v>0.83879999999999999</v>
      </c>
      <c r="G42" s="103">
        <v>0.14799999999999999</v>
      </c>
      <c r="H42" s="177">
        <v>3.3999999999999998E-3</v>
      </c>
      <c r="I42" s="103">
        <v>5.5E-2</v>
      </c>
      <c r="J42" s="177">
        <v>1.8E-3</v>
      </c>
      <c r="K42" s="177">
        <v>2.5999999999999999E-3</v>
      </c>
      <c r="L42" s="177">
        <v>0.2107</v>
      </c>
    </row>
    <row r="43" spans="1:12" hidden="1" x14ac:dyDescent="0.2">
      <c r="C43" s="320" t="s">
        <v>107</v>
      </c>
      <c r="D43" s="320"/>
      <c r="E43" s="175" t="s">
        <v>124</v>
      </c>
      <c r="F43" s="177">
        <v>0.52529999999999999</v>
      </c>
      <c r="G43" s="103">
        <v>0.1484</v>
      </c>
      <c r="H43" s="177">
        <v>1.6000000000000001E-3</v>
      </c>
      <c r="I43" s="177">
        <v>0.13780000000000001</v>
      </c>
      <c r="J43" s="177">
        <v>1.8E-3</v>
      </c>
      <c r="K43" s="177">
        <v>2.5999999999999999E-3</v>
      </c>
      <c r="L43" s="177">
        <v>0.29210000000000003</v>
      </c>
    </row>
    <row r="44" spans="1:12" hidden="1" x14ac:dyDescent="0.2">
      <c r="C44" s="315" t="s">
        <v>108</v>
      </c>
      <c r="D44" s="315"/>
      <c r="E44" s="175" t="s">
        <v>124</v>
      </c>
      <c r="F44" s="177">
        <v>0.36309999999999998</v>
      </c>
      <c r="G44" s="103">
        <v>0.1484</v>
      </c>
      <c r="H44" s="177">
        <v>3.3999999999999998E-3</v>
      </c>
      <c r="I44" s="177">
        <v>0.13780000000000001</v>
      </c>
      <c r="J44" s="177">
        <v>1.8E-3</v>
      </c>
      <c r="K44" s="177">
        <v>2.5999999999999999E-3</v>
      </c>
      <c r="L44" s="177">
        <v>0.29389999999999999</v>
      </c>
    </row>
    <row r="45" spans="1:12" hidden="1" x14ac:dyDescent="0.2">
      <c r="C45" s="315" t="s">
        <v>109</v>
      </c>
      <c r="D45" s="315"/>
      <c r="E45" s="175" t="s">
        <v>124</v>
      </c>
      <c r="F45" s="177">
        <v>1.1576</v>
      </c>
      <c r="G45" s="103">
        <v>6.9000000000000006E-2</v>
      </c>
      <c r="H45" s="177">
        <v>1.9E-3</v>
      </c>
      <c r="I45" s="177">
        <v>6.8199999999999997E-2</v>
      </c>
      <c r="J45" s="177">
        <v>6.9999999999999999E-4</v>
      </c>
      <c r="K45" s="177">
        <v>1.1000000000000001E-3</v>
      </c>
      <c r="L45" s="177">
        <v>0.1409</v>
      </c>
    </row>
    <row r="46" spans="1:12" hidden="1" x14ac:dyDescent="0.2">
      <c r="C46" s="315" t="s">
        <v>110</v>
      </c>
      <c r="D46" s="315"/>
      <c r="E46" s="175" t="s">
        <v>124</v>
      </c>
      <c r="F46" s="177">
        <v>0.17749999999999999</v>
      </c>
      <c r="G46" s="103">
        <v>2.5000000000000001E-2</v>
      </c>
      <c r="H46" s="177">
        <v>1.2999999999999999E-3</v>
      </c>
      <c r="I46" s="103">
        <v>3.5999999999999997E-2</v>
      </c>
      <c r="J46" s="177">
        <v>6.9999999999999999E-4</v>
      </c>
      <c r="K46" s="103">
        <v>1E-3</v>
      </c>
      <c r="L46" s="177">
        <v>6.4000000000000001E-2</v>
      </c>
    </row>
    <row r="47" spans="1:12" hidden="1" x14ac:dyDescent="0.2">
      <c r="C47" s="315" t="s">
        <v>111</v>
      </c>
      <c r="D47" s="315"/>
      <c r="E47" s="175" t="s">
        <v>124</v>
      </c>
      <c r="F47" s="177">
        <v>1.1576</v>
      </c>
      <c r="G47" s="103">
        <v>6.9000000000000006E-2</v>
      </c>
      <c r="H47" s="177">
        <v>1.9E-3</v>
      </c>
      <c r="I47" s="177">
        <v>6.8199999999999997E-2</v>
      </c>
      <c r="J47" s="177">
        <v>6.9999999999999999E-4</v>
      </c>
      <c r="K47" s="177">
        <v>1.1000000000000001E-3</v>
      </c>
      <c r="L47" s="177">
        <v>0.1409</v>
      </c>
    </row>
    <row r="48" spans="1:12" hidden="1" x14ac:dyDescent="0.2">
      <c r="C48" s="315" t="s">
        <v>112</v>
      </c>
      <c r="D48" s="315"/>
      <c r="E48" s="175" t="s">
        <v>124</v>
      </c>
      <c r="F48" s="177">
        <v>1.5293000000000001</v>
      </c>
      <c r="G48" s="103">
        <v>6.2799999999999995E-2</v>
      </c>
      <c r="H48" s="177">
        <v>4.1000000000000003E-3</v>
      </c>
      <c r="I48" s="103">
        <v>4.2000000000000003E-2</v>
      </c>
      <c r="J48" s="177">
        <v>3.2000000000000002E-3</v>
      </c>
      <c r="K48" s="177">
        <v>4.4999999999999997E-3</v>
      </c>
      <c r="L48" s="177">
        <v>0.1166</v>
      </c>
    </row>
    <row r="49" spans="3:12" hidden="1" x14ac:dyDescent="0.2">
      <c r="C49" s="315" t="s">
        <v>113</v>
      </c>
      <c r="D49" s="315"/>
      <c r="E49" s="175" t="s">
        <v>124</v>
      </c>
      <c r="F49" s="177">
        <v>2.3450000000000002</v>
      </c>
      <c r="G49" s="103">
        <v>7.3999999999999996E-2</v>
      </c>
      <c r="H49" s="177">
        <v>3.3999999999999998E-3</v>
      </c>
      <c r="I49" s="103">
        <v>4.2000000000000003E-2</v>
      </c>
      <c r="J49" s="177">
        <v>3.2000000000000002E-3</v>
      </c>
      <c r="K49" s="177">
        <v>4.4999999999999997E-3</v>
      </c>
      <c r="L49" s="177">
        <v>0.12709999999999999</v>
      </c>
    </row>
    <row r="50" spans="3:12" hidden="1" x14ac:dyDescent="0.2">
      <c r="C50" s="315" t="s">
        <v>114</v>
      </c>
      <c r="D50" s="315"/>
      <c r="E50" s="175" t="s">
        <v>124</v>
      </c>
      <c r="F50" s="177">
        <v>2.8504999999999998</v>
      </c>
      <c r="G50" s="103">
        <v>7.3999999999999996E-2</v>
      </c>
      <c r="H50" s="177">
        <v>3.3999999999999998E-3</v>
      </c>
      <c r="I50" s="103">
        <v>4.2000000000000003E-2</v>
      </c>
      <c r="J50" s="177">
        <v>3.2000000000000002E-3</v>
      </c>
      <c r="K50" s="177">
        <v>4.4999999999999997E-3</v>
      </c>
      <c r="L50" s="177">
        <v>0.12709999999999999</v>
      </c>
    </row>
    <row r="51" spans="3:12" hidden="1" x14ac:dyDescent="0.2">
      <c r="E51" s="175"/>
      <c r="F51" s="177"/>
      <c r="G51" s="177"/>
      <c r="H51" s="177"/>
      <c r="I51" s="177"/>
      <c r="J51" s="177"/>
      <c r="K51" s="177"/>
      <c r="L51" s="177"/>
    </row>
    <row r="52" spans="3:12" hidden="1" x14ac:dyDescent="0.2">
      <c r="C52" s="315" t="s">
        <v>106</v>
      </c>
      <c r="D52" s="315"/>
      <c r="E52" s="175" t="s">
        <v>125</v>
      </c>
      <c r="F52" s="177">
        <v>1.0902000000000001</v>
      </c>
      <c r="G52" s="103">
        <v>0.42</v>
      </c>
      <c r="H52" s="177">
        <v>1.6299999999999999E-2</v>
      </c>
      <c r="I52" s="103">
        <v>5.5E-2</v>
      </c>
      <c r="J52" s="177">
        <v>1.8E-3</v>
      </c>
      <c r="K52" s="177">
        <v>2.5999999999999999E-3</v>
      </c>
      <c r="L52" s="177">
        <v>0.49559999999999998</v>
      </c>
    </row>
    <row r="53" spans="3:12" hidden="1" x14ac:dyDescent="0.2">
      <c r="C53" s="320" t="s">
        <v>107</v>
      </c>
      <c r="D53" s="320"/>
      <c r="E53" s="175" t="s">
        <v>125</v>
      </c>
      <c r="F53" s="177">
        <v>0.66149999999999998</v>
      </c>
      <c r="G53" s="103">
        <v>0.21959999999999999</v>
      </c>
      <c r="H53" s="177">
        <v>4.4000000000000003E-3</v>
      </c>
      <c r="I53" s="177">
        <v>0.13780000000000001</v>
      </c>
      <c r="J53" s="177">
        <v>1.8E-3</v>
      </c>
      <c r="K53" s="177">
        <v>2.5999999999999999E-3</v>
      </c>
      <c r="L53" s="177">
        <v>0.36609999999999998</v>
      </c>
    </row>
    <row r="54" spans="3:12" hidden="1" x14ac:dyDescent="0.2">
      <c r="C54" s="315" t="s">
        <v>108</v>
      </c>
      <c r="D54" s="315"/>
      <c r="E54" s="175" t="s">
        <v>125</v>
      </c>
      <c r="F54" s="177">
        <v>1.1453</v>
      </c>
      <c r="G54" s="103">
        <v>0.42</v>
      </c>
      <c r="H54" s="177">
        <v>1.6299999999999999E-2</v>
      </c>
      <c r="I54" s="177">
        <v>0.13780000000000001</v>
      </c>
      <c r="J54" s="177">
        <v>1.8E-3</v>
      </c>
      <c r="K54" s="177">
        <v>2.5999999999999999E-3</v>
      </c>
      <c r="L54" s="177">
        <v>0.57840000000000003</v>
      </c>
    </row>
    <row r="55" spans="3:12" hidden="1" x14ac:dyDescent="0.2">
      <c r="C55" s="315" t="s">
        <v>109</v>
      </c>
      <c r="D55" s="315"/>
      <c r="E55" s="175" t="s">
        <v>125</v>
      </c>
      <c r="F55" s="177">
        <v>1.6969000000000001</v>
      </c>
      <c r="G55" s="103">
        <v>0.11700000000000001</v>
      </c>
      <c r="H55" s="177">
        <v>4.3E-3</v>
      </c>
      <c r="I55" s="177">
        <v>6.8199999999999997E-2</v>
      </c>
      <c r="J55" s="177">
        <v>6.9999999999999999E-4</v>
      </c>
      <c r="K55" s="177">
        <v>1.1000000000000001E-3</v>
      </c>
      <c r="L55" s="177">
        <v>0.1913</v>
      </c>
    </row>
    <row r="56" spans="3:12" hidden="1" x14ac:dyDescent="0.2">
      <c r="C56" s="315" t="s">
        <v>110</v>
      </c>
      <c r="D56" s="315"/>
      <c r="E56" s="175" t="s">
        <v>125</v>
      </c>
      <c r="F56" s="177">
        <v>0.21609999999999999</v>
      </c>
      <c r="G56" s="103">
        <v>7.8E-2</v>
      </c>
      <c r="H56" s="177">
        <v>4.4000000000000003E-3</v>
      </c>
      <c r="I56" s="103">
        <v>3.5999999999999997E-2</v>
      </c>
      <c r="J56" s="177">
        <v>6.9999999999999999E-4</v>
      </c>
      <c r="K56" s="103">
        <v>1E-3</v>
      </c>
      <c r="L56" s="177">
        <v>0.1201</v>
      </c>
    </row>
    <row r="57" spans="3:12" hidden="1" x14ac:dyDescent="0.2">
      <c r="C57" s="315" t="s">
        <v>111</v>
      </c>
      <c r="D57" s="315"/>
      <c r="E57" s="175" t="s">
        <v>125</v>
      </c>
      <c r="F57" s="177">
        <v>1.6969000000000001</v>
      </c>
      <c r="G57" s="103">
        <v>0.11700000000000001</v>
      </c>
      <c r="H57" s="177">
        <v>4.4000000000000003E-3</v>
      </c>
      <c r="I57" s="177">
        <v>6.8199999999999997E-2</v>
      </c>
      <c r="J57" s="177">
        <v>6.9999999999999999E-4</v>
      </c>
      <c r="K57" s="177">
        <v>1.1000000000000001E-3</v>
      </c>
      <c r="L57" s="177">
        <v>0.19139999999999999</v>
      </c>
    </row>
    <row r="58" spans="3:12" hidden="1" x14ac:dyDescent="0.2">
      <c r="C58" s="315" t="s">
        <v>112</v>
      </c>
      <c r="D58" s="315"/>
      <c r="E58" s="175" t="s">
        <v>125</v>
      </c>
      <c r="F58" s="177">
        <v>1.5293000000000001</v>
      </c>
      <c r="G58" s="103">
        <v>6.2799999999999995E-2</v>
      </c>
      <c r="H58" s="177">
        <v>4.1000000000000003E-3</v>
      </c>
      <c r="I58" s="103">
        <v>4.2000000000000003E-2</v>
      </c>
      <c r="J58" s="177">
        <v>3.2000000000000002E-3</v>
      </c>
      <c r="K58" s="177">
        <v>4.4999999999999997E-3</v>
      </c>
      <c r="L58" s="177">
        <v>0.1166</v>
      </c>
    </row>
    <row r="59" spans="3:12" hidden="1" x14ac:dyDescent="0.2">
      <c r="C59" s="315" t="s">
        <v>113</v>
      </c>
      <c r="D59" s="315"/>
      <c r="E59" s="175" t="s">
        <v>125</v>
      </c>
      <c r="F59" s="177">
        <v>3.8087</v>
      </c>
      <c r="G59" s="103">
        <v>0.14399999999999999</v>
      </c>
      <c r="H59" s="177">
        <v>9.1999999999999998E-3</v>
      </c>
      <c r="I59" s="103">
        <v>4.2000000000000003E-2</v>
      </c>
      <c r="J59" s="177">
        <v>3.2000000000000002E-3</v>
      </c>
      <c r="K59" s="177">
        <v>4.4999999999999997E-3</v>
      </c>
      <c r="L59" s="177">
        <v>0.2029</v>
      </c>
    </row>
    <row r="60" spans="3:12" hidden="1" x14ac:dyDescent="0.2">
      <c r="C60" s="315" t="s">
        <v>114</v>
      </c>
      <c r="D60" s="315"/>
      <c r="E60" s="175" t="s">
        <v>125</v>
      </c>
      <c r="F60" s="177">
        <v>3.8087</v>
      </c>
      <c r="G60" s="103">
        <v>0.14399999999999999</v>
      </c>
      <c r="H60" s="177">
        <v>9.1999999999999998E-3</v>
      </c>
      <c r="I60" s="103">
        <v>4.2000000000000003E-2</v>
      </c>
      <c r="J60" s="177">
        <v>3.2000000000000002E-3</v>
      </c>
      <c r="K60" s="177">
        <v>4.4999999999999997E-3</v>
      </c>
      <c r="L60" s="177">
        <v>0.2029</v>
      </c>
    </row>
    <row r="61" spans="3:12" hidden="1" x14ac:dyDescent="0.2">
      <c r="E61" s="175"/>
    </row>
  </sheetData>
  <mergeCells count="58">
    <mergeCell ref="A1:L1"/>
    <mergeCell ref="A2:L2"/>
    <mergeCell ref="A3:L3"/>
    <mergeCell ref="A9:B9"/>
    <mergeCell ref="C10:D10"/>
    <mergeCell ref="F9:L9"/>
    <mergeCell ref="C48:D48"/>
    <mergeCell ref="C49:D49"/>
    <mergeCell ref="C50:D50"/>
    <mergeCell ref="C19:D19"/>
    <mergeCell ref="A10:B10"/>
    <mergeCell ref="A19:B19"/>
    <mergeCell ref="A18:B18"/>
    <mergeCell ref="A17:B17"/>
    <mergeCell ref="A16:B16"/>
    <mergeCell ref="A15:B15"/>
    <mergeCell ref="A14:B14"/>
    <mergeCell ref="A13:B13"/>
    <mergeCell ref="A12:B12"/>
    <mergeCell ref="A11:B11"/>
    <mergeCell ref="C17:D17"/>
    <mergeCell ref="C18:D18"/>
    <mergeCell ref="C57:D57"/>
    <mergeCell ref="C58:D58"/>
    <mergeCell ref="C59:D59"/>
    <mergeCell ref="C60:D60"/>
    <mergeCell ref="F40:L40"/>
    <mergeCell ref="C52:D52"/>
    <mergeCell ref="C53:D53"/>
    <mergeCell ref="C54:D54"/>
    <mergeCell ref="C55:D55"/>
    <mergeCell ref="C56:D56"/>
    <mergeCell ref="C42:D42"/>
    <mergeCell ref="C43:D43"/>
    <mergeCell ref="C44:D44"/>
    <mergeCell ref="C45:D45"/>
    <mergeCell ref="C46:D46"/>
    <mergeCell ref="C47:D47"/>
    <mergeCell ref="F22:L22"/>
    <mergeCell ref="D24:E24"/>
    <mergeCell ref="D25:E25"/>
    <mergeCell ref="D26:E26"/>
    <mergeCell ref="D27:E27"/>
    <mergeCell ref="D33:E33"/>
    <mergeCell ref="D23:E23"/>
    <mergeCell ref="A5:B5"/>
    <mergeCell ref="B22:C33"/>
    <mergeCell ref="D28:E28"/>
    <mergeCell ref="D29:E29"/>
    <mergeCell ref="D30:E30"/>
    <mergeCell ref="D31:E31"/>
    <mergeCell ref="D32:E32"/>
    <mergeCell ref="C15:D15"/>
    <mergeCell ref="C16:D16"/>
    <mergeCell ref="C13:D13"/>
    <mergeCell ref="C14:D14"/>
    <mergeCell ref="C11:D11"/>
    <mergeCell ref="C12:D12"/>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2"/>
  <sheetViews>
    <sheetView workbookViewId="0">
      <selection activeCell="D6" sqref="D6"/>
    </sheetView>
  </sheetViews>
  <sheetFormatPr defaultColWidth="8.7109375" defaultRowHeight="12.75" x14ac:dyDescent="0.2"/>
  <cols>
    <col min="1" max="1" width="14.42578125" customWidth="1"/>
    <col min="2" max="2" width="16" customWidth="1"/>
    <col min="3" max="3" width="17.28515625" customWidth="1"/>
    <col min="4" max="4" width="11.28515625" customWidth="1"/>
    <col min="5" max="5" width="10.28515625" customWidth="1"/>
    <col min="8" max="11" width="8.7109375" bestFit="1" customWidth="1"/>
    <col min="12" max="12" width="12.42578125" customWidth="1"/>
  </cols>
  <sheetData>
    <row r="1" spans="1:17" s="63" customFormat="1" ht="20.25" x14ac:dyDescent="0.3">
      <c r="A1" s="278" t="str">
        <f>Inputs!A1</f>
        <v>Potential To Emit Calculator for Sawmill Facilities</v>
      </c>
      <c r="B1" s="278"/>
      <c r="C1" s="278"/>
      <c r="D1" s="278"/>
      <c r="E1" s="278"/>
      <c r="F1" s="278"/>
      <c r="G1" s="278"/>
      <c r="H1" s="278"/>
      <c r="I1" s="278"/>
      <c r="J1" s="278"/>
      <c r="K1" s="278"/>
      <c r="L1" s="278"/>
      <c r="M1" s="65"/>
      <c r="N1" s="10"/>
      <c r="O1" s="10"/>
    </row>
    <row r="2" spans="1:17" s="63" customFormat="1" x14ac:dyDescent="0.2">
      <c r="A2" s="279">
        <f>Inputs!A2</f>
        <v>42552</v>
      </c>
      <c r="B2" s="279"/>
      <c r="C2" s="279"/>
      <c r="D2" s="279"/>
      <c r="E2" s="279"/>
      <c r="F2" s="279"/>
      <c r="G2" s="279"/>
      <c r="H2" s="279"/>
      <c r="I2" s="279"/>
      <c r="J2" s="279"/>
      <c r="K2" s="279"/>
      <c r="L2" s="279"/>
      <c r="M2" s="11"/>
      <c r="N2" s="11"/>
      <c r="O2" s="11"/>
      <c r="P2" s="11"/>
      <c r="Q2" s="11"/>
    </row>
    <row r="3" spans="1:17" ht="15.75" x14ac:dyDescent="0.25">
      <c r="A3" s="298" t="s">
        <v>147</v>
      </c>
      <c r="B3" s="298"/>
      <c r="C3" s="298"/>
      <c r="D3" s="298"/>
      <c r="E3" s="298"/>
      <c r="F3" s="298"/>
      <c r="G3" s="298"/>
      <c r="H3" s="298"/>
      <c r="I3" s="298"/>
      <c r="J3" s="298"/>
      <c r="K3" s="298"/>
      <c r="L3" s="298"/>
    </row>
    <row r="4" spans="1:17" ht="15.75" x14ac:dyDescent="0.25">
      <c r="A4" s="71"/>
      <c r="B4" s="15"/>
    </row>
    <row r="5" spans="1:17" x14ac:dyDescent="0.2">
      <c r="A5" s="304" t="s">
        <v>57</v>
      </c>
      <c r="B5" s="304"/>
      <c r="C5" s="197">
        <f>Inputs!D18</f>
        <v>20</v>
      </c>
      <c r="D5" s="262" t="s">
        <v>192</v>
      </c>
      <c r="I5" s="5" t="s">
        <v>1</v>
      </c>
    </row>
    <row r="6" spans="1:17" x14ac:dyDescent="0.2">
      <c r="A6" s="304" t="s">
        <v>143</v>
      </c>
      <c r="B6" s="304"/>
      <c r="C6" s="197" t="str">
        <f>IF(Inputs!I18="Y","Baghouse","")</f>
        <v>Baghouse</v>
      </c>
      <c r="D6" s="119"/>
      <c r="I6" s="2" t="s">
        <v>22</v>
      </c>
    </row>
    <row r="7" spans="1:17" ht="13.5" thickBot="1" x14ac:dyDescent="0.25">
      <c r="A7" s="3"/>
      <c r="B7" s="12"/>
      <c r="C7" s="12"/>
      <c r="D7" s="3"/>
      <c r="I7" s="5"/>
    </row>
    <row r="8" spans="1:17" ht="12" customHeight="1" thickTop="1" x14ac:dyDescent="0.2">
      <c r="A8" s="4"/>
      <c r="B8" s="4"/>
      <c r="C8" s="4"/>
      <c r="D8" s="4"/>
      <c r="E8" s="4"/>
      <c r="F8" s="4"/>
      <c r="G8" s="4"/>
      <c r="H8" s="4"/>
      <c r="I8" s="4"/>
      <c r="J8" s="4"/>
      <c r="K8" s="4"/>
      <c r="L8" s="4"/>
    </row>
    <row r="9" spans="1:17" ht="13.5" thickBot="1" x14ac:dyDescent="0.25">
      <c r="A9" s="1"/>
      <c r="B9" s="1" t="s">
        <v>148</v>
      </c>
      <c r="D9" s="55"/>
      <c r="E9" s="12"/>
      <c r="F9" s="12"/>
      <c r="G9" s="3" t="s">
        <v>10</v>
      </c>
      <c r="H9" s="3" t="s">
        <v>10</v>
      </c>
      <c r="I9" s="53"/>
      <c r="J9" s="54" t="s">
        <v>10</v>
      </c>
    </row>
    <row r="10" spans="1:17" s="17" customFormat="1" ht="12.75" customHeight="1" x14ac:dyDescent="0.2">
      <c r="B10" s="82"/>
      <c r="C10" s="83"/>
      <c r="D10" s="83"/>
      <c r="E10" s="83"/>
      <c r="F10" s="83"/>
      <c r="G10" s="83"/>
      <c r="H10" s="83" t="s">
        <v>19</v>
      </c>
      <c r="I10" s="83"/>
      <c r="J10" s="83"/>
      <c r="K10" s="85"/>
      <c r="L10" s="23"/>
      <c r="M10" s="23"/>
      <c r="N10" s="23"/>
    </row>
    <row r="11" spans="1:17" s="17" customFormat="1" ht="15.75" x14ac:dyDescent="0.3">
      <c r="A11" s="23"/>
      <c r="B11" s="86"/>
      <c r="C11" s="9"/>
      <c r="D11" s="9"/>
      <c r="E11" s="187" t="s">
        <v>17</v>
      </c>
      <c r="F11" s="188" t="s">
        <v>6</v>
      </c>
      <c r="G11" s="187" t="s">
        <v>5</v>
      </c>
      <c r="H11" s="188" t="s">
        <v>7</v>
      </c>
      <c r="I11" s="188" t="s">
        <v>8</v>
      </c>
      <c r="J11" s="188" t="s">
        <v>18</v>
      </c>
      <c r="K11" s="191" t="s">
        <v>20</v>
      </c>
      <c r="L11" s="23"/>
      <c r="M11" s="23"/>
      <c r="N11" s="23"/>
      <c r="O11" s="23"/>
    </row>
    <row r="12" spans="1:17" s="17" customFormat="1" ht="14.25" x14ac:dyDescent="0.2">
      <c r="A12" s="23"/>
      <c r="B12" s="305" t="s">
        <v>149</v>
      </c>
      <c r="C12" s="306"/>
      <c r="D12" s="74" t="s">
        <v>136</v>
      </c>
      <c r="E12" s="166">
        <f>IF($C$6="Baghouse",0.001,"")</f>
        <v>1E-3</v>
      </c>
      <c r="F12" s="166">
        <f>IF($C$6="Baghouse",0.001,"")</f>
        <v>1E-3</v>
      </c>
      <c r="G12" s="166">
        <f>IF($C$6="Baghouse",0.001,"")</f>
        <v>1E-3</v>
      </c>
      <c r="H12" s="240">
        <v>0</v>
      </c>
      <c r="I12" s="240">
        <v>0</v>
      </c>
      <c r="J12" s="240">
        <v>0</v>
      </c>
      <c r="K12" s="241">
        <v>0</v>
      </c>
      <c r="L12" s="23"/>
      <c r="M12" s="23"/>
      <c r="N12" s="23"/>
      <c r="O12" s="23"/>
    </row>
    <row r="13" spans="1:17" s="17" customFormat="1" ht="13.5" thickBot="1" x14ac:dyDescent="0.25">
      <c r="A13" s="23"/>
      <c r="B13" s="192"/>
      <c r="C13" s="189"/>
      <c r="D13" s="189"/>
      <c r="E13" s="190"/>
      <c r="F13" s="190"/>
      <c r="G13" s="190"/>
      <c r="H13" s="242"/>
      <c r="I13" s="242"/>
      <c r="J13" s="242"/>
      <c r="K13" s="243"/>
      <c r="L13" s="23"/>
      <c r="M13" s="23"/>
      <c r="N13" s="23"/>
      <c r="O13" s="23"/>
    </row>
    <row r="14" spans="1:17" s="17" customFormat="1" ht="13.5" thickTop="1" x14ac:dyDescent="0.2">
      <c r="A14" s="23"/>
      <c r="B14" s="86"/>
      <c r="C14" s="9"/>
      <c r="D14" s="9"/>
      <c r="E14" s="186"/>
      <c r="F14" s="186"/>
      <c r="G14" s="186"/>
      <c r="H14" s="244"/>
      <c r="I14" s="244"/>
      <c r="J14" s="244"/>
      <c r="K14" s="245"/>
      <c r="L14" s="23"/>
      <c r="M14" s="23"/>
      <c r="N14" s="23"/>
      <c r="O14" s="23"/>
    </row>
    <row r="15" spans="1:17" s="16" customFormat="1" x14ac:dyDescent="0.2">
      <c r="A15" s="24"/>
      <c r="B15" s="86" t="s">
        <v>26</v>
      </c>
      <c r="C15" s="30"/>
      <c r="D15" s="30"/>
      <c r="E15" s="122">
        <f>$C$5*MAX(E12:E12)*8760/2000</f>
        <v>8.7600000000000011E-2</v>
      </c>
      <c r="F15" s="122">
        <f>$C$5*MAX(F12:F12)*8760/2000</f>
        <v>8.7600000000000011E-2</v>
      </c>
      <c r="G15" s="122">
        <f>$C$5*MAX(G12:G12)*8760/2000</f>
        <v>8.7600000000000011E-2</v>
      </c>
      <c r="H15" s="238">
        <f>IF($E$9="Y",$C$5*#REF!*500/2000,0)</f>
        <v>0</v>
      </c>
      <c r="I15" s="238">
        <f>IF($E$9="Y",$C$5*#REF!*500/2000,0)</f>
        <v>0</v>
      </c>
      <c r="J15" s="238">
        <f>IF($E$9="Y",$C$5*#REF!*500/2000,0)</f>
        <v>0</v>
      </c>
      <c r="K15" s="239">
        <f>IF($E$9="Y",$C$5*#REF!*500/2000,0)</f>
        <v>0</v>
      </c>
      <c r="L15" s="24"/>
      <c r="M15" s="24"/>
      <c r="N15" s="24"/>
      <c r="O15" s="24"/>
    </row>
    <row r="16" spans="1:17" s="17" customFormat="1" ht="13.5" thickBot="1" x14ac:dyDescent="0.25">
      <c r="A16" s="23"/>
      <c r="B16" s="87"/>
      <c r="C16" s="45"/>
      <c r="D16" s="45"/>
      <c r="E16" s="194"/>
      <c r="F16" s="18"/>
      <c r="G16" s="18"/>
      <c r="H16" s="18" t="s">
        <v>10</v>
      </c>
      <c r="I16" s="18"/>
      <c r="J16" s="18"/>
      <c r="K16" s="195"/>
      <c r="L16" s="23"/>
      <c r="M16" s="23"/>
      <c r="N16" s="23"/>
      <c r="O16" s="23"/>
    </row>
    <row r="17" spans="2:15" s="17" customFormat="1" ht="12" x14ac:dyDescent="0.2">
      <c r="B17" s="24" t="s">
        <v>12</v>
      </c>
      <c r="C17" s="23"/>
      <c r="D17" s="23"/>
      <c r="E17" s="26"/>
      <c r="F17" s="27"/>
      <c r="G17" s="27"/>
      <c r="H17" s="27"/>
      <c r="I17" s="27"/>
      <c r="J17" s="27"/>
      <c r="K17" s="27"/>
      <c r="L17" s="23"/>
      <c r="M17" s="23"/>
      <c r="N17" s="23"/>
      <c r="O17" s="23"/>
    </row>
    <row r="18" spans="2:15" s="17" customFormat="1" ht="37.35" customHeight="1" x14ac:dyDescent="0.2">
      <c r="B18" s="301" t="s">
        <v>139</v>
      </c>
      <c r="C18" s="301"/>
      <c r="D18" s="301"/>
      <c r="E18" s="301"/>
      <c r="F18" s="301"/>
      <c r="G18" s="301"/>
      <c r="H18" s="301"/>
      <c r="I18" s="301"/>
      <c r="J18" s="301"/>
      <c r="K18" s="301"/>
      <c r="L18" s="301"/>
      <c r="M18" s="23"/>
      <c r="N18" s="23"/>
      <c r="O18" s="23"/>
    </row>
    <row r="19" spans="2:15" s="17" customFormat="1" ht="36.75" customHeight="1" x14ac:dyDescent="0.2">
      <c r="B19" s="301" t="s">
        <v>142</v>
      </c>
      <c r="C19" s="301"/>
      <c r="D19" s="301"/>
      <c r="E19" s="301"/>
      <c r="F19" s="301"/>
      <c r="G19" s="301"/>
      <c r="H19" s="301"/>
      <c r="I19" s="301"/>
      <c r="J19" s="301"/>
      <c r="K19" s="301"/>
      <c r="L19" s="301"/>
    </row>
    <row r="20" spans="2:15" s="17" customFormat="1" ht="12" x14ac:dyDescent="0.2">
      <c r="B20" s="17" t="s">
        <v>176</v>
      </c>
    </row>
    <row r="21" spans="2:15" s="17" customFormat="1" ht="12" x14ac:dyDescent="0.2">
      <c r="B21" s="16" t="s">
        <v>11</v>
      </c>
    </row>
    <row r="22" spans="2:15" s="17" customFormat="1" ht="12" x14ac:dyDescent="0.2">
      <c r="B22" s="17" t="s">
        <v>140</v>
      </c>
    </row>
  </sheetData>
  <mergeCells count="8">
    <mergeCell ref="A5:B5"/>
    <mergeCell ref="A6:B6"/>
    <mergeCell ref="B18:L18"/>
    <mergeCell ref="B19:L19"/>
    <mergeCell ref="A1:L1"/>
    <mergeCell ref="A2:L2"/>
    <mergeCell ref="A3:L3"/>
    <mergeCell ref="B12:C12"/>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2015-09-16T00:16:58+00:00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20" ma:contentTypeDescription="Create a new document." ma:contentTypeScope="" ma:versionID="dcae089f253f9b46ddccea5edc9192d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3801ccd8766657342358249f19bfb104"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4123E2E-8355-437C-B6D0-556F03EA0645}">
  <ds:schemaRefs>
    <ds:schemaRef ds:uri="http://schemas.microsoft.com/sharepoint/v3/contenttype/forms"/>
  </ds:schemaRefs>
</ds:datastoreItem>
</file>

<file path=customXml/itemProps2.xml><?xml version="1.0" encoding="utf-8"?>
<ds:datastoreItem xmlns:ds="http://schemas.openxmlformats.org/officeDocument/2006/customXml" ds:itemID="{B55817C1-878C-4856-B9B9-D6D695C97937}">
  <ds:schemaRefs>
    <ds:schemaRef ds:uri="http://schemas.microsoft.com/sharepoint.v3"/>
    <ds:schemaRef ds:uri="4ffa91fb-a0ff-4ac5-b2db-65c790d184a4"/>
    <ds:schemaRef ds:uri="http://schemas.microsoft.com/office/2006/documentManagement/types"/>
    <ds:schemaRef ds:uri="http://purl.org/dc/dcmitype/"/>
    <ds:schemaRef ds:uri="http://schemas.microsoft.com/office/infopath/2007/PartnerControls"/>
    <ds:schemaRef ds:uri="http://schemas.microsoft.com/office/2006/metadata/properties"/>
    <ds:schemaRef ds:uri="50d72e6c-d395-4887-b8d1-0a008e0da19f"/>
    <ds:schemaRef ds:uri="http://schemas.openxmlformats.org/package/2006/metadata/core-properties"/>
    <ds:schemaRef ds:uri="http://schemas.microsoft.com/sharepoint/v3/fields"/>
    <ds:schemaRef ds:uri="http://purl.org/dc/elements/1.1/"/>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07A0BD44-7388-4A2F-8B53-B9764B3B6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431819-4BB1-425D-B209-DC016A56164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Inputs</vt:lpstr>
      <vt:lpstr>Output</vt:lpstr>
      <vt:lpstr>Wood-Fired Boiler</vt:lpstr>
      <vt:lpstr>Auxiliary Heater</vt:lpstr>
      <vt:lpstr>Log Preparation</vt:lpstr>
      <vt:lpstr>Sawmill</vt:lpstr>
      <vt:lpstr>Kiln Drying</vt:lpstr>
      <vt:lpstr>Planing</vt:lpstr>
      <vt:lpstr>Emergency Generator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2013-04-16T19:19:21Z</cp:lastPrinted>
  <dcterms:created xsi:type="dcterms:W3CDTF">2007-09-11T16:38:45Z</dcterms:created>
  <dcterms:modified xsi:type="dcterms:W3CDTF">2016-07-01T17:15:48Z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y fmtid="{D5CDD505-2E9C-101B-9397-08002B2CF9AE}" pid="7" name="ContentTypeId">
    <vt:lpwstr>0x010100633C5759576ED84DB9151A5871DF9DE1</vt:lpwstr>
  </property>
</Properties>
</file>