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vbaProject.bin" ContentType="application/vnd.ms-office.vbaProject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ctrlProps/ctrlProp1.xml" ContentType="application/vnd.ms-excel.control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ThisWorkbook" defaultThemeVersion="124226"/>
  <bookViews>
    <workbookView xWindow="8145" yWindow="0" windowWidth="20520" windowHeight="12525" activeTab="3"/>
  </bookViews>
  <sheets>
    <sheet name="Multiple Scenarios" sheetId="2" r:id="rId1"/>
    <sheet name="Summary Sheet" sheetId="1" r:id="rId2"/>
    <sheet name="Acute Dataset" sheetId="3" r:id="rId3"/>
    <sheet name="Chronic Dataset" sheetId="4" r:id="rId4"/>
  </sheets>
  <calcPr calcId="145621"/>
  <customWorkbookViews>
    <customWorkbookView name="Craig V - Personal View" guid="{08FB27BF-4D9B-4966-8486-12381E101C6E}" mergeInterval="0" personalView="1" maximized="1" windowWidth="1916" windowHeight="835" activeSheetId="2"/>
  </customWorkbookViews>
</workbook>
</file>

<file path=xl/calcChain.xml><?xml version="1.0" encoding="utf-8"?>
<calcChain xmlns="http://schemas.openxmlformats.org/spreadsheetml/2006/main">
  <c r="K71" i="3" l="1"/>
  <c r="I32" i="1" l="1"/>
  <c r="J32" i="1"/>
  <c r="D6" i="1" l="1"/>
  <c r="D5" i="1"/>
  <c r="D4" i="1"/>
  <c r="S35" i="1" l="1"/>
  <c r="T35" i="1" s="1"/>
  <c r="S34" i="1"/>
  <c r="T34" i="1" s="1"/>
  <c r="S33" i="1"/>
  <c r="T33" i="1" s="1"/>
  <c r="S32" i="1"/>
  <c r="J35" i="4"/>
  <c r="J36" i="4"/>
  <c r="J38" i="4"/>
  <c r="J39" i="4"/>
  <c r="J41" i="4"/>
  <c r="L41" i="4" s="1"/>
  <c r="M41" i="4" s="1"/>
  <c r="J43" i="4"/>
  <c r="L43" i="4" s="1"/>
  <c r="M43" i="4" s="1"/>
  <c r="J33" i="4"/>
  <c r="L33" i="4" s="1"/>
  <c r="M33" i="4" s="1"/>
  <c r="J7" i="4"/>
  <c r="L7" i="4" s="1"/>
  <c r="M7" i="4" s="1"/>
  <c r="J9" i="4"/>
  <c r="L9" i="4" s="1"/>
  <c r="M9" i="4" s="1"/>
  <c r="J13" i="4"/>
  <c r="J14" i="4"/>
  <c r="J15" i="4"/>
  <c r="J16" i="4"/>
  <c r="J17" i="4"/>
  <c r="J18" i="4"/>
  <c r="J19" i="4"/>
  <c r="J20" i="4"/>
  <c r="J21" i="4"/>
  <c r="J22" i="4"/>
  <c r="J23" i="4"/>
  <c r="J24" i="4"/>
  <c r="J26" i="4"/>
  <c r="J31" i="4"/>
  <c r="J5" i="4"/>
  <c r="L5" i="4" s="1"/>
  <c r="M5" i="4" s="1"/>
  <c r="E27" i="4"/>
  <c r="E11" i="4"/>
  <c r="I35" i="1"/>
  <c r="J35" i="1" s="1"/>
  <c r="I34" i="1"/>
  <c r="J34" i="1" s="1"/>
  <c r="I33" i="1"/>
  <c r="J33" i="1" s="1"/>
  <c r="K87" i="3"/>
  <c r="K88" i="3"/>
  <c r="K89" i="3"/>
  <c r="K90" i="3"/>
  <c r="K91" i="3"/>
  <c r="K92" i="3"/>
  <c r="K93" i="3"/>
  <c r="K95" i="3"/>
  <c r="K96" i="3"/>
  <c r="K98" i="3"/>
  <c r="K99" i="3"/>
  <c r="K100" i="3"/>
  <c r="K102" i="3"/>
  <c r="K104" i="3"/>
  <c r="K106" i="3"/>
  <c r="K107" i="3"/>
  <c r="K108" i="3"/>
  <c r="K109" i="3"/>
  <c r="K110" i="3"/>
  <c r="K111" i="3"/>
  <c r="K112" i="3"/>
  <c r="K114" i="3"/>
  <c r="K116" i="3"/>
  <c r="K86" i="3"/>
  <c r="K5" i="3"/>
  <c r="K6" i="3"/>
  <c r="K7" i="3"/>
  <c r="K8" i="3"/>
  <c r="K10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K59" i="3"/>
  <c r="K60" i="3"/>
  <c r="K61" i="3"/>
  <c r="K62" i="3"/>
  <c r="K63" i="3"/>
  <c r="K65" i="3"/>
  <c r="K66" i="3"/>
  <c r="K68" i="3"/>
  <c r="K69" i="3"/>
  <c r="K70" i="3"/>
  <c r="K72" i="3"/>
  <c r="K74" i="3"/>
  <c r="K76" i="3"/>
  <c r="K78" i="3"/>
  <c r="M78" i="3" s="1"/>
  <c r="N78" i="3" s="1"/>
  <c r="K80" i="3"/>
  <c r="K82" i="3"/>
  <c r="K84" i="3"/>
  <c r="M72" i="3" l="1"/>
  <c r="N72" i="3" s="1"/>
  <c r="M63" i="3"/>
  <c r="S36" i="1"/>
  <c r="T32" i="1"/>
  <c r="T36" i="1" s="1"/>
  <c r="L36" i="4"/>
  <c r="M36" i="4" s="1"/>
  <c r="L24" i="4"/>
  <c r="M24" i="4" s="1"/>
  <c r="L39" i="4"/>
  <c r="M39" i="4" s="1"/>
  <c r="J30" i="4"/>
  <c r="J11" i="4"/>
  <c r="L11" i="4" s="1"/>
  <c r="M11" i="4" s="1"/>
  <c r="J29" i="4"/>
  <c r="J27" i="4"/>
  <c r="L27" i="4" s="1"/>
  <c r="M27" i="4" s="1"/>
  <c r="J36" i="1"/>
  <c r="I36" i="1"/>
  <c r="M10" i="3"/>
  <c r="N10" i="3" s="1"/>
  <c r="M74" i="3"/>
  <c r="N74" i="3" s="1"/>
  <c r="M82" i="3"/>
  <c r="N82" i="3" s="1"/>
  <c r="M102" i="3"/>
  <c r="N102" i="3" s="1"/>
  <c r="M80" i="3"/>
  <c r="N80" i="3" s="1"/>
  <c r="M116" i="3"/>
  <c r="N116" i="3" s="1"/>
  <c r="M76" i="3"/>
  <c r="N76" i="3" s="1"/>
  <c r="M84" i="3"/>
  <c r="N84" i="3" s="1"/>
  <c r="M104" i="3"/>
  <c r="N104" i="3" s="1"/>
  <c r="M8" i="3"/>
  <c r="N8" i="3" s="1"/>
  <c r="M96" i="3"/>
  <c r="N96" i="3" s="1"/>
  <c r="M100" i="3"/>
  <c r="N100" i="3" s="1"/>
  <c r="M112" i="3"/>
  <c r="N112" i="3" s="1"/>
  <c r="M66" i="3"/>
  <c r="M114" i="3"/>
  <c r="N114" i="3" s="1"/>
  <c r="M93" i="3"/>
  <c r="N93" i="3" s="1"/>
  <c r="L31" i="4" l="1"/>
  <c r="M31" i="4" s="1"/>
  <c r="N20" i="1" s="1"/>
  <c r="N66" i="3"/>
  <c r="D14" i="1" s="1"/>
  <c r="M20" i="1" l="1"/>
  <c r="P20" i="1"/>
  <c r="C14" i="1"/>
  <c r="F14" i="1"/>
  <c r="N21" i="1"/>
  <c r="N17" i="1"/>
  <c r="N14" i="1"/>
  <c r="P14" i="1" s="1"/>
  <c r="N13" i="1"/>
  <c r="P13" i="1" s="1"/>
  <c r="N12" i="1"/>
  <c r="N19" i="1"/>
  <c r="P19" i="1" s="1"/>
  <c r="N11" i="1"/>
  <c r="P11" i="1" s="1"/>
  <c r="N22" i="1"/>
  <c r="N18" i="1"/>
  <c r="O20" i="1"/>
  <c r="O33" i="1" s="1"/>
  <c r="P33" i="1"/>
  <c r="Q33" i="1" s="1"/>
  <c r="R33" i="1" s="1"/>
  <c r="N15" i="1"/>
  <c r="N16" i="1"/>
  <c r="D17" i="1"/>
  <c r="D23" i="1"/>
  <c r="D25" i="1"/>
  <c r="F32" i="1" s="1"/>
  <c r="D26" i="1"/>
  <c r="E14" i="1"/>
  <c r="D20" i="1"/>
  <c r="D27" i="1"/>
  <c r="D15" i="1"/>
  <c r="D21" i="1"/>
  <c r="D12" i="1"/>
  <c r="D18" i="1"/>
  <c r="D28" i="1"/>
  <c r="D13" i="1"/>
  <c r="D16" i="1"/>
  <c r="D19" i="1"/>
  <c r="D22" i="1"/>
  <c r="D24" i="1"/>
  <c r="D11" i="1"/>
  <c r="F27" i="1" l="1"/>
  <c r="F34" i="1"/>
  <c r="F28" i="1"/>
  <c r="F35" i="1"/>
  <c r="F26" i="1"/>
  <c r="F33" i="1"/>
  <c r="C22" i="1"/>
  <c r="F22" i="1"/>
  <c r="C15" i="1"/>
  <c r="F15" i="1"/>
  <c r="M16" i="1"/>
  <c r="P16" i="1"/>
  <c r="M18" i="1"/>
  <c r="P18" i="1"/>
  <c r="M12" i="1"/>
  <c r="P12" i="1"/>
  <c r="M21" i="1"/>
  <c r="P21" i="1"/>
  <c r="C11" i="1"/>
  <c r="F11" i="1"/>
  <c r="C19" i="1"/>
  <c r="F19" i="1"/>
  <c r="C18" i="1"/>
  <c r="F18" i="1"/>
  <c r="C25" i="1"/>
  <c r="F25" i="1"/>
  <c r="M15" i="1"/>
  <c r="P15" i="1"/>
  <c r="M22" i="1"/>
  <c r="P22" i="1"/>
  <c r="C16" i="1"/>
  <c r="F16" i="1"/>
  <c r="C12" i="1"/>
  <c r="F12" i="1"/>
  <c r="C20" i="1"/>
  <c r="F20" i="1"/>
  <c r="C23" i="1"/>
  <c r="F23" i="1"/>
  <c r="C24" i="1"/>
  <c r="F24" i="1"/>
  <c r="C13" i="1"/>
  <c r="F13" i="1"/>
  <c r="C21" i="1"/>
  <c r="F21" i="1"/>
  <c r="C17" i="1"/>
  <c r="F17" i="1"/>
  <c r="M17" i="1"/>
  <c r="P17" i="1"/>
  <c r="C27" i="1"/>
  <c r="O13" i="1"/>
  <c r="M13" i="1"/>
  <c r="O11" i="1"/>
  <c r="M11" i="1"/>
  <c r="O14" i="1"/>
  <c r="M14" i="1"/>
  <c r="P32" i="1"/>
  <c r="Q32" i="1" s="1"/>
  <c r="R32" i="1" s="1"/>
  <c r="M19" i="1"/>
  <c r="C28" i="1"/>
  <c r="C26" i="1"/>
  <c r="P34" i="1"/>
  <c r="Q34" i="1" s="1"/>
  <c r="R34" i="1" s="1"/>
  <c r="O12" i="1"/>
  <c r="O21" i="1"/>
  <c r="O34" i="1" s="1"/>
  <c r="O18" i="1"/>
  <c r="O17" i="1"/>
  <c r="P35" i="1"/>
  <c r="Q35" i="1" s="1"/>
  <c r="R35" i="1" s="1"/>
  <c r="O19" i="1"/>
  <c r="O32" i="1" s="1"/>
  <c r="O22" i="1"/>
  <c r="O35" i="1" s="1"/>
  <c r="O15" i="1"/>
  <c r="E23" i="1"/>
  <c r="O16" i="1"/>
  <c r="E17" i="1"/>
  <c r="E19" i="1"/>
  <c r="E27" i="1"/>
  <c r="E34" i="1" s="1"/>
  <c r="E26" i="1"/>
  <c r="E33" i="1" s="1"/>
  <c r="E16" i="1"/>
  <c r="E25" i="1"/>
  <c r="E32" i="1" s="1"/>
  <c r="E24" i="1"/>
  <c r="E13" i="1"/>
  <c r="E21" i="1"/>
  <c r="E18" i="1"/>
  <c r="E12" i="1"/>
  <c r="E22" i="1"/>
  <c r="E28" i="1"/>
  <c r="E35" i="1" s="1"/>
  <c r="E15" i="1"/>
  <c r="E20" i="1"/>
  <c r="E11" i="1"/>
  <c r="G34" i="1" l="1"/>
  <c r="H34" i="1" s="1"/>
  <c r="G35" i="1"/>
  <c r="H35" i="1" s="1"/>
  <c r="G32" i="1"/>
  <c r="G33" i="1"/>
  <c r="H33" i="1" s="1"/>
  <c r="Q36" i="1"/>
  <c r="R36" i="1"/>
  <c r="G36" i="1" l="1"/>
  <c r="H32" i="1"/>
  <c r="H36" i="1" s="1"/>
  <c r="O38" i="1"/>
  <c r="O39" i="1" s="1"/>
  <c r="O40" i="1" s="1"/>
  <c r="O41" i="1" s="1"/>
  <c r="H6" i="1" s="1"/>
  <c r="E38" i="1" l="1"/>
  <c r="E39" i="1" s="1"/>
  <c r="E40" i="1" s="1"/>
  <c r="E41" i="1" s="1"/>
  <c r="E42" i="1" s="1"/>
  <c r="H5" i="1" s="1"/>
  <c r="H4" i="1" l="1"/>
</calcChain>
</file>

<file path=xl/sharedStrings.xml><?xml version="1.0" encoding="utf-8"?>
<sst xmlns="http://schemas.openxmlformats.org/spreadsheetml/2006/main" count="1319" uniqueCount="202">
  <si>
    <t>pH</t>
  </si>
  <si>
    <t>Appendix A. Acceptable Acute Toxicity Data of Aluminum to Freshwater Aquatic Animals</t>
  </si>
  <si>
    <t>MLR equation</t>
  </si>
  <si>
    <t>Species</t>
  </si>
  <si>
    <r>
      <t>Method</t>
    </r>
    <r>
      <rPr>
        <b/>
        <vertAlign val="superscript"/>
        <sz val="11"/>
        <color indexed="8"/>
        <rFont val="Times New Roman"/>
        <family val="1"/>
      </rPr>
      <t>a</t>
    </r>
  </si>
  <si>
    <t>DOC
(mg/L)</t>
  </si>
  <si>
    <t>Species Mean Acute Value
(µg/L)</t>
  </si>
  <si>
    <t>Reference</t>
  </si>
  <si>
    <r>
      <t>Hardness (mg/L as CaCO</t>
    </r>
    <r>
      <rPr>
        <b/>
        <vertAlign val="subscript"/>
        <sz val="11"/>
        <color indexed="8"/>
        <rFont val="Times New Roman"/>
        <family val="1"/>
      </rPr>
      <t>3</t>
    </r>
    <r>
      <rPr>
        <b/>
        <sz val="11"/>
        <color indexed="8"/>
        <rFont val="Times New Roman"/>
        <family val="1"/>
      </rPr>
      <t>)</t>
    </r>
  </si>
  <si>
    <t>S, U, T</t>
  </si>
  <si>
    <t>&gt;</t>
  </si>
  <si>
    <t>Mod Hard Recon</t>
  </si>
  <si>
    <t>S, M, T</t>
  </si>
  <si>
    <t>-</t>
  </si>
  <si>
    <t>Call 1984; Call et al. 1984</t>
  </si>
  <si>
    <t>Lake Superior water</t>
  </si>
  <si>
    <t>R, M, T</t>
  </si>
  <si>
    <t>F, M, T</t>
  </si>
  <si>
    <t>S, M, A</t>
  </si>
  <si>
    <t>McCauley et al. 1986</t>
  </si>
  <si>
    <t>UW-S Lake Superior lab water</t>
  </si>
  <si>
    <t>ENSR 1992d</t>
  </si>
  <si>
    <t>Lab Recon water</t>
  </si>
  <si>
    <t>S, U, NR</t>
  </si>
  <si>
    <t>Fort and Stover 1995</t>
  </si>
  <si>
    <t>Soucek et al. 2001</t>
  </si>
  <si>
    <t>European Al Association 2009</t>
  </si>
  <si>
    <t>European Al Association 2010</t>
  </si>
  <si>
    <t>Shephard 1983</t>
  </si>
  <si>
    <t>Lake Superior/DI Mix</t>
  </si>
  <si>
    <t>Biesinger and Christensen 1972</t>
  </si>
  <si>
    <t>Kimball 1978</t>
  </si>
  <si>
    <t>Well water</t>
  </si>
  <si>
    <t>Shuhaimi-Othman et al. 2011a</t>
  </si>
  <si>
    <t>tap water (Malaysia)</t>
  </si>
  <si>
    <t>R, U, T</t>
  </si>
  <si>
    <t>Martin and Holdich 1986</t>
  </si>
  <si>
    <t>tap water (UK)</t>
  </si>
  <si>
    <t>Call et al. 1984</t>
  </si>
  <si>
    <t>Fargasova 2001</t>
  </si>
  <si>
    <t>tap water (Slovakia)</t>
  </si>
  <si>
    <t>Lamb and Bailey 1981, 1983</t>
  </si>
  <si>
    <t>Liberty Lake, Washington</t>
  </si>
  <si>
    <t>Gundersen et al. 1994</t>
  </si>
  <si>
    <t>RO treated well water: then added salts</t>
  </si>
  <si>
    <t>Hamilton and Haines 1995</t>
  </si>
  <si>
    <t>Soft recon</t>
  </si>
  <si>
    <t>Tandjung 1982</t>
  </si>
  <si>
    <t>well water/DI mix</t>
  </si>
  <si>
    <t>Buhl 2002</t>
  </si>
  <si>
    <t>Recon water</t>
  </si>
  <si>
    <t>ENSR 1992c</t>
  </si>
  <si>
    <t>Kane and Rabeni 1987</t>
  </si>
  <si>
    <t>Jung and Jagoe 1995</t>
  </si>
  <si>
    <t>artificial soft recon</t>
  </si>
  <si>
    <t xml:space="preserve"> </t>
  </si>
  <si>
    <t>DOC Note</t>
  </si>
  <si>
    <t>Dilution water</t>
  </si>
  <si>
    <t>Genus Mean Acute Value
(µg/L)</t>
  </si>
  <si>
    <r>
      <t xml:space="preserve">Snail, </t>
    </r>
    <r>
      <rPr>
        <i/>
        <sz val="11"/>
        <rFont val="Times New Roman"/>
        <family val="1"/>
      </rPr>
      <t>Physa sp.</t>
    </r>
    <r>
      <rPr>
        <sz val="11"/>
        <rFont val="Times New Roman"/>
        <family val="1"/>
      </rPr>
      <t xml:space="preserve"> </t>
    </r>
  </si>
  <si>
    <r>
      <t xml:space="preserve">Fatmucket, </t>
    </r>
    <r>
      <rPr>
        <i/>
        <sz val="11"/>
        <rFont val="Times New Roman"/>
        <family val="1"/>
      </rPr>
      <t>Lampsilis siliquoidea</t>
    </r>
  </si>
  <si>
    <r>
      <t xml:space="preserve">Cladoceran, </t>
    </r>
    <r>
      <rPr>
        <i/>
        <sz val="11"/>
        <rFont val="Times New Roman"/>
        <family val="1"/>
      </rPr>
      <t>Ceriodaphnia dubia</t>
    </r>
  </si>
  <si>
    <r>
      <t>LC50 or EC50 Conc. (</t>
    </r>
    <r>
      <rPr>
        <b/>
        <sz val="11"/>
        <color indexed="8"/>
        <rFont val="Times New Roman"/>
        <family val="1"/>
      </rPr>
      <t>µg/L)</t>
    </r>
  </si>
  <si>
    <t>Normalized Conc. - LC50
(µg/L)</t>
  </si>
  <si>
    <r>
      <t xml:space="preserve">Cladoceran, </t>
    </r>
    <r>
      <rPr>
        <i/>
        <sz val="11"/>
        <color theme="1"/>
        <rFont val="Times New Roman"/>
        <family val="1"/>
      </rPr>
      <t>Ceriodaphnia reticulata</t>
    </r>
  </si>
  <si>
    <r>
      <t xml:space="preserve">Cladoceran, </t>
    </r>
    <r>
      <rPr>
        <i/>
        <sz val="11"/>
        <color indexed="8"/>
        <rFont val="Times New Roman"/>
        <family val="1"/>
      </rPr>
      <t>Daphnia magna</t>
    </r>
  </si>
  <si>
    <r>
      <t xml:space="preserve">Ostracod, </t>
    </r>
    <r>
      <rPr>
        <i/>
        <sz val="11"/>
        <rFont val="Times New Roman"/>
        <family val="1"/>
      </rPr>
      <t>Stenocypris major</t>
    </r>
  </si>
  <si>
    <r>
      <t xml:space="preserve">Amphipod, </t>
    </r>
    <r>
      <rPr>
        <i/>
        <sz val="11"/>
        <rFont val="Times New Roman"/>
        <family val="1"/>
      </rPr>
      <t>Crangonyx pseudogracilis</t>
    </r>
  </si>
  <si>
    <r>
      <t xml:space="preserve">Amphipod, </t>
    </r>
    <r>
      <rPr>
        <i/>
        <sz val="11"/>
        <color theme="1"/>
        <rFont val="Times New Roman"/>
        <family val="1"/>
      </rPr>
      <t>Hyalella azteca</t>
    </r>
  </si>
  <si>
    <r>
      <t xml:space="preserve">Stonefly, </t>
    </r>
    <r>
      <rPr>
        <i/>
        <sz val="11"/>
        <rFont val="Times New Roman"/>
        <family val="1"/>
      </rPr>
      <t>Acroneuria sp.</t>
    </r>
  </si>
  <si>
    <r>
      <t xml:space="preserve">Midge, </t>
    </r>
    <r>
      <rPr>
        <i/>
        <sz val="11"/>
        <rFont val="Times New Roman"/>
        <family val="1"/>
      </rPr>
      <t>Chironomus plumosus</t>
    </r>
  </si>
  <si>
    <r>
      <t>Midge,</t>
    </r>
    <r>
      <rPr>
        <i/>
        <sz val="11"/>
        <rFont val="Times New Roman"/>
        <family val="1"/>
      </rPr>
      <t xml:space="preserve"> Paratanytarsus dissimilis</t>
    </r>
  </si>
  <si>
    <r>
      <t xml:space="preserve">Rainbow trout, </t>
    </r>
    <r>
      <rPr>
        <i/>
        <sz val="11"/>
        <rFont val="Times New Roman"/>
        <family val="1"/>
      </rPr>
      <t>Oncorhynchus mykiss</t>
    </r>
  </si>
  <si>
    <r>
      <t xml:space="preserve">Atlantic salmon, </t>
    </r>
    <r>
      <rPr>
        <i/>
        <sz val="11"/>
        <color indexed="8"/>
        <rFont val="Times New Roman"/>
        <family val="1"/>
      </rPr>
      <t>Salmo salar</t>
    </r>
  </si>
  <si>
    <r>
      <t xml:space="preserve">Brook trout, </t>
    </r>
    <r>
      <rPr>
        <i/>
        <sz val="11"/>
        <color indexed="8"/>
        <rFont val="Times New Roman"/>
        <family val="1"/>
      </rPr>
      <t>Salvelinus fontinalis</t>
    </r>
  </si>
  <si>
    <r>
      <t xml:space="preserve">Green sunfish, </t>
    </r>
    <r>
      <rPr>
        <i/>
        <sz val="11"/>
        <rFont val="Times New Roman"/>
        <family val="1"/>
      </rPr>
      <t>Lepomis cyanellus</t>
    </r>
  </si>
  <si>
    <r>
      <t xml:space="preserve">Rio Grande silvery minnow, </t>
    </r>
    <r>
      <rPr>
        <i/>
        <sz val="11"/>
        <rFont val="Times New Roman"/>
        <family val="1"/>
      </rPr>
      <t>Hybognathus amarus</t>
    </r>
  </si>
  <si>
    <r>
      <t xml:space="preserve">Fathead minnow, </t>
    </r>
    <r>
      <rPr>
        <i/>
        <sz val="11"/>
        <rFont val="Times New Roman"/>
        <family val="1"/>
      </rPr>
      <t>Pimephales promelas</t>
    </r>
  </si>
  <si>
    <r>
      <t xml:space="preserve">Smallmouth bass, </t>
    </r>
    <r>
      <rPr>
        <i/>
        <sz val="11"/>
        <color indexed="8"/>
        <rFont val="Times New Roman"/>
        <family val="1"/>
      </rPr>
      <t>Micropterus dolomieui</t>
    </r>
  </si>
  <si>
    <r>
      <t xml:space="preserve">Green tree frog, </t>
    </r>
    <r>
      <rPr>
        <i/>
        <sz val="11"/>
        <color indexed="8"/>
        <rFont val="Times New Roman"/>
        <family val="1"/>
      </rPr>
      <t>Hyla cinerea</t>
    </r>
  </si>
  <si>
    <t>Normalization Chemistry</t>
  </si>
  <si>
    <t>pH:</t>
  </si>
  <si>
    <t>Hardness:</t>
  </si>
  <si>
    <t>DOC:</t>
  </si>
  <si>
    <t>Genus</t>
  </si>
  <si>
    <t>Brachionus</t>
  </si>
  <si>
    <t>Physa</t>
  </si>
  <si>
    <t>Lampsilis</t>
  </si>
  <si>
    <t>Ceriodaphnia</t>
  </si>
  <si>
    <t>Daphnia</t>
  </si>
  <si>
    <t>Stenocypris</t>
  </si>
  <si>
    <t>Crangonyx</t>
  </si>
  <si>
    <t>Hyalella</t>
  </si>
  <si>
    <t>Acroneuria</t>
  </si>
  <si>
    <t>Chironomus</t>
  </si>
  <si>
    <t>Paratanytarsus</t>
  </si>
  <si>
    <t>Oncorhynchus</t>
  </si>
  <si>
    <t>Salmo</t>
  </si>
  <si>
    <t>Salvelinus</t>
  </si>
  <si>
    <t>Lepomis</t>
  </si>
  <si>
    <t>Hybognathus</t>
  </si>
  <si>
    <t>Pimephales</t>
  </si>
  <si>
    <t>Micropterus</t>
  </si>
  <si>
    <t>Hyla</t>
  </si>
  <si>
    <t>Acute Ranked GMAV</t>
  </si>
  <si>
    <t>CMC</t>
  </si>
  <si>
    <t>FAV</t>
  </si>
  <si>
    <t>CCC</t>
  </si>
  <si>
    <t>Rank</t>
  </si>
  <si>
    <t>GMAV</t>
  </si>
  <si>
    <t>N</t>
  </si>
  <si>
    <t>ln(GMAV)</t>
  </si>
  <si>
    <t>P=R/(N+1)</t>
  </si>
  <si>
    <t>sqrt(P)</t>
  </si>
  <si>
    <t>Sum:</t>
  </si>
  <si>
    <t>L =</t>
  </si>
  <si>
    <t>A =</t>
  </si>
  <si>
    <t>FAV =</t>
  </si>
  <si>
    <t>CMC =</t>
  </si>
  <si>
    <t>Chronic Ranked GMCV</t>
  </si>
  <si>
    <t>Appendix C. Acceptable Chronic Toxicity Data of Aluminum to Freshwater Aquatic Animals</t>
  </si>
  <si>
    <t>EC20 Endpoint</t>
  </si>
  <si>
    <t>EC20
(µg/L)</t>
  </si>
  <si>
    <t>Reproduction - young/starting adult</t>
  </si>
  <si>
    <t>Reproduction - young/female</t>
  </si>
  <si>
    <t>Lab Recon</t>
  </si>
  <si>
    <t>Adult midge emergence</t>
  </si>
  <si>
    <t>well/RO mix</t>
  </si>
  <si>
    <t>well water</t>
  </si>
  <si>
    <t>Fry survival</t>
  </si>
  <si>
    <t>aged tap water</t>
  </si>
  <si>
    <r>
      <t>ln(GMAV)</t>
    </r>
    <r>
      <rPr>
        <b/>
        <vertAlign val="superscript"/>
        <sz val="11"/>
        <rFont val="Calibri"/>
        <family val="2"/>
        <scheme val="minor"/>
      </rPr>
      <t>2</t>
    </r>
  </si>
  <si>
    <r>
      <t>S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=</t>
    </r>
  </si>
  <si>
    <t>MATC-survival</t>
  </si>
  <si>
    <r>
      <t xml:space="preserve">Oligochaete, </t>
    </r>
    <r>
      <rPr>
        <i/>
        <sz val="11"/>
        <color theme="1"/>
        <rFont val="Times New Roman"/>
        <family val="1"/>
      </rPr>
      <t>Aeolosoma sp.</t>
    </r>
  </si>
  <si>
    <r>
      <t xml:space="preserve">Rotifer, </t>
    </r>
    <r>
      <rPr>
        <i/>
        <sz val="11"/>
        <color theme="1"/>
        <rFont val="Times New Roman"/>
        <family val="1"/>
      </rPr>
      <t>Brachionus calyciflorus</t>
    </r>
  </si>
  <si>
    <t>Reproduction (population size)</t>
  </si>
  <si>
    <t>Reproduction (young/female)</t>
  </si>
  <si>
    <t>Biomass (28 d)</t>
  </si>
  <si>
    <t>Reproduction (# of eggs/case)</t>
  </si>
  <si>
    <t>Biomass</t>
  </si>
  <si>
    <r>
      <t xml:space="preserve">Great pond snail, </t>
    </r>
    <r>
      <rPr>
        <i/>
        <sz val="11"/>
        <color theme="1"/>
        <rFont val="Times New Roman"/>
        <family val="1"/>
      </rPr>
      <t>Lymnaea stagnalis</t>
    </r>
  </si>
  <si>
    <t>Normalized Conc.- EC20
(µg/L)</t>
  </si>
  <si>
    <t>SMCV-EC20
(µg/L)</t>
  </si>
  <si>
    <t>GMCV-EC20
(µg/L)</t>
  </si>
  <si>
    <t>DOC Notes</t>
  </si>
  <si>
    <r>
      <t xml:space="preserve">Midge, </t>
    </r>
    <r>
      <rPr>
        <i/>
        <sz val="11"/>
        <color indexed="8"/>
        <rFont val="Times New Roman"/>
        <family val="1"/>
      </rPr>
      <t>Chironomus riparius</t>
    </r>
  </si>
  <si>
    <r>
      <t xml:space="preserve">Atlantic salmon, </t>
    </r>
    <r>
      <rPr>
        <i/>
        <sz val="11"/>
        <rFont val="Times New Roman"/>
        <family val="1"/>
      </rPr>
      <t>Salmo salar</t>
    </r>
  </si>
  <si>
    <r>
      <t xml:space="preserve">Zebrafish, </t>
    </r>
    <r>
      <rPr>
        <i/>
        <sz val="11"/>
        <color theme="1"/>
        <rFont val="Times New Roman"/>
        <family val="1"/>
      </rPr>
      <t>Danio rerio</t>
    </r>
  </si>
  <si>
    <r>
      <t xml:space="preserve">Wood frog, </t>
    </r>
    <r>
      <rPr>
        <i/>
        <sz val="11"/>
        <color rgb="FF000000"/>
        <rFont val="Times New Roman"/>
        <family val="1"/>
      </rPr>
      <t>Rana sylvatica</t>
    </r>
  </si>
  <si>
    <t>Aeolosoma</t>
  </si>
  <si>
    <t>Lymnaea</t>
  </si>
  <si>
    <t>Danio</t>
  </si>
  <si>
    <t>Rana</t>
  </si>
  <si>
    <t>GMCV</t>
  </si>
  <si>
    <t>FCV =</t>
  </si>
  <si>
    <t>ln(GMCV)</t>
  </si>
  <si>
    <r>
      <t>ln(GMCV)</t>
    </r>
    <r>
      <rPr>
        <b/>
        <vertAlign val="superscript"/>
        <sz val="11"/>
        <rFont val="Calibri"/>
        <family val="2"/>
        <scheme val="minor"/>
      </rPr>
      <t>2</t>
    </r>
  </si>
  <si>
    <t>SiteName</t>
  </si>
  <si>
    <t>Rank 1</t>
  </si>
  <si>
    <t>Rank 2</t>
  </si>
  <si>
    <t>Rank 3</t>
  </si>
  <si>
    <t>Rank 4</t>
  </si>
  <si>
    <t>Site 1</t>
  </si>
  <si>
    <t>Site 2</t>
  </si>
  <si>
    <t>Site 3</t>
  </si>
  <si>
    <t>Site 4</t>
  </si>
  <si>
    <t>Site 5</t>
  </si>
  <si>
    <t>Site 6</t>
  </si>
  <si>
    <t>Site 7</t>
  </si>
  <si>
    <t>Site 8</t>
  </si>
  <si>
    <t>Site 9</t>
  </si>
  <si>
    <t>Site 10</t>
  </si>
  <si>
    <r>
      <t>Hardness
(mg/L as CaCO</t>
    </r>
    <r>
      <rPr>
        <b/>
        <vertAlign val="subscript"/>
        <sz val="11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>)</t>
    </r>
  </si>
  <si>
    <r>
      <t xml:space="preserve">All concentrations reported are </t>
    </r>
    <r>
      <rPr>
        <b/>
        <sz val="11"/>
        <color theme="1"/>
        <rFont val="Times New Roman"/>
        <family val="1"/>
      </rPr>
      <t>µ</t>
    </r>
    <r>
      <rPr>
        <b/>
        <sz val="11"/>
        <color theme="1"/>
        <rFont val="Calibri"/>
        <family val="2"/>
      </rPr>
      <t>g/L total Aluminum</t>
    </r>
  </si>
  <si>
    <t/>
  </si>
  <si>
    <t>ENTER DATA HERE</t>
  </si>
  <si>
    <t>Site 11</t>
  </si>
  <si>
    <t>Site 12</t>
  </si>
  <si>
    <t>Site 13</t>
  </si>
  <si>
    <t>Site 14</t>
  </si>
  <si>
    <t>Site 15</t>
  </si>
  <si>
    <t>Site 16</t>
  </si>
  <si>
    <t>Site 17</t>
  </si>
  <si>
    <t>Site 18</t>
  </si>
  <si>
    <t>Site 19</t>
  </si>
  <si>
    <t>Site 20</t>
  </si>
  <si>
    <t>&lt;-----Click Button after entering data</t>
  </si>
  <si>
    <t>ACUTE</t>
  </si>
  <si>
    <t>CHRONIC</t>
  </si>
  <si>
    <t>Invert</t>
  </si>
  <si>
    <t>Mollusk</t>
  </si>
  <si>
    <t>Fish</t>
  </si>
  <si>
    <t>Wang et al. 2016; Wang et al. 2017</t>
  </si>
  <si>
    <t>Amphibian</t>
  </si>
  <si>
    <t>Amphib - Other Data</t>
  </si>
  <si>
    <t>Raw Lake Superior water</t>
  </si>
  <si>
    <t>Value is from 2007 FW Cu AWQC Appendix C recommendation</t>
  </si>
  <si>
    <t>Author reported</t>
  </si>
  <si>
    <t>Recon</t>
  </si>
  <si>
    <t>Author reported; half the detection limit</t>
  </si>
  <si>
    <t>Based on Cleveland et al. 1989 reported values at a similar 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</si>
</sst>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#,##0.0"/>
    <numFmt numFmtId="166" formatCode="#,##0.000"/>
    <numFmt numFmtId="167" formatCode="0.000"/>
    <numFmt numFmtId="168" formatCode="0.0000"/>
  </numFmts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b/>
      <vertAlign val="superscript"/>
      <sz val="11"/>
      <color indexed="8"/>
      <name val="Times New Roman"/>
      <family val="1"/>
    </font>
    <font>
      <b/>
      <vertAlign val="subscript"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1"/>
      <color rgb="FF000000"/>
      <name val="Times New Roman"/>
      <family val="1"/>
    </font>
    <font>
      <vertAlign val="superscript"/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i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1"/>
      <color theme="1"/>
      <name val="Calibri"/>
      <family val="2"/>
    </font>
    <font>
      <b/>
      <vertAlign val="subscript"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0"/>
      <color theme="1"/>
      <name val="Calibri"/>
      <family val="2"/>
      <scheme val="minor"/>
    </font>
    <font>
      <b/>
      <sz val="24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4">
    <xf numFmtId="0" fontId="0" fillId="0" borderId="0" xfId="0"/>
    <xf numFmtId="0" fontId="2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wrapText="1"/>
    </xf>
    <xf numFmtId="3" fontId="2" fillId="0" borderId="0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right" vertical="center" wrapText="1"/>
    </xf>
    <xf numFmtId="0" fontId="8" fillId="0" borderId="2" xfId="0" applyFont="1" applyFill="1" applyBorder="1" applyAlignment="1">
      <alignment vertical="center"/>
    </xf>
    <xf numFmtId="0" fontId="8" fillId="0" borderId="4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horizontal="right" vertical="center" wrapText="1"/>
    </xf>
    <xf numFmtId="0" fontId="8" fillId="0" borderId="3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right" wrapText="1"/>
    </xf>
    <xf numFmtId="3" fontId="4" fillId="0" borderId="0" xfId="0" applyNumberFormat="1" applyFont="1" applyFill="1" applyBorder="1" applyAlignment="1">
      <alignment horizont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right" vertical="center"/>
    </xf>
    <xf numFmtId="2" fontId="2" fillId="0" borderId="0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165" fontId="2" fillId="0" borderId="0" xfId="0" applyNumberFormat="1" applyFont="1" applyFill="1" applyBorder="1" applyAlignment="1">
      <alignment horizontal="center" vertical="center" wrapText="1"/>
    </xf>
    <xf numFmtId="166" fontId="2" fillId="0" borderId="0" xfId="0" applyNumberFormat="1" applyFont="1" applyFill="1" applyBorder="1" applyAlignment="1">
      <alignment horizontal="center" vertical="center" wrapText="1"/>
    </xf>
    <xf numFmtId="165" fontId="4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2" fontId="8" fillId="0" borderId="0" xfId="0" applyNumberFormat="1" applyFont="1" applyFill="1" applyBorder="1" applyAlignment="1">
      <alignment vertical="center" wrapText="1"/>
    </xf>
    <xf numFmtId="164" fontId="8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3" fontId="3" fillId="0" borderId="0" xfId="0" applyNumberFormat="1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/>
    </xf>
    <xf numFmtId="0" fontId="2" fillId="0" borderId="2" xfId="0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/>
    </xf>
    <xf numFmtId="3" fontId="2" fillId="0" borderId="2" xfId="0" applyNumberFormat="1" applyFont="1" applyFill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wrapText="1"/>
    </xf>
    <xf numFmtId="0" fontId="2" fillId="0" borderId="2" xfId="0" applyFont="1" applyFill="1" applyBorder="1" applyAlignment="1"/>
    <xf numFmtId="0" fontId="2" fillId="0" borderId="4" xfId="0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2" fontId="2" fillId="0" borderId="4" xfId="0" applyNumberFormat="1" applyFont="1" applyFill="1" applyBorder="1" applyAlignment="1">
      <alignment horizontal="center" vertical="center" wrapText="1"/>
    </xf>
    <xf numFmtId="3" fontId="2" fillId="0" borderId="4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right" vertical="center"/>
    </xf>
    <xf numFmtId="3" fontId="2" fillId="0" borderId="4" xfId="0" applyNumberFormat="1" applyFont="1" applyFill="1" applyBorder="1" applyAlignment="1">
      <alignment horizontal="center" vertical="center"/>
    </xf>
    <xf numFmtId="3" fontId="4" fillId="0" borderId="4" xfId="0" applyNumberFormat="1" applyFont="1" applyFill="1" applyBorder="1" applyAlignment="1">
      <alignment horizontal="right" vertical="center"/>
    </xf>
    <xf numFmtId="0" fontId="2" fillId="0" borderId="4" xfId="0" applyFont="1" applyFill="1" applyBorder="1" applyAlignment="1">
      <alignment wrapText="1"/>
    </xf>
    <xf numFmtId="0" fontId="2" fillId="0" borderId="4" xfId="0" applyFont="1" applyFill="1" applyBorder="1" applyAlignment="1"/>
    <xf numFmtId="0" fontId="2" fillId="0" borderId="3" xfId="0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3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right" vertical="center"/>
    </xf>
    <xf numFmtId="3" fontId="2" fillId="0" borderId="3" xfId="0" applyNumberFormat="1" applyFont="1" applyFill="1" applyBorder="1" applyAlignment="1">
      <alignment horizontal="center" vertical="center"/>
    </xf>
    <xf numFmtId="3" fontId="4" fillId="0" borderId="3" xfId="0" applyNumberFormat="1" applyFont="1" applyFill="1" applyBorder="1" applyAlignment="1">
      <alignment horizontal="right" vertical="center"/>
    </xf>
    <xf numFmtId="0" fontId="2" fillId="0" borderId="3" xfId="0" applyFont="1" applyFill="1" applyBorder="1" applyAlignment="1">
      <alignment wrapText="1"/>
    </xf>
    <xf numFmtId="0" fontId="2" fillId="0" borderId="3" xfId="0" applyFont="1" applyFill="1" applyBorder="1" applyAlignment="1"/>
    <xf numFmtId="0" fontId="2" fillId="0" borderId="4" xfId="0" applyFont="1" applyFill="1" applyBorder="1" applyAlignment="1">
      <alignment vertical="center"/>
    </xf>
    <xf numFmtId="164" fontId="2" fillId="0" borderId="2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1" fontId="2" fillId="0" borderId="4" xfId="0" applyNumberFormat="1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4" fontId="2" fillId="0" borderId="3" xfId="0" applyNumberFormat="1" applyFon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>
      <alignment horizontal="right" vertical="center" wrapText="1"/>
    </xf>
    <xf numFmtId="3" fontId="8" fillId="0" borderId="3" xfId="0" applyNumberFormat="1" applyFont="1" applyFill="1" applyBorder="1" applyAlignment="1">
      <alignment horizontal="center" vertical="center"/>
    </xf>
    <xf numFmtId="164" fontId="8" fillId="0" borderId="3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vertical="center"/>
    </xf>
    <xf numFmtId="0" fontId="8" fillId="0" borderId="2" xfId="0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1" fontId="2" fillId="0" borderId="3" xfId="0" applyNumberFormat="1" applyFont="1" applyFill="1" applyBorder="1" applyAlignment="1">
      <alignment horizontal="center" vertical="center" wrapText="1"/>
    </xf>
    <xf numFmtId="165" fontId="4" fillId="0" borderId="4" xfId="0" applyNumberFormat="1" applyFont="1" applyFill="1" applyBorder="1" applyAlignment="1">
      <alignment horizontal="right" vertical="center"/>
    </xf>
    <xf numFmtId="165" fontId="2" fillId="0" borderId="3" xfId="0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vertical="center" wrapText="1"/>
    </xf>
    <xf numFmtId="0" fontId="14" fillId="0" borderId="3" xfId="0" applyFont="1" applyFill="1" applyBorder="1" applyAlignment="1">
      <alignment vertical="center" wrapText="1"/>
    </xf>
    <xf numFmtId="3" fontId="2" fillId="0" borderId="3" xfId="0" applyNumberFormat="1" applyFont="1" applyFill="1" applyBorder="1" applyAlignment="1">
      <alignment horizontal="right" vertical="center"/>
    </xf>
    <xf numFmtId="3" fontId="2" fillId="0" borderId="4" xfId="0" applyNumberFormat="1" applyFont="1" applyFill="1" applyBorder="1" applyAlignment="1">
      <alignment horizontal="right" vertical="center"/>
    </xf>
    <xf numFmtId="3" fontId="8" fillId="0" borderId="3" xfId="0" applyNumberFormat="1" applyFont="1" applyFill="1" applyBorder="1" applyAlignment="1">
      <alignment horizontal="right" vertical="center"/>
    </xf>
    <xf numFmtId="0" fontId="1" fillId="0" borderId="4" xfId="0" applyFont="1" applyBorder="1"/>
    <xf numFmtId="0" fontId="1" fillId="0" borderId="1" xfId="0" applyFont="1" applyBorder="1" applyAlignment="1">
      <alignment horizontal="right"/>
    </xf>
    <xf numFmtId="0" fontId="4" fillId="0" borderId="0" xfId="0" applyFont="1" applyFill="1" applyBorder="1" applyAlignment="1">
      <alignment horizontal="right" vertical="center" wrapText="1"/>
    </xf>
    <xf numFmtId="0" fontId="0" fillId="0" borderId="0" xfId="0" applyFont="1"/>
    <xf numFmtId="0" fontId="0" fillId="0" borderId="5" xfId="0" applyFont="1" applyBorder="1" applyAlignment="1">
      <alignment horizontal="right"/>
    </xf>
    <xf numFmtId="0" fontId="0" fillId="0" borderId="7" xfId="0" applyFont="1" applyBorder="1" applyAlignment="1">
      <alignment horizontal="right"/>
    </xf>
    <xf numFmtId="0" fontId="0" fillId="0" borderId="0" xfId="0" applyFont="1" applyAlignment="1">
      <alignment horizontal="right"/>
    </xf>
    <xf numFmtId="3" fontId="0" fillId="0" borderId="0" xfId="0" applyNumberFormat="1" applyFont="1"/>
    <xf numFmtId="0" fontId="0" fillId="0" borderId="0" xfId="0" applyFont="1" applyFill="1" applyBorder="1"/>
    <xf numFmtId="0" fontId="0" fillId="0" borderId="0" xfId="0" applyFont="1" applyFill="1"/>
    <xf numFmtId="0" fontId="17" fillId="0" borderId="1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20" fillId="0" borderId="1" xfId="0" applyFont="1" applyFill="1" applyBorder="1"/>
    <xf numFmtId="0" fontId="20" fillId="0" borderId="1" xfId="0" applyFont="1" applyFill="1" applyBorder="1" applyAlignment="1">
      <alignment horizontal="left"/>
    </xf>
    <xf numFmtId="3" fontId="20" fillId="0" borderId="1" xfId="0" applyNumberFormat="1" applyFont="1" applyFill="1" applyBorder="1" applyAlignment="1">
      <alignment horizontal="center"/>
    </xf>
    <xf numFmtId="2" fontId="20" fillId="0" borderId="1" xfId="0" applyNumberFormat="1" applyFont="1" applyFill="1" applyBorder="1" applyAlignment="1">
      <alignment horizontal="center"/>
    </xf>
    <xf numFmtId="167" fontId="20" fillId="0" borderId="1" xfId="0" applyNumberFormat="1" applyFont="1" applyFill="1" applyBorder="1" applyAlignment="1">
      <alignment horizontal="center"/>
    </xf>
    <xf numFmtId="167" fontId="20" fillId="0" borderId="0" xfId="0" applyNumberFormat="1" applyFont="1" applyFill="1" applyBorder="1" applyAlignment="1">
      <alignment horizontal="center"/>
    </xf>
    <xf numFmtId="0" fontId="20" fillId="0" borderId="1" xfId="0" applyFont="1" applyFill="1" applyBorder="1" applyAlignment="1">
      <alignment horizontal="right"/>
    </xf>
    <xf numFmtId="0" fontId="20" fillId="0" borderId="1" xfId="0" applyFont="1" applyFill="1" applyBorder="1" applyAlignment="1">
      <alignment horizontal="center"/>
    </xf>
    <xf numFmtId="164" fontId="20" fillId="0" borderId="1" xfId="0" applyNumberFormat="1" applyFont="1" applyFill="1" applyBorder="1" applyAlignment="1">
      <alignment horizontal="center"/>
    </xf>
    <xf numFmtId="2" fontId="20" fillId="0" borderId="0" xfId="0" applyNumberFormat="1" applyFont="1" applyFill="1" applyBorder="1" applyAlignment="1">
      <alignment horizontal="center"/>
    </xf>
    <xf numFmtId="0" fontId="20" fillId="0" borderId="0" xfId="0" applyFont="1" applyFill="1" applyBorder="1"/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right"/>
    </xf>
    <xf numFmtId="2" fontId="20" fillId="0" borderId="0" xfId="0" applyNumberFormat="1" applyFont="1" applyFill="1" applyBorder="1" applyAlignment="1">
      <alignment horizontal="left"/>
    </xf>
    <xf numFmtId="168" fontId="20" fillId="0" borderId="0" xfId="0" applyNumberFormat="1" applyFont="1" applyFill="1" applyAlignment="1">
      <alignment horizontal="right" vertical="center"/>
    </xf>
    <xf numFmtId="168" fontId="20" fillId="0" borderId="0" xfId="0" applyNumberFormat="1" applyFont="1" applyFill="1" applyAlignment="1">
      <alignment horizontal="left" vertical="center"/>
    </xf>
    <xf numFmtId="167" fontId="20" fillId="0" borderId="0" xfId="0" applyNumberFormat="1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0" fontId="18" fillId="0" borderId="0" xfId="0" applyFont="1" applyFill="1" applyBorder="1"/>
    <xf numFmtId="1" fontId="20" fillId="0" borderId="0" xfId="0" applyNumberFormat="1" applyFont="1" applyFill="1" applyBorder="1" applyAlignment="1">
      <alignment horizontal="left"/>
    </xf>
    <xf numFmtId="0" fontId="18" fillId="0" borderId="0" xfId="0" applyFont="1" applyFill="1" applyBorder="1" applyAlignment="1">
      <alignment horizontal="left"/>
    </xf>
    <xf numFmtId="2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right"/>
    </xf>
    <xf numFmtId="1" fontId="0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center" vertical="center"/>
    </xf>
    <xf numFmtId="3" fontId="2" fillId="0" borderId="3" xfId="0" applyNumberFormat="1" applyFont="1" applyFill="1" applyBorder="1" applyAlignment="1">
      <alignment horizontal="center" wrapText="1"/>
    </xf>
    <xf numFmtId="0" fontId="8" fillId="0" borderId="3" xfId="0" applyFont="1" applyFill="1" applyBorder="1" applyAlignment="1">
      <alignment horizontal="left" vertical="center" wrapText="1"/>
    </xf>
    <xf numFmtId="2" fontId="2" fillId="0" borderId="3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wrapText="1"/>
    </xf>
    <xf numFmtId="0" fontId="8" fillId="0" borderId="4" xfId="0" applyFont="1" applyFill="1" applyBorder="1" applyAlignment="1">
      <alignment horizontal="left" vertical="center" wrapText="1"/>
    </xf>
    <xf numFmtId="3" fontId="2" fillId="0" borderId="4" xfId="0" applyNumberFormat="1" applyFont="1" applyFill="1" applyBorder="1" applyAlignment="1">
      <alignment horizontal="center" wrapText="1"/>
    </xf>
    <xf numFmtId="164" fontId="2" fillId="0" borderId="2" xfId="0" applyNumberFormat="1" applyFont="1" applyFill="1" applyBorder="1" applyAlignment="1">
      <alignment horizontal="center" vertical="center"/>
    </xf>
    <xf numFmtId="1" fontId="2" fillId="0" borderId="4" xfId="0" applyNumberFormat="1" applyFont="1" applyFill="1" applyBorder="1" applyAlignment="1">
      <alignment horizontal="center" vertical="center"/>
    </xf>
    <xf numFmtId="4" fontId="2" fillId="0" borderId="2" xfId="0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14" fillId="0" borderId="4" xfId="0" applyFont="1" applyFill="1" applyBorder="1" applyAlignment="1">
      <alignment horizontal="left" vertical="center" wrapText="1"/>
    </xf>
    <xf numFmtId="0" fontId="2" fillId="0" borderId="3" xfId="0" quotePrefix="1" applyFont="1" applyFill="1" applyBorder="1" applyAlignment="1">
      <alignment horizontal="center" vertical="center"/>
    </xf>
    <xf numFmtId="165" fontId="2" fillId="0" borderId="2" xfId="0" applyNumberFormat="1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3" fontId="0" fillId="0" borderId="0" xfId="0" applyNumberFormat="1" applyFont="1" applyAlignment="1">
      <alignment horizontal="right"/>
    </xf>
    <xf numFmtId="0" fontId="0" fillId="2" borderId="6" xfId="0" applyFont="1" applyFill="1" applyBorder="1" applyProtection="1">
      <protection locked="0"/>
    </xf>
    <xf numFmtId="0" fontId="0" fillId="2" borderId="8" xfId="0" applyFont="1" applyFill="1" applyBorder="1" applyProtection="1">
      <protection locked="0"/>
    </xf>
    <xf numFmtId="164" fontId="20" fillId="0" borderId="0" xfId="0" applyNumberFormat="1" applyFont="1" applyFill="1" applyBorder="1" applyAlignment="1">
      <alignment horizontal="left"/>
    </xf>
    <xf numFmtId="49" fontId="1" fillId="0" borderId="1" xfId="0" applyNumberFormat="1" applyFont="1" applyBorder="1" applyAlignment="1">
      <alignment horizontal="right"/>
    </xf>
    <xf numFmtId="1" fontId="1" fillId="0" borderId="1" xfId="0" applyNumberFormat="1" applyFont="1" applyBorder="1" applyAlignment="1">
      <alignment horizontal="right"/>
    </xf>
    <xf numFmtId="0" fontId="22" fillId="0" borderId="0" xfId="0" applyFont="1"/>
    <xf numFmtId="0" fontId="1" fillId="0" borderId="0" xfId="0" applyFont="1" applyBorder="1" applyAlignment="1">
      <alignment horizontal="center"/>
    </xf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/>
    <xf numFmtId="0" fontId="1" fillId="0" borderId="0" xfId="0" applyFont="1" applyAlignment="1"/>
    <xf numFmtId="0" fontId="1" fillId="0" borderId="0" xfId="0" applyFont="1" applyBorder="1" applyAlignment="1"/>
    <xf numFmtId="0" fontId="1" fillId="0" borderId="0" xfId="0" applyFont="1" applyAlignment="1">
      <alignment wrapText="1"/>
    </xf>
    <xf numFmtId="0" fontId="1" fillId="0" borderId="0" xfId="0" applyFont="1" applyAlignment="1">
      <alignment horizontal="left"/>
    </xf>
    <xf numFmtId="165" fontId="1" fillId="0" borderId="0" xfId="0" applyNumberFormat="1" applyFont="1" applyBorder="1" applyAlignment="1"/>
    <xf numFmtId="165" fontId="1" fillId="0" borderId="0" xfId="0" applyNumberFormat="1" applyFont="1" applyBorder="1" applyAlignment="1">
      <alignment horizontal="center"/>
    </xf>
    <xf numFmtId="165" fontId="0" fillId="0" borderId="0" xfId="0" applyNumberFormat="1"/>
    <xf numFmtId="165" fontId="1" fillId="0" borderId="0" xfId="0" applyNumberFormat="1" applyFont="1"/>
    <xf numFmtId="3" fontId="0" fillId="0" borderId="0" xfId="0" applyNumberFormat="1" applyFont="1" applyFill="1"/>
    <xf numFmtId="0" fontId="0" fillId="2" borderId="0" xfId="0" applyFill="1" applyProtection="1">
      <protection locked="0"/>
    </xf>
    <xf numFmtId="164" fontId="0" fillId="2" borderId="0" xfId="0" applyNumberFormat="1" applyFill="1" applyProtection="1">
      <protection locked="0"/>
    </xf>
    <xf numFmtId="0" fontId="1" fillId="4" borderId="14" xfId="0" applyFont="1" applyFill="1" applyBorder="1" applyAlignment="1"/>
    <xf numFmtId="0" fontId="1" fillId="4" borderId="11" xfId="0" applyFont="1" applyFill="1" applyBorder="1" applyAlignment="1"/>
    <xf numFmtId="0" fontId="10" fillId="0" borderId="3" xfId="0" applyFont="1" applyFill="1" applyBorder="1" applyAlignment="1">
      <alignment vertical="center"/>
    </xf>
    <xf numFmtId="0" fontId="1" fillId="0" borderId="0" xfId="0" applyFont="1" applyAlignme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2" fontId="8" fillId="0" borderId="4" xfId="0" applyNumberFormat="1" applyFont="1" applyFill="1" applyBorder="1" applyAlignment="1">
      <alignment horizontal="center" vertical="center" wrapText="1"/>
    </xf>
    <xf numFmtId="3" fontId="8" fillId="0" borderId="4" xfId="0" applyNumberFormat="1" applyFont="1" applyFill="1" applyBorder="1" applyAlignment="1">
      <alignment horizontal="center" vertical="center" wrapText="1"/>
    </xf>
    <xf numFmtId="2" fontId="2" fillId="0" borderId="3" xfId="0" applyNumberFormat="1" applyFont="1" applyFill="1" applyBorder="1" applyAlignment="1">
      <alignment horizontal="center" vertical="center"/>
    </xf>
    <xf numFmtId="165" fontId="2" fillId="0" borderId="3" xfId="0" applyNumberFormat="1" applyFont="1" applyFill="1" applyBorder="1" applyAlignment="1">
      <alignment horizontal="center" vertical="center"/>
    </xf>
    <xf numFmtId="165" fontId="2" fillId="0" borderId="3" xfId="0" applyNumberFormat="1" applyFont="1" applyFill="1" applyBorder="1" applyAlignment="1">
      <alignment horizontal="center" wrapText="1"/>
    </xf>
    <xf numFmtId="2" fontId="2" fillId="0" borderId="4" xfId="0" applyNumberFormat="1" applyFont="1" applyFill="1" applyBorder="1" applyAlignment="1">
      <alignment horizontal="center" vertical="center"/>
    </xf>
    <xf numFmtId="0" fontId="1" fillId="0" borderId="0" xfId="0" applyFont="1" applyFill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25" fillId="0" borderId="17" xfId="0" applyFont="1" applyFill="1" applyBorder="1" applyProtection="1">
      <protection locked="0"/>
    </xf>
    <xf numFmtId="0" fontId="25" fillId="0" borderId="25" xfId="0" applyFont="1" applyFill="1" applyBorder="1" applyProtection="1">
      <protection locked="0"/>
    </xf>
    <xf numFmtId="165" fontId="25" fillId="0" borderId="22" xfId="0" applyNumberFormat="1" applyFont="1" applyFill="1" applyBorder="1" applyProtection="1">
      <protection locked="0"/>
    </xf>
    <xf numFmtId="0" fontId="25" fillId="0" borderId="13" xfId="0" applyFont="1" applyFill="1" applyBorder="1" applyProtection="1">
      <protection locked="0"/>
    </xf>
    <xf numFmtId="0" fontId="25" fillId="0" borderId="25" xfId="0" applyFont="1" applyFill="1" applyBorder="1" applyAlignment="1" applyProtection="1">
      <protection locked="0"/>
    </xf>
    <xf numFmtId="165" fontId="25" fillId="0" borderId="22" xfId="0" applyNumberFormat="1" applyFont="1" applyFill="1" applyBorder="1" applyAlignment="1" applyProtection="1">
      <protection locked="0"/>
    </xf>
    <xf numFmtId="0" fontId="25" fillId="0" borderId="0" xfId="0" applyFont="1" applyFill="1" applyProtection="1">
      <protection locked="0"/>
    </xf>
    <xf numFmtId="0" fontId="25" fillId="0" borderId="18" xfId="0" applyFont="1" applyFill="1" applyBorder="1" applyProtection="1">
      <protection locked="0"/>
    </xf>
    <xf numFmtId="0" fontId="25" fillId="0" borderId="24" xfId="0" applyFont="1" applyFill="1" applyBorder="1" applyProtection="1">
      <protection locked="0"/>
    </xf>
    <xf numFmtId="165" fontId="25" fillId="0" borderId="29" xfId="0" applyNumberFormat="1" applyFont="1" applyFill="1" applyBorder="1" applyProtection="1">
      <protection locked="0"/>
    </xf>
    <xf numFmtId="0" fontId="25" fillId="0" borderId="21" xfId="0" applyFont="1" applyFill="1" applyBorder="1" applyProtection="1">
      <protection locked="0"/>
    </xf>
    <xf numFmtId="0" fontId="25" fillId="0" borderId="24" xfId="0" applyFont="1" applyFill="1" applyBorder="1" applyAlignment="1" applyProtection="1">
      <protection locked="0"/>
    </xf>
    <xf numFmtId="165" fontId="25" fillId="0" borderId="29" xfId="0" applyNumberFormat="1" applyFont="1" applyFill="1" applyBorder="1" applyAlignment="1" applyProtection="1">
      <protection locked="0"/>
    </xf>
    <xf numFmtId="0" fontId="1" fillId="0" borderId="0" xfId="0" applyFont="1" applyFill="1" applyBorder="1" applyAlignment="1"/>
    <xf numFmtId="165" fontId="2" fillId="0" borderId="4" xfId="0" applyNumberFormat="1" applyFont="1" applyFill="1" applyBorder="1" applyAlignment="1">
      <alignment horizontal="center" vertical="center"/>
    </xf>
    <xf numFmtId="0" fontId="1" fillId="4" borderId="0" xfId="0" applyFont="1" applyFill="1" applyAlignment="1" applyProtection="1">
      <alignment horizontal="center"/>
      <protection locked="0"/>
    </xf>
    <xf numFmtId="0" fontId="0" fillId="4" borderId="0" xfId="0" applyFill="1" applyProtection="1">
      <protection locked="0"/>
    </xf>
    <xf numFmtId="0" fontId="25" fillId="4" borderId="18" xfId="0" applyFont="1" applyFill="1" applyBorder="1" applyProtection="1">
      <protection locked="0"/>
    </xf>
    <xf numFmtId="0" fontId="25" fillId="4" borderId="24" xfId="0" applyFont="1" applyFill="1" applyBorder="1" applyProtection="1">
      <protection locked="0"/>
    </xf>
    <xf numFmtId="165" fontId="25" fillId="4" borderId="29" xfId="0" applyNumberFormat="1" applyFont="1" applyFill="1" applyBorder="1" applyProtection="1">
      <protection locked="0"/>
    </xf>
    <xf numFmtId="0" fontId="25" fillId="4" borderId="21" xfId="0" applyFont="1" applyFill="1" applyBorder="1" applyProtection="1">
      <protection locked="0"/>
    </xf>
    <xf numFmtId="0" fontId="25" fillId="4" borderId="24" xfId="0" applyFont="1" applyFill="1" applyBorder="1" applyAlignment="1" applyProtection="1">
      <protection locked="0"/>
    </xf>
    <xf numFmtId="165" fontId="25" fillId="4" borderId="29" xfId="0" applyNumberFormat="1" applyFont="1" applyFill="1" applyBorder="1" applyAlignment="1" applyProtection="1">
      <protection locked="0"/>
    </xf>
    <xf numFmtId="0" fontId="25" fillId="4" borderId="0" xfId="0" applyFont="1" applyFill="1" applyProtection="1">
      <protection locked="0"/>
    </xf>
    <xf numFmtId="0" fontId="25" fillId="4" borderId="14" xfId="0" applyFont="1" applyFill="1" applyBorder="1" applyProtection="1">
      <protection locked="0"/>
    </xf>
    <xf numFmtId="0" fontId="25" fillId="4" borderId="15" xfId="0" applyFont="1" applyFill="1" applyBorder="1" applyProtection="1">
      <protection locked="0"/>
    </xf>
    <xf numFmtId="165" fontId="25" fillId="4" borderId="16" xfId="0" applyNumberFormat="1" applyFont="1" applyFill="1" applyBorder="1" applyProtection="1">
      <protection locked="0"/>
    </xf>
    <xf numFmtId="0" fontId="25" fillId="4" borderId="11" xfId="0" applyFont="1" applyFill="1" applyBorder="1" applyProtection="1">
      <protection locked="0"/>
    </xf>
    <xf numFmtId="0" fontId="25" fillId="4" borderId="15" xfId="0" applyFont="1" applyFill="1" applyBorder="1" applyAlignment="1" applyProtection="1">
      <protection locked="0"/>
    </xf>
    <xf numFmtId="165" fontId="25" fillId="4" borderId="16" xfId="0" applyNumberFormat="1" applyFont="1" applyFill="1" applyBorder="1" applyAlignment="1" applyProtection="1">
      <protection locked="0"/>
    </xf>
    <xf numFmtId="0" fontId="1" fillId="4" borderId="26" xfId="0" applyFont="1" applyFill="1" applyBorder="1" applyAlignment="1">
      <alignment horizontal="center"/>
    </xf>
    <xf numFmtId="0" fontId="1" fillId="4" borderId="27" xfId="0" applyFont="1" applyFill="1" applyBorder="1" applyAlignment="1">
      <alignment horizontal="center"/>
    </xf>
    <xf numFmtId="0" fontId="1" fillId="4" borderId="28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4" borderId="19" xfId="0" applyFont="1" applyFill="1" applyBorder="1" applyAlignment="1">
      <alignment horizontal="center"/>
    </xf>
    <xf numFmtId="0" fontId="1" fillId="4" borderId="20" xfId="0" applyFont="1" applyFill="1" applyBorder="1" applyAlignment="1">
      <alignment horizontal="center"/>
    </xf>
    <xf numFmtId="0" fontId="1" fillId="3" borderId="24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23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 wrapText="1"/>
    </xf>
    <xf numFmtId="0" fontId="1" fillId="4" borderId="16" xfId="0" applyFont="1" applyFill="1" applyBorder="1" applyAlignment="1">
      <alignment horizontal="center" wrapText="1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2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microsoft.com/office/2006/relationships/vbaProject" Target="vbaProject.bin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47625</xdr:colOff>
          <xdr:row>0</xdr:row>
          <xdr:rowOff>76200</xdr:rowOff>
        </xdr:from>
        <xdr:to>
          <xdr:col>2</xdr:col>
          <xdr:colOff>466725</xdr:colOff>
          <xdr:row>5</xdr:row>
          <xdr:rowOff>38100</xdr:rowOff>
        </xdr:to>
        <xdr:sp macro="" textlink="">
          <xdr:nvSpPr>
            <xdr:cNvPr id="6146" name="Button 2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45720" tIns="50292" rIns="45720" bIns="50292" anchor="ctr" upright="1"/>
            <a:lstStyle/>
            <a:p>
              <a:pPr algn="ctr" rtl="0">
                <a:defRPr sz="1000"/>
              </a:pPr>
              <a:r>
                <a:rPr lang="en-US" sz="2400" b="1" i="0" u="none" strike="noStrike" baseline="0">
                  <a:solidFill>
                    <a:srgbClr val="000000"/>
                  </a:solidFill>
                  <a:latin typeface="Calibri"/>
                </a:rPr>
                <a:t>Run Scenarios</a:t>
              </a:r>
            </a:p>
          </xdr:txBody>
        </xdr:sp>
        <xdr:clientData fLocksWithSheet="0"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/>
  <dimension ref="B1:AI29"/>
  <sheetViews>
    <sheetView zoomScaleNormal="100" workbookViewId="0">
      <pane ySplit="9" topLeftCell="A10" activePane="bottomLeft" state="frozen"/>
      <selection pane="bottomLeft" activeCell="AD5" sqref="AD5"/>
    </sheetView>
  </sheetViews>
  <sheetFormatPr defaultRowHeight="15" x14ac:dyDescent="0.25"/>
  <cols>
    <col min="1" max="1" width="1.85546875" customWidth="1"/>
    <col min="2" max="2" width="19.7109375" customWidth="1"/>
    <col min="3" max="3" width="7.140625" customWidth="1"/>
    <col min="4" max="4" width="14.85546875" customWidth="1"/>
    <col min="5" max="5" width="6.28515625" customWidth="1"/>
    <col min="6" max="6" width="1.140625" customWidth="1"/>
    <col min="7" max="9" width="9.140625" style="182"/>
    <col min="10" max="10" width="1" customWidth="1"/>
    <col min="11" max="11" width="12.5703125" customWidth="1"/>
    <col min="12" max="12" width="1.5703125" customWidth="1"/>
    <col min="13" max="13" width="8.140625" style="191" customWidth="1"/>
    <col min="14" max="14" width="12.5703125" customWidth="1"/>
    <col min="15" max="15" width="1.5703125" customWidth="1"/>
    <col min="16" max="16" width="8.140625" style="191" customWidth="1"/>
    <col min="17" max="17" width="12.5703125" customWidth="1"/>
    <col min="18" max="18" width="1.5703125" customWidth="1"/>
    <col min="19" max="19" width="8.140625" style="191" customWidth="1"/>
    <col min="20" max="20" width="12.5703125" customWidth="1"/>
    <col min="21" max="21" width="1.5703125" customWidth="1"/>
    <col min="22" max="22" width="8.85546875" style="191" customWidth="1"/>
    <col min="23" max="23" width="1.140625" customWidth="1"/>
    <col min="24" max="24" width="12.28515625" customWidth="1"/>
    <col min="25" max="25" width="1.5703125" customWidth="1"/>
    <col min="26" max="26" width="7.85546875" style="191" customWidth="1"/>
    <col min="27" max="27" width="12.28515625" customWidth="1"/>
    <col min="28" max="28" width="1.5703125" customWidth="1"/>
    <col min="29" max="29" width="7.85546875" style="191" customWidth="1"/>
    <col min="30" max="30" width="12.28515625" customWidth="1"/>
    <col min="31" max="31" width="1.5703125" customWidth="1"/>
    <col min="32" max="32" width="7.85546875" style="191" customWidth="1"/>
    <col min="33" max="33" width="12.28515625" customWidth="1"/>
    <col min="34" max="34" width="1.5703125" customWidth="1"/>
    <col min="35" max="35" width="7.85546875" style="191" customWidth="1"/>
  </cols>
  <sheetData>
    <row r="1" spans="2:35" s="181" customFormat="1" x14ac:dyDescent="0.25">
      <c r="B1" s="199"/>
      <c r="C1" s="199"/>
      <c r="D1" s="185"/>
      <c r="E1" s="188" t="s">
        <v>174</v>
      </c>
      <c r="G1" s="183"/>
      <c r="H1" s="183"/>
      <c r="K1" s="186"/>
      <c r="L1" s="186"/>
      <c r="M1" s="189"/>
      <c r="N1" s="186"/>
      <c r="O1" s="186"/>
      <c r="P1" s="189"/>
      <c r="Q1" s="186"/>
      <c r="R1" s="186"/>
      <c r="S1" s="189"/>
      <c r="T1" s="186"/>
      <c r="U1" s="186"/>
      <c r="V1" s="189"/>
      <c r="W1" s="184"/>
      <c r="X1" s="186"/>
      <c r="Y1" s="186"/>
      <c r="Z1" s="189"/>
      <c r="AA1" s="186"/>
      <c r="AC1" s="192"/>
      <c r="AF1" s="192"/>
      <c r="AI1" s="192"/>
    </row>
    <row r="2" spans="2:35" s="181" customFormat="1" x14ac:dyDescent="0.25">
      <c r="B2" s="200"/>
      <c r="C2" s="200"/>
      <c r="D2" s="183"/>
      <c r="E2" s="183"/>
      <c r="G2" s="183"/>
      <c r="H2" s="183"/>
      <c r="I2" s="183"/>
      <c r="K2" s="180"/>
      <c r="L2" s="180"/>
      <c r="M2" s="190"/>
      <c r="N2" s="180"/>
      <c r="O2" s="180"/>
      <c r="P2" s="190"/>
      <c r="Q2" s="180"/>
      <c r="R2" s="180"/>
      <c r="S2" s="190"/>
      <c r="T2" s="180"/>
      <c r="U2" s="180"/>
      <c r="V2" s="190"/>
      <c r="W2" s="184"/>
      <c r="X2" s="180"/>
      <c r="Y2" s="180"/>
      <c r="Z2" s="190"/>
      <c r="AA2" s="180"/>
      <c r="AC2" s="192"/>
      <c r="AF2" s="192"/>
      <c r="AI2" s="192"/>
    </row>
    <row r="3" spans="2:35" s="181" customFormat="1" x14ac:dyDescent="0.25">
      <c r="B3" s="200"/>
      <c r="C3" s="200"/>
      <c r="D3" s="183"/>
      <c r="E3" s="183" t="s">
        <v>187</v>
      </c>
      <c r="G3" s="183"/>
      <c r="H3" s="183"/>
      <c r="I3" s="183"/>
      <c r="K3" s="180"/>
      <c r="L3" s="180"/>
      <c r="M3" s="190"/>
      <c r="N3" s="180"/>
      <c r="O3" s="180"/>
      <c r="P3" s="190"/>
      <c r="Q3" s="180"/>
      <c r="R3" s="180"/>
      <c r="S3" s="190"/>
      <c r="T3" s="180"/>
      <c r="U3" s="180"/>
      <c r="V3" s="190"/>
      <c r="W3" s="184"/>
      <c r="X3" s="180"/>
      <c r="Y3" s="180"/>
      <c r="Z3" s="190"/>
      <c r="AA3" s="180"/>
      <c r="AC3" s="192"/>
      <c r="AF3" s="192"/>
      <c r="AI3" s="192"/>
    </row>
    <row r="4" spans="2:35" s="181" customFormat="1" x14ac:dyDescent="0.25">
      <c r="B4" s="200"/>
      <c r="C4" s="200"/>
      <c r="D4" s="183"/>
      <c r="E4" s="183"/>
      <c r="G4" s="183"/>
      <c r="H4" s="183"/>
      <c r="I4" s="183"/>
      <c r="K4" s="180"/>
      <c r="L4" s="180"/>
      <c r="M4" s="190"/>
      <c r="N4" s="180"/>
      <c r="O4" s="180"/>
      <c r="P4" s="190"/>
      <c r="Q4" s="180"/>
      <c r="R4" s="180"/>
      <c r="S4" s="190"/>
      <c r="T4" s="180"/>
      <c r="U4" s="180"/>
      <c r="V4" s="190"/>
      <c r="W4" s="184"/>
      <c r="X4" s="180"/>
      <c r="Y4" s="180"/>
      <c r="Z4" s="190"/>
      <c r="AA4" s="180"/>
      <c r="AC4" s="192"/>
      <c r="AF4" s="192"/>
      <c r="AI4" s="192"/>
    </row>
    <row r="5" spans="2:35" s="181" customFormat="1" x14ac:dyDescent="0.25">
      <c r="B5" s="200"/>
      <c r="C5" s="200"/>
      <c r="D5" s="183"/>
      <c r="E5" s="183"/>
      <c r="G5" s="183"/>
      <c r="H5" s="183"/>
      <c r="I5" s="183"/>
      <c r="K5" s="180"/>
      <c r="L5" s="180"/>
      <c r="M5" s="190"/>
      <c r="N5" s="180"/>
      <c r="O5" s="180"/>
      <c r="P5" s="190"/>
      <c r="Q5" s="180"/>
      <c r="R5" s="180"/>
      <c r="S5" s="190"/>
      <c r="T5" s="180"/>
      <c r="U5" s="180"/>
      <c r="V5" s="190"/>
      <c r="W5" s="184"/>
      <c r="X5" s="180"/>
      <c r="Y5" s="180"/>
      <c r="Z5" s="190"/>
      <c r="AA5" s="180"/>
      <c r="AC5" s="192"/>
      <c r="AF5" s="192"/>
      <c r="AI5" s="192"/>
    </row>
    <row r="6" spans="2:35" s="181" customFormat="1" ht="15.75" thickBot="1" x14ac:dyDescent="0.3">
      <c r="B6" s="199"/>
      <c r="C6" s="199"/>
      <c r="D6" s="185"/>
      <c r="E6" s="185"/>
      <c r="G6" s="183"/>
      <c r="H6" s="183"/>
      <c r="I6" s="183"/>
      <c r="K6" s="186"/>
      <c r="L6" s="186"/>
      <c r="M6" s="189"/>
      <c r="N6" s="186"/>
      <c r="O6" s="186"/>
      <c r="P6" s="189"/>
      <c r="Q6" s="186"/>
      <c r="R6" s="186"/>
      <c r="S6" s="189"/>
      <c r="T6" s="186"/>
      <c r="U6" s="186"/>
      <c r="V6" s="189"/>
      <c r="W6" s="184"/>
      <c r="X6" s="186"/>
      <c r="Y6" s="186"/>
      <c r="Z6" s="189"/>
      <c r="AA6" s="186"/>
      <c r="AC6" s="192"/>
      <c r="AF6" s="192"/>
      <c r="AI6" s="192"/>
    </row>
    <row r="7" spans="2:35" s="181" customFormat="1" ht="15.75" thickBot="1" x14ac:dyDescent="0.3">
      <c r="B7" s="247" t="s">
        <v>176</v>
      </c>
      <c r="C7" s="248"/>
      <c r="D7" s="248"/>
      <c r="E7" s="249"/>
      <c r="G7" s="183"/>
      <c r="H7" s="183"/>
      <c r="I7" s="183"/>
      <c r="J7" s="181" t="e">
        <v>#NUM!</v>
      </c>
      <c r="K7" s="241" t="s">
        <v>188</v>
      </c>
      <c r="L7" s="242"/>
      <c r="M7" s="242"/>
      <c r="N7" s="242"/>
      <c r="O7" s="242"/>
      <c r="P7" s="242"/>
      <c r="Q7" s="242"/>
      <c r="R7" s="242"/>
      <c r="S7" s="242"/>
      <c r="T7" s="242"/>
      <c r="U7" s="242"/>
      <c r="V7" s="243"/>
      <c r="X7" s="241" t="s">
        <v>189</v>
      </c>
      <c r="Y7" s="242"/>
      <c r="Z7" s="242"/>
      <c r="AA7" s="242"/>
      <c r="AB7" s="242"/>
      <c r="AC7" s="242"/>
      <c r="AD7" s="242"/>
      <c r="AE7" s="242"/>
      <c r="AF7" s="242"/>
      <c r="AG7" s="242"/>
      <c r="AH7" s="242"/>
      <c r="AI7" s="243"/>
    </row>
    <row r="8" spans="2:35" s="181" customFormat="1" x14ac:dyDescent="0.25">
      <c r="B8" s="180"/>
      <c r="C8" s="180"/>
      <c r="D8" s="180"/>
      <c r="E8" s="180"/>
      <c r="G8" s="183"/>
      <c r="H8" s="183"/>
      <c r="I8" s="183"/>
      <c r="K8" s="244" t="s">
        <v>159</v>
      </c>
      <c r="L8" s="242"/>
      <c r="M8" s="243"/>
      <c r="N8" s="244" t="s">
        <v>160</v>
      </c>
      <c r="O8" s="245"/>
      <c r="P8" s="246"/>
      <c r="Q8" s="244" t="s">
        <v>161</v>
      </c>
      <c r="R8" s="245"/>
      <c r="S8" s="246"/>
      <c r="T8" s="244" t="s">
        <v>162</v>
      </c>
      <c r="U8" s="245"/>
      <c r="V8" s="246"/>
      <c r="X8" s="244" t="s">
        <v>159</v>
      </c>
      <c r="Y8" s="242"/>
      <c r="Z8" s="243"/>
      <c r="AA8" s="244" t="s">
        <v>160</v>
      </c>
      <c r="AB8" s="245"/>
      <c r="AC8" s="246"/>
      <c r="AD8" s="244" t="s">
        <v>161</v>
      </c>
      <c r="AE8" s="245"/>
      <c r="AF8" s="246"/>
      <c r="AG8" s="244" t="s">
        <v>162</v>
      </c>
      <c r="AH8" s="245"/>
      <c r="AI8" s="246"/>
    </row>
    <row r="9" spans="2:35" s="181" customFormat="1" ht="34.5" customHeight="1" thickBot="1" x14ac:dyDescent="0.4">
      <c r="B9" s="181" t="s">
        <v>158</v>
      </c>
      <c r="C9" s="187" t="s">
        <v>5</v>
      </c>
      <c r="D9" s="187" t="s">
        <v>173</v>
      </c>
      <c r="E9" s="181" t="s">
        <v>0</v>
      </c>
      <c r="G9" s="183" t="s">
        <v>106</v>
      </c>
      <c r="H9" s="183" t="s">
        <v>105</v>
      </c>
      <c r="I9" s="183" t="s">
        <v>107</v>
      </c>
      <c r="K9" s="196" t="s">
        <v>84</v>
      </c>
      <c r="L9" s="250" t="s">
        <v>109</v>
      </c>
      <c r="M9" s="251"/>
      <c r="N9" s="197" t="s">
        <v>84</v>
      </c>
      <c r="O9" s="250" t="s">
        <v>109</v>
      </c>
      <c r="P9" s="251"/>
      <c r="Q9" s="197" t="s">
        <v>84</v>
      </c>
      <c r="R9" s="250" t="s">
        <v>109</v>
      </c>
      <c r="S9" s="251"/>
      <c r="T9" s="197" t="s">
        <v>84</v>
      </c>
      <c r="U9" s="250" t="s">
        <v>109</v>
      </c>
      <c r="V9" s="251"/>
      <c r="X9" s="196" t="s">
        <v>84</v>
      </c>
      <c r="Y9" s="250" t="s">
        <v>154</v>
      </c>
      <c r="Z9" s="251"/>
      <c r="AA9" s="197" t="s">
        <v>84</v>
      </c>
      <c r="AB9" s="250" t="s">
        <v>154</v>
      </c>
      <c r="AC9" s="251"/>
      <c r="AD9" s="197" t="s">
        <v>84</v>
      </c>
      <c r="AE9" s="250" t="s">
        <v>154</v>
      </c>
      <c r="AF9" s="251"/>
      <c r="AG9" s="197" t="s">
        <v>84</v>
      </c>
      <c r="AH9" s="250" t="s">
        <v>154</v>
      </c>
      <c r="AI9" s="251"/>
    </row>
    <row r="10" spans="2:35" x14ac:dyDescent="0.25">
      <c r="B10" s="194" t="s">
        <v>163</v>
      </c>
      <c r="C10" s="195">
        <v>5</v>
      </c>
      <c r="D10" s="194">
        <v>25</v>
      </c>
      <c r="E10" s="194">
        <v>9</v>
      </c>
      <c r="F10" s="202">
        <v>7542.8737034161522</v>
      </c>
      <c r="G10" s="201">
        <v>3522.9324666008047</v>
      </c>
      <c r="H10" s="209">
        <v>1800</v>
      </c>
      <c r="I10" s="209">
        <v>770</v>
      </c>
      <c r="J10" s="210"/>
      <c r="K10" s="211" t="s">
        <v>89</v>
      </c>
      <c r="L10" s="212" t="s">
        <v>175</v>
      </c>
      <c r="M10" s="213">
        <v>3345.2147220380402</v>
      </c>
      <c r="N10" s="214" t="s">
        <v>88</v>
      </c>
      <c r="O10" s="215" t="s">
        <v>175</v>
      </c>
      <c r="P10" s="216">
        <v>7357.5727820932862</v>
      </c>
      <c r="Q10" s="214" t="s">
        <v>90</v>
      </c>
      <c r="R10" s="215" t="s">
        <v>175</v>
      </c>
      <c r="S10" s="216">
        <v>10257.610073449332</v>
      </c>
      <c r="T10" s="214" t="s">
        <v>91</v>
      </c>
      <c r="U10" s="215" t="s">
        <v>175</v>
      </c>
      <c r="V10" s="216">
        <v>12222.952374640385</v>
      </c>
      <c r="W10" s="217"/>
      <c r="X10" s="211" t="s">
        <v>87</v>
      </c>
      <c r="Y10" s="212" t="s">
        <v>175</v>
      </c>
      <c r="Z10" s="213">
        <v>1046.2828029642264</v>
      </c>
      <c r="AA10" s="214" t="s">
        <v>88</v>
      </c>
      <c r="AB10" s="215" t="s">
        <v>175</v>
      </c>
      <c r="AC10" s="216">
        <v>1186.52965289433</v>
      </c>
      <c r="AD10" s="214" t="s">
        <v>92</v>
      </c>
      <c r="AE10" s="215" t="s">
        <v>175</v>
      </c>
      <c r="AF10" s="216">
        <v>1720.0419862916433</v>
      </c>
      <c r="AG10" s="214" t="s">
        <v>85</v>
      </c>
      <c r="AH10" s="215" t="s">
        <v>175</v>
      </c>
      <c r="AI10" s="216">
        <v>2564.8294019530799</v>
      </c>
    </row>
    <row r="11" spans="2:35" x14ac:dyDescent="0.25">
      <c r="B11" s="194" t="s">
        <v>164</v>
      </c>
      <c r="C11" s="195">
        <v>5</v>
      </c>
      <c r="D11" s="194">
        <v>50</v>
      </c>
      <c r="E11" s="194">
        <v>9</v>
      </c>
      <c r="F11" s="202">
        <v>7542.8737034161522</v>
      </c>
      <c r="G11" s="201">
        <v>3120.4991509062966</v>
      </c>
      <c r="H11" s="209">
        <v>1600</v>
      </c>
      <c r="I11" s="209">
        <v>680</v>
      </c>
      <c r="J11" s="210"/>
      <c r="K11" s="218" t="s">
        <v>89</v>
      </c>
      <c r="L11" s="219" t="s">
        <v>175</v>
      </c>
      <c r="M11" s="220">
        <v>2963.0825452043296</v>
      </c>
      <c r="N11" s="221" t="s">
        <v>88</v>
      </c>
      <c r="O11" s="222" t="s">
        <v>175</v>
      </c>
      <c r="P11" s="223">
        <v>6517.0989898098123</v>
      </c>
      <c r="Q11" s="221" t="s">
        <v>90</v>
      </c>
      <c r="R11" s="222" t="s">
        <v>175</v>
      </c>
      <c r="S11" s="223">
        <v>9085.857826678608</v>
      </c>
      <c r="T11" s="221" t="s">
        <v>91</v>
      </c>
      <c r="U11" s="222" t="s">
        <v>175</v>
      </c>
      <c r="V11" s="223">
        <v>10826.694200991533</v>
      </c>
      <c r="W11" s="217"/>
      <c r="X11" s="218" t="s">
        <v>87</v>
      </c>
      <c r="Y11" s="219" t="s">
        <v>175</v>
      </c>
      <c r="Z11" s="220">
        <v>926.76332266108125</v>
      </c>
      <c r="AA11" s="221" t="s">
        <v>88</v>
      </c>
      <c r="AB11" s="222" t="s">
        <v>175</v>
      </c>
      <c r="AC11" s="223">
        <v>1050.9894269855961</v>
      </c>
      <c r="AD11" s="221" t="s">
        <v>92</v>
      </c>
      <c r="AE11" s="222" t="s">
        <v>175</v>
      </c>
      <c r="AF11" s="223">
        <v>1523.5573229494485</v>
      </c>
      <c r="AG11" s="221" t="s">
        <v>85</v>
      </c>
      <c r="AH11" s="222" t="s">
        <v>175</v>
      </c>
      <c r="AI11" s="223">
        <v>2271.8425762887732</v>
      </c>
    </row>
    <row r="12" spans="2:35" x14ac:dyDescent="0.25">
      <c r="B12" s="194" t="s">
        <v>165</v>
      </c>
      <c r="C12" s="195">
        <v>5</v>
      </c>
      <c r="D12" s="194">
        <v>75</v>
      </c>
      <c r="E12" s="194">
        <v>9</v>
      </c>
      <c r="F12" s="202">
        <v>7542.8737034161522</v>
      </c>
      <c r="G12" s="201">
        <v>2906.7527928199229</v>
      </c>
      <c r="H12" s="209">
        <v>1500</v>
      </c>
      <c r="I12" s="209">
        <v>640</v>
      </c>
      <c r="J12" s="210"/>
      <c r="K12" s="218" t="s">
        <v>89</v>
      </c>
      <c r="L12" s="219" t="s">
        <v>175</v>
      </c>
      <c r="M12" s="220">
        <v>2760.1188294275712</v>
      </c>
      <c r="N12" s="221" t="s">
        <v>88</v>
      </c>
      <c r="O12" s="222" t="s">
        <v>175</v>
      </c>
      <c r="P12" s="223">
        <v>6070.6940696372176</v>
      </c>
      <c r="Q12" s="221" t="s">
        <v>90</v>
      </c>
      <c r="R12" s="222" t="s">
        <v>175</v>
      </c>
      <c r="S12" s="223">
        <v>8463.4993748337074</v>
      </c>
      <c r="T12" s="221" t="s">
        <v>91</v>
      </c>
      <c r="U12" s="222" t="s">
        <v>175</v>
      </c>
      <c r="V12" s="223">
        <v>10085.092827729632</v>
      </c>
      <c r="W12" s="217"/>
      <c r="X12" s="218" t="s">
        <v>87</v>
      </c>
      <c r="Y12" s="219" t="s">
        <v>175</v>
      </c>
      <c r="Z12" s="220">
        <v>863.28236162024302</v>
      </c>
      <c r="AA12" s="221" t="s">
        <v>88</v>
      </c>
      <c r="AB12" s="222" t="s">
        <v>175</v>
      </c>
      <c r="AC12" s="223">
        <v>978.99928965772324</v>
      </c>
      <c r="AD12" s="221" t="s">
        <v>92</v>
      </c>
      <c r="AE12" s="222" t="s">
        <v>175</v>
      </c>
      <c r="AF12" s="223">
        <v>1419.1974710900452</v>
      </c>
      <c r="AG12" s="221" t="s">
        <v>85</v>
      </c>
      <c r="AH12" s="222" t="s">
        <v>175</v>
      </c>
      <c r="AI12" s="223">
        <v>2116.2270630828762</v>
      </c>
    </row>
    <row r="13" spans="2:35" x14ac:dyDescent="0.25">
      <c r="B13" s="194" t="s">
        <v>166</v>
      </c>
      <c r="C13" s="195">
        <v>5</v>
      </c>
      <c r="D13" s="194">
        <v>100</v>
      </c>
      <c r="E13" s="194">
        <v>9</v>
      </c>
      <c r="F13" s="202">
        <v>7542.8737034161522</v>
      </c>
      <c r="G13" s="201">
        <v>2764.0367912591637</v>
      </c>
      <c r="H13" s="209">
        <v>1400</v>
      </c>
      <c r="I13" s="209">
        <v>600</v>
      </c>
      <c r="J13" s="210"/>
      <c r="K13" s="218" t="s">
        <v>89</v>
      </c>
      <c r="L13" s="219" t="s">
        <v>175</v>
      </c>
      <c r="M13" s="220">
        <v>2624.602274961142</v>
      </c>
      <c r="N13" s="221" t="s">
        <v>88</v>
      </c>
      <c r="O13" s="222" t="s">
        <v>175</v>
      </c>
      <c r="P13" s="223">
        <v>5772.6346039483306</v>
      </c>
      <c r="Q13" s="221" t="s">
        <v>90</v>
      </c>
      <c r="R13" s="222" t="s">
        <v>175</v>
      </c>
      <c r="S13" s="223">
        <v>8047.9577460538558</v>
      </c>
      <c r="T13" s="221" t="s">
        <v>91</v>
      </c>
      <c r="U13" s="222" t="s">
        <v>175</v>
      </c>
      <c r="V13" s="223">
        <v>9589.934062492177</v>
      </c>
      <c r="W13" s="217"/>
      <c r="X13" s="218" t="s">
        <v>87</v>
      </c>
      <c r="Y13" s="219" t="s">
        <v>175</v>
      </c>
      <c r="Z13" s="220">
        <v>820.89684910856522</v>
      </c>
      <c r="AA13" s="221" t="s">
        <v>88</v>
      </c>
      <c r="AB13" s="222" t="s">
        <v>175</v>
      </c>
      <c r="AC13" s="223">
        <v>930.93229734384113</v>
      </c>
      <c r="AD13" s="221" t="s">
        <v>92</v>
      </c>
      <c r="AE13" s="222" t="s">
        <v>175</v>
      </c>
      <c r="AF13" s="223">
        <v>1349.5175901591649</v>
      </c>
      <c r="AG13" s="221" t="s">
        <v>85</v>
      </c>
      <c r="AH13" s="222" t="s">
        <v>175</v>
      </c>
      <c r="AI13" s="223">
        <v>2012.3243625904208</v>
      </c>
    </row>
    <row r="14" spans="2:35" x14ac:dyDescent="0.25">
      <c r="B14" s="194" t="s">
        <v>167</v>
      </c>
      <c r="C14" s="195">
        <v>5</v>
      </c>
      <c r="D14" s="194">
        <v>150</v>
      </c>
      <c r="E14" s="194">
        <v>9</v>
      </c>
      <c r="F14" s="202">
        <v>7542.8737034161522</v>
      </c>
      <c r="G14" s="201">
        <v>2574.7072099400802</v>
      </c>
      <c r="H14" s="209">
        <v>1300</v>
      </c>
      <c r="I14" s="209">
        <v>560</v>
      </c>
      <c r="J14" s="210"/>
      <c r="K14" s="218" t="s">
        <v>89</v>
      </c>
      <c r="L14" s="219" t="s">
        <v>175</v>
      </c>
      <c r="M14" s="220">
        <v>2444.8236079697745</v>
      </c>
      <c r="N14" s="221" t="s">
        <v>88</v>
      </c>
      <c r="O14" s="222" t="s">
        <v>175</v>
      </c>
      <c r="P14" s="223">
        <v>5377.2236252919756</v>
      </c>
      <c r="Q14" s="221" t="s">
        <v>90</v>
      </c>
      <c r="R14" s="222" t="s">
        <v>175</v>
      </c>
      <c r="S14" s="223">
        <v>7496.6928441708405</v>
      </c>
      <c r="T14" s="221" t="s">
        <v>91</v>
      </c>
      <c r="U14" s="222" t="s">
        <v>175</v>
      </c>
      <c r="V14" s="223">
        <v>8933.0476539351275</v>
      </c>
      <c r="W14" s="217"/>
      <c r="X14" s="218" t="s">
        <v>87</v>
      </c>
      <c r="Y14" s="219" t="s">
        <v>175</v>
      </c>
      <c r="Z14" s="220">
        <v>764.66747573719113</v>
      </c>
      <c r="AA14" s="221" t="s">
        <v>88</v>
      </c>
      <c r="AB14" s="222" t="s">
        <v>175</v>
      </c>
      <c r="AC14" s="223">
        <v>867.16577200309621</v>
      </c>
      <c r="AD14" s="221" t="s">
        <v>92</v>
      </c>
      <c r="AE14" s="222" t="s">
        <v>175</v>
      </c>
      <c r="AF14" s="223">
        <v>1257.079023083777</v>
      </c>
      <c r="AG14" s="221" t="s">
        <v>85</v>
      </c>
      <c r="AH14" s="222" t="s">
        <v>175</v>
      </c>
      <c r="AI14" s="223">
        <v>1874.4851955241993</v>
      </c>
    </row>
    <row r="15" spans="2:35" x14ac:dyDescent="0.25">
      <c r="B15" s="194" t="s">
        <v>168</v>
      </c>
      <c r="C15" s="195">
        <v>5</v>
      </c>
      <c r="D15" s="194">
        <v>150</v>
      </c>
      <c r="E15" s="194">
        <v>9</v>
      </c>
      <c r="F15" s="202">
        <v>7542.8737034161522</v>
      </c>
      <c r="G15" s="201">
        <v>2574.7072099400802</v>
      </c>
      <c r="H15" s="209">
        <v>1300</v>
      </c>
      <c r="I15" s="209">
        <v>560</v>
      </c>
      <c r="J15" s="210"/>
      <c r="K15" s="218" t="s">
        <v>89</v>
      </c>
      <c r="L15" s="219" t="s">
        <v>175</v>
      </c>
      <c r="M15" s="220">
        <v>2444.8236079697745</v>
      </c>
      <c r="N15" s="221" t="s">
        <v>88</v>
      </c>
      <c r="O15" s="222" t="s">
        <v>175</v>
      </c>
      <c r="P15" s="223">
        <v>5377.2236252919756</v>
      </c>
      <c r="Q15" s="221" t="s">
        <v>90</v>
      </c>
      <c r="R15" s="222" t="s">
        <v>175</v>
      </c>
      <c r="S15" s="223">
        <v>7496.6928441708405</v>
      </c>
      <c r="T15" s="221" t="s">
        <v>91</v>
      </c>
      <c r="U15" s="222" t="s">
        <v>175</v>
      </c>
      <c r="V15" s="223">
        <v>8933.0476539351275</v>
      </c>
      <c r="W15" s="217"/>
      <c r="X15" s="218" t="s">
        <v>87</v>
      </c>
      <c r="Y15" s="219" t="s">
        <v>175</v>
      </c>
      <c r="Z15" s="220">
        <v>764.66747573719113</v>
      </c>
      <c r="AA15" s="221" t="s">
        <v>88</v>
      </c>
      <c r="AB15" s="222" t="s">
        <v>175</v>
      </c>
      <c r="AC15" s="223">
        <v>867.16577200309621</v>
      </c>
      <c r="AD15" s="221" t="s">
        <v>92</v>
      </c>
      <c r="AE15" s="222" t="s">
        <v>175</v>
      </c>
      <c r="AF15" s="223">
        <v>1257.079023083777</v>
      </c>
      <c r="AG15" s="221" t="s">
        <v>85</v>
      </c>
      <c r="AH15" s="222" t="s">
        <v>175</v>
      </c>
      <c r="AI15" s="223">
        <v>1874.4851955241993</v>
      </c>
    </row>
    <row r="16" spans="2:35" x14ac:dyDescent="0.25">
      <c r="B16" s="194" t="s">
        <v>169</v>
      </c>
      <c r="C16" s="195">
        <v>5</v>
      </c>
      <c r="D16" s="194">
        <v>150</v>
      </c>
      <c r="E16" s="194">
        <v>9</v>
      </c>
      <c r="F16" s="202">
        <v>7542.8737034161522</v>
      </c>
      <c r="G16" s="201">
        <v>2574.7072099400802</v>
      </c>
      <c r="H16" s="209">
        <v>1300</v>
      </c>
      <c r="I16" s="209">
        <v>560</v>
      </c>
      <c r="J16" s="210"/>
      <c r="K16" s="218" t="s">
        <v>89</v>
      </c>
      <c r="L16" s="219" t="s">
        <v>175</v>
      </c>
      <c r="M16" s="220">
        <v>2444.8236079697745</v>
      </c>
      <c r="N16" s="221" t="s">
        <v>88</v>
      </c>
      <c r="O16" s="222" t="s">
        <v>175</v>
      </c>
      <c r="P16" s="223">
        <v>5377.2236252919756</v>
      </c>
      <c r="Q16" s="221" t="s">
        <v>90</v>
      </c>
      <c r="R16" s="222" t="s">
        <v>175</v>
      </c>
      <c r="S16" s="223">
        <v>7496.6928441708405</v>
      </c>
      <c r="T16" s="221" t="s">
        <v>91</v>
      </c>
      <c r="U16" s="222" t="s">
        <v>175</v>
      </c>
      <c r="V16" s="223">
        <v>8933.0476539351275</v>
      </c>
      <c r="W16" s="217"/>
      <c r="X16" s="218" t="s">
        <v>87</v>
      </c>
      <c r="Y16" s="219" t="s">
        <v>175</v>
      </c>
      <c r="Z16" s="220">
        <v>764.66747573719113</v>
      </c>
      <c r="AA16" s="221" t="s">
        <v>88</v>
      </c>
      <c r="AB16" s="222" t="s">
        <v>175</v>
      </c>
      <c r="AC16" s="223">
        <v>867.16577200309621</v>
      </c>
      <c r="AD16" s="221" t="s">
        <v>92</v>
      </c>
      <c r="AE16" s="222" t="s">
        <v>175</v>
      </c>
      <c r="AF16" s="223">
        <v>1257.079023083777</v>
      </c>
      <c r="AG16" s="221" t="s">
        <v>85</v>
      </c>
      <c r="AH16" s="222" t="s">
        <v>175</v>
      </c>
      <c r="AI16" s="223">
        <v>1874.4851955241993</v>
      </c>
    </row>
    <row r="17" spans="2:35" x14ac:dyDescent="0.25">
      <c r="B17" s="194" t="s">
        <v>170</v>
      </c>
      <c r="C17" s="195">
        <v>5</v>
      </c>
      <c r="D17" s="194">
        <v>150</v>
      </c>
      <c r="E17" s="194">
        <v>9</v>
      </c>
      <c r="F17" s="202">
        <v>7542.8737034161522</v>
      </c>
      <c r="G17" s="201">
        <v>2574.7072099400802</v>
      </c>
      <c r="H17" s="209">
        <v>1300</v>
      </c>
      <c r="I17" s="209">
        <v>560</v>
      </c>
      <c r="J17" s="210"/>
      <c r="K17" s="218" t="s">
        <v>89</v>
      </c>
      <c r="L17" s="219" t="s">
        <v>175</v>
      </c>
      <c r="M17" s="220">
        <v>2444.8236079697745</v>
      </c>
      <c r="N17" s="221" t="s">
        <v>88</v>
      </c>
      <c r="O17" s="222" t="s">
        <v>175</v>
      </c>
      <c r="P17" s="223">
        <v>5377.2236252919756</v>
      </c>
      <c r="Q17" s="221" t="s">
        <v>90</v>
      </c>
      <c r="R17" s="222" t="s">
        <v>175</v>
      </c>
      <c r="S17" s="223">
        <v>7496.6928441708405</v>
      </c>
      <c r="T17" s="221" t="s">
        <v>91</v>
      </c>
      <c r="U17" s="222" t="s">
        <v>175</v>
      </c>
      <c r="V17" s="223">
        <v>8933.0476539351275</v>
      </c>
      <c r="W17" s="217"/>
      <c r="X17" s="218" t="s">
        <v>87</v>
      </c>
      <c r="Y17" s="219" t="s">
        <v>175</v>
      </c>
      <c r="Z17" s="220">
        <v>764.66747573719113</v>
      </c>
      <c r="AA17" s="221" t="s">
        <v>88</v>
      </c>
      <c r="AB17" s="222" t="s">
        <v>175</v>
      </c>
      <c r="AC17" s="223">
        <v>867.16577200309621</v>
      </c>
      <c r="AD17" s="221" t="s">
        <v>92</v>
      </c>
      <c r="AE17" s="222" t="s">
        <v>175</v>
      </c>
      <c r="AF17" s="223">
        <v>1257.079023083777</v>
      </c>
      <c r="AG17" s="221" t="s">
        <v>85</v>
      </c>
      <c r="AH17" s="222" t="s">
        <v>175</v>
      </c>
      <c r="AI17" s="223">
        <v>1874.4851955241993</v>
      </c>
    </row>
    <row r="18" spans="2:35" x14ac:dyDescent="0.25">
      <c r="B18" s="194" t="s">
        <v>171</v>
      </c>
      <c r="C18" s="195">
        <v>5</v>
      </c>
      <c r="D18" s="194">
        <v>150</v>
      </c>
      <c r="E18" s="194">
        <v>9</v>
      </c>
      <c r="F18" s="202">
        <v>7542.8737034161522</v>
      </c>
      <c r="G18" s="201">
        <v>2574.7072099400802</v>
      </c>
      <c r="H18" s="209">
        <v>1300</v>
      </c>
      <c r="I18" s="209">
        <v>560</v>
      </c>
      <c r="J18" s="210"/>
      <c r="K18" s="218" t="s">
        <v>89</v>
      </c>
      <c r="L18" s="219" t="s">
        <v>175</v>
      </c>
      <c r="M18" s="220">
        <v>2444.8236079697745</v>
      </c>
      <c r="N18" s="221" t="s">
        <v>88</v>
      </c>
      <c r="O18" s="222" t="s">
        <v>175</v>
      </c>
      <c r="P18" s="223">
        <v>5377.2236252919756</v>
      </c>
      <c r="Q18" s="221" t="s">
        <v>90</v>
      </c>
      <c r="R18" s="222" t="s">
        <v>175</v>
      </c>
      <c r="S18" s="223">
        <v>7496.6928441708405</v>
      </c>
      <c r="T18" s="221" t="s">
        <v>91</v>
      </c>
      <c r="U18" s="222" t="s">
        <v>175</v>
      </c>
      <c r="V18" s="223">
        <v>8933.0476539351275</v>
      </c>
      <c r="W18" s="217"/>
      <c r="X18" s="218" t="s">
        <v>87</v>
      </c>
      <c r="Y18" s="219" t="s">
        <v>175</v>
      </c>
      <c r="Z18" s="220">
        <v>764.66747573719113</v>
      </c>
      <c r="AA18" s="221" t="s">
        <v>88</v>
      </c>
      <c r="AB18" s="222" t="s">
        <v>175</v>
      </c>
      <c r="AC18" s="223">
        <v>867.16577200309621</v>
      </c>
      <c r="AD18" s="221" t="s">
        <v>92</v>
      </c>
      <c r="AE18" s="222" t="s">
        <v>175</v>
      </c>
      <c r="AF18" s="223">
        <v>1257.079023083777</v>
      </c>
      <c r="AG18" s="221" t="s">
        <v>85</v>
      </c>
      <c r="AH18" s="222" t="s">
        <v>175</v>
      </c>
      <c r="AI18" s="223">
        <v>1874.4851955241993</v>
      </c>
    </row>
    <row r="19" spans="2:35" x14ac:dyDescent="0.25">
      <c r="B19" s="194" t="s">
        <v>172</v>
      </c>
      <c r="C19" s="195">
        <v>5</v>
      </c>
      <c r="D19" s="194">
        <v>150</v>
      </c>
      <c r="E19" s="194">
        <v>9</v>
      </c>
      <c r="F19" s="202">
        <v>7542.8737034161522</v>
      </c>
      <c r="G19" s="201">
        <v>2574.7072099400802</v>
      </c>
      <c r="H19" s="209">
        <v>1300</v>
      </c>
      <c r="I19" s="209">
        <v>560</v>
      </c>
      <c r="J19" s="210"/>
      <c r="K19" s="218" t="s">
        <v>89</v>
      </c>
      <c r="L19" s="219" t="s">
        <v>175</v>
      </c>
      <c r="M19" s="220">
        <v>2444.8236079697745</v>
      </c>
      <c r="N19" s="221" t="s">
        <v>88</v>
      </c>
      <c r="O19" s="222" t="s">
        <v>175</v>
      </c>
      <c r="P19" s="223">
        <v>5377.2236252919756</v>
      </c>
      <c r="Q19" s="221" t="s">
        <v>90</v>
      </c>
      <c r="R19" s="222" t="s">
        <v>175</v>
      </c>
      <c r="S19" s="223">
        <v>7496.6928441708405</v>
      </c>
      <c r="T19" s="221" t="s">
        <v>91</v>
      </c>
      <c r="U19" s="222" t="s">
        <v>175</v>
      </c>
      <c r="V19" s="223">
        <v>8933.0476539351275</v>
      </c>
      <c r="W19" s="217"/>
      <c r="X19" s="218" t="s">
        <v>87</v>
      </c>
      <c r="Y19" s="219" t="s">
        <v>175</v>
      </c>
      <c r="Z19" s="220">
        <v>764.66747573719113</v>
      </c>
      <c r="AA19" s="221" t="s">
        <v>88</v>
      </c>
      <c r="AB19" s="222" t="s">
        <v>175</v>
      </c>
      <c r="AC19" s="223">
        <v>867.16577200309621</v>
      </c>
      <c r="AD19" s="221" t="s">
        <v>92</v>
      </c>
      <c r="AE19" s="222" t="s">
        <v>175</v>
      </c>
      <c r="AF19" s="223">
        <v>1257.079023083777</v>
      </c>
      <c r="AG19" s="221" t="s">
        <v>85</v>
      </c>
      <c r="AH19" s="222" t="s">
        <v>175</v>
      </c>
      <c r="AI19" s="223">
        <v>1874.4851955241993</v>
      </c>
    </row>
    <row r="20" spans="2:35" x14ac:dyDescent="0.25">
      <c r="B20" s="194" t="s">
        <v>177</v>
      </c>
      <c r="C20" s="195">
        <v>5</v>
      </c>
      <c r="D20" s="194">
        <v>25</v>
      </c>
      <c r="E20" s="194">
        <v>8.5</v>
      </c>
      <c r="F20" s="202">
        <v>7542.8737034161522</v>
      </c>
      <c r="G20" s="201">
        <v>6324.5275664384071</v>
      </c>
      <c r="H20" s="226">
        <v>3200</v>
      </c>
      <c r="I20" s="226">
        <v>1400</v>
      </c>
      <c r="J20" s="227"/>
      <c r="K20" s="228" t="s">
        <v>89</v>
      </c>
      <c r="L20" s="229" t="s">
        <v>175</v>
      </c>
      <c r="M20" s="230">
        <v>6005.4806402797849</v>
      </c>
      <c r="N20" s="231" t="s">
        <v>88</v>
      </c>
      <c r="O20" s="232" t="s">
        <v>175</v>
      </c>
      <c r="P20" s="233">
        <v>13208.647149379653</v>
      </c>
      <c r="Q20" s="231" t="s">
        <v>90</v>
      </c>
      <c r="R20" s="232" t="s">
        <v>175</v>
      </c>
      <c r="S20" s="233">
        <v>18414.925148394708</v>
      </c>
      <c r="T20" s="231" t="s">
        <v>91</v>
      </c>
      <c r="U20" s="232" t="s">
        <v>175</v>
      </c>
      <c r="V20" s="233">
        <v>21943.196461913187</v>
      </c>
      <c r="W20" s="234"/>
      <c r="X20" s="228" t="s">
        <v>87</v>
      </c>
      <c r="Y20" s="229" t="s">
        <v>175</v>
      </c>
      <c r="Z20" s="230">
        <v>1878.3341697214576</v>
      </c>
      <c r="AA20" s="231" t="s">
        <v>88</v>
      </c>
      <c r="AB20" s="232" t="s">
        <v>175</v>
      </c>
      <c r="AC20" s="233">
        <v>2130.1116525140569</v>
      </c>
      <c r="AD20" s="231" t="s">
        <v>92</v>
      </c>
      <c r="AE20" s="232" t="s">
        <v>175</v>
      </c>
      <c r="AF20" s="233">
        <v>3087.8971030145412</v>
      </c>
      <c r="AG20" s="231" t="s">
        <v>85</v>
      </c>
      <c r="AH20" s="232" t="s">
        <v>175</v>
      </c>
      <c r="AI20" s="233">
        <v>4604.4976478118197</v>
      </c>
    </row>
    <row r="21" spans="2:35" x14ac:dyDescent="0.25">
      <c r="B21" s="194" t="s">
        <v>178</v>
      </c>
      <c r="C21" s="195">
        <v>5</v>
      </c>
      <c r="D21" s="194">
        <v>50</v>
      </c>
      <c r="E21" s="194">
        <v>8.5</v>
      </c>
      <c r="F21" s="202">
        <v>7542.8737034161522</v>
      </c>
      <c r="G21" s="201">
        <v>6138.8044609925555</v>
      </c>
      <c r="H21" s="226">
        <v>3100</v>
      </c>
      <c r="I21" s="226">
        <v>1300</v>
      </c>
      <c r="J21" s="227"/>
      <c r="K21" s="228" t="s">
        <v>89</v>
      </c>
      <c r="L21" s="229" t="s">
        <v>175</v>
      </c>
      <c r="M21" s="230">
        <v>5829.1265169892458</v>
      </c>
      <c r="N21" s="231" t="s">
        <v>88</v>
      </c>
      <c r="O21" s="232" t="s">
        <v>175</v>
      </c>
      <c r="P21" s="233">
        <v>12820.768222211143</v>
      </c>
      <c r="Q21" s="231" t="s">
        <v>90</v>
      </c>
      <c r="R21" s="232" t="s">
        <v>175</v>
      </c>
      <c r="S21" s="233">
        <v>17874.161107257998</v>
      </c>
      <c r="T21" s="231" t="s">
        <v>91</v>
      </c>
      <c r="U21" s="232" t="s">
        <v>175</v>
      </c>
      <c r="V21" s="233">
        <v>21298.822862858149</v>
      </c>
      <c r="W21" s="234"/>
      <c r="X21" s="228" t="s">
        <v>87</v>
      </c>
      <c r="Y21" s="229" t="s">
        <v>175</v>
      </c>
      <c r="Z21" s="230">
        <v>1823.1758908776048</v>
      </c>
      <c r="AA21" s="231" t="s">
        <v>88</v>
      </c>
      <c r="AB21" s="232" t="s">
        <v>175</v>
      </c>
      <c r="AC21" s="233">
        <v>2067.559794387912</v>
      </c>
      <c r="AD21" s="231" t="s">
        <v>92</v>
      </c>
      <c r="AE21" s="232" t="s">
        <v>175</v>
      </c>
      <c r="AF21" s="233">
        <v>2997.2193672874346</v>
      </c>
      <c r="AG21" s="231" t="s">
        <v>85</v>
      </c>
      <c r="AH21" s="232" t="s">
        <v>175</v>
      </c>
      <c r="AI21" s="233">
        <v>4469.284132938953</v>
      </c>
    </row>
    <row r="22" spans="2:35" x14ac:dyDescent="0.25">
      <c r="B22" s="194" t="s">
        <v>179</v>
      </c>
      <c r="C22" s="195">
        <v>5</v>
      </c>
      <c r="D22" s="194">
        <v>75</v>
      </c>
      <c r="E22" s="194">
        <v>8.5</v>
      </c>
      <c r="F22" s="202">
        <v>7542.8737034161522</v>
      </c>
      <c r="G22" s="201">
        <v>6032.7020429132162</v>
      </c>
      <c r="H22" s="226">
        <v>3000</v>
      </c>
      <c r="I22" s="226">
        <v>1300</v>
      </c>
      <c r="J22" s="227"/>
      <c r="K22" s="228" t="s">
        <v>89</v>
      </c>
      <c r="L22" s="229" t="s">
        <v>175</v>
      </c>
      <c r="M22" s="230">
        <v>5728.3765382806296</v>
      </c>
      <c r="N22" s="231" t="s">
        <v>88</v>
      </c>
      <c r="O22" s="232" t="s">
        <v>175</v>
      </c>
      <c r="P22" s="233">
        <v>12599.175480716987</v>
      </c>
      <c r="Q22" s="231" t="s">
        <v>90</v>
      </c>
      <c r="R22" s="232" t="s">
        <v>175</v>
      </c>
      <c r="S22" s="233">
        <v>17565.226081445442</v>
      </c>
      <c r="T22" s="231" t="s">
        <v>91</v>
      </c>
      <c r="U22" s="232" t="s">
        <v>175</v>
      </c>
      <c r="V22" s="233">
        <v>20930.696361623792</v>
      </c>
      <c r="W22" s="234"/>
      <c r="X22" s="228" t="s">
        <v>87</v>
      </c>
      <c r="Y22" s="229" t="s">
        <v>175</v>
      </c>
      <c r="Z22" s="230">
        <v>1791.6643202070018</v>
      </c>
      <c r="AA22" s="231" t="s">
        <v>88</v>
      </c>
      <c r="AB22" s="232" t="s">
        <v>175</v>
      </c>
      <c r="AC22" s="233">
        <v>2031.8243193289536</v>
      </c>
      <c r="AD22" s="231" t="s">
        <v>92</v>
      </c>
      <c r="AE22" s="232" t="s">
        <v>175</v>
      </c>
      <c r="AF22" s="233">
        <v>2945.4157588807261</v>
      </c>
      <c r="AG22" s="231" t="s">
        <v>85</v>
      </c>
      <c r="AH22" s="232" t="s">
        <v>175</v>
      </c>
      <c r="AI22" s="233">
        <v>4392.0375197587491</v>
      </c>
    </row>
    <row r="23" spans="2:35" x14ac:dyDescent="0.25">
      <c r="B23" s="194" t="s">
        <v>180</v>
      </c>
      <c r="C23" s="195">
        <v>5</v>
      </c>
      <c r="D23" s="194">
        <v>100</v>
      </c>
      <c r="E23" s="194">
        <v>8.5</v>
      </c>
      <c r="F23" s="202">
        <v>7542.8737034161522</v>
      </c>
      <c r="G23" s="201">
        <v>5958.5352130145784</v>
      </c>
      <c r="H23" s="226">
        <v>3000</v>
      </c>
      <c r="I23" s="226">
        <v>1300</v>
      </c>
      <c r="J23" s="227"/>
      <c r="K23" s="228" t="s">
        <v>89</v>
      </c>
      <c r="L23" s="229" t="s">
        <v>175</v>
      </c>
      <c r="M23" s="230">
        <v>5657.9511260374666</v>
      </c>
      <c r="N23" s="231" t="s">
        <v>88</v>
      </c>
      <c r="O23" s="232" t="s">
        <v>175</v>
      </c>
      <c r="P23" s="233">
        <v>12444.279565404175</v>
      </c>
      <c r="Q23" s="231" t="s">
        <v>90</v>
      </c>
      <c r="R23" s="232" t="s">
        <v>175</v>
      </c>
      <c r="S23" s="233">
        <v>17349.27688891883</v>
      </c>
      <c r="T23" s="231" t="s">
        <v>91</v>
      </c>
      <c r="U23" s="232" t="s">
        <v>175</v>
      </c>
      <c r="V23" s="233">
        <v>20673.371636205829</v>
      </c>
      <c r="W23" s="234"/>
      <c r="X23" s="228" t="s">
        <v>87</v>
      </c>
      <c r="Y23" s="229" t="s">
        <v>175</v>
      </c>
      <c r="Z23" s="230">
        <v>1769.6373641386058</v>
      </c>
      <c r="AA23" s="231" t="s">
        <v>88</v>
      </c>
      <c r="AB23" s="232" t="s">
        <v>175</v>
      </c>
      <c r="AC23" s="233">
        <v>2006.8448047425452</v>
      </c>
      <c r="AD23" s="231" t="s">
        <v>92</v>
      </c>
      <c r="AE23" s="232" t="s">
        <v>175</v>
      </c>
      <c r="AF23" s="233">
        <v>2909.2044313500587</v>
      </c>
      <c r="AG23" s="231" t="s">
        <v>97</v>
      </c>
      <c r="AH23" s="232" t="s">
        <v>175</v>
      </c>
      <c r="AI23" s="233">
        <v>4126.4239149970472</v>
      </c>
    </row>
    <row r="24" spans="2:35" x14ac:dyDescent="0.25">
      <c r="B24" s="194" t="s">
        <v>181</v>
      </c>
      <c r="C24" s="195">
        <v>5</v>
      </c>
      <c r="D24" s="194">
        <v>150</v>
      </c>
      <c r="E24" s="194">
        <v>8.5</v>
      </c>
      <c r="F24" s="202">
        <v>7542.8737034161522</v>
      </c>
      <c r="G24" s="201">
        <v>5855.5485487011192</v>
      </c>
      <c r="H24" s="226">
        <v>2900</v>
      </c>
      <c r="I24" s="226">
        <v>1500</v>
      </c>
      <c r="J24" s="227"/>
      <c r="K24" s="228" t="s">
        <v>89</v>
      </c>
      <c r="L24" s="229" t="s">
        <v>175</v>
      </c>
      <c r="M24" s="230">
        <v>5560.1597238743243</v>
      </c>
      <c r="N24" s="231" t="s">
        <v>88</v>
      </c>
      <c r="O24" s="232" t="s">
        <v>175</v>
      </c>
      <c r="P24" s="233">
        <v>12229.194012259193</v>
      </c>
      <c r="Q24" s="231" t="s">
        <v>90</v>
      </c>
      <c r="R24" s="232" t="s">
        <v>175</v>
      </c>
      <c r="S24" s="233">
        <v>17049.413903946021</v>
      </c>
      <c r="T24" s="231" t="s">
        <v>91</v>
      </c>
      <c r="U24" s="232" t="s">
        <v>175</v>
      </c>
      <c r="V24" s="233">
        <v>20316.055364872027</v>
      </c>
      <c r="W24" s="234"/>
      <c r="X24" s="228" t="s">
        <v>87</v>
      </c>
      <c r="Y24" s="229" t="s">
        <v>175</v>
      </c>
      <c r="Z24" s="230">
        <v>1739.0511474491395</v>
      </c>
      <c r="AA24" s="231" t="s">
        <v>88</v>
      </c>
      <c r="AB24" s="232" t="s">
        <v>175</v>
      </c>
      <c r="AC24" s="233">
        <v>1972.1587208567291</v>
      </c>
      <c r="AD24" s="231" t="s">
        <v>92</v>
      </c>
      <c r="AE24" s="232" t="s">
        <v>175</v>
      </c>
      <c r="AF24" s="233">
        <v>2858.9220633720624</v>
      </c>
      <c r="AG24" s="231" t="s">
        <v>97</v>
      </c>
      <c r="AH24" s="232" t="s">
        <v>175</v>
      </c>
      <c r="AI24" s="233">
        <v>3037.0283776868923</v>
      </c>
    </row>
    <row r="25" spans="2:35" x14ac:dyDescent="0.25">
      <c r="B25" s="194" t="s">
        <v>182</v>
      </c>
      <c r="C25" s="195">
        <v>5</v>
      </c>
      <c r="D25" s="194">
        <v>150</v>
      </c>
      <c r="E25" s="194">
        <v>8.5</v>
      </c>
      <c r="F25" s="202">
        <v>7542.8737034161522</v>
      </c>
      <c r="G25" s="201">
        <v>5855.5485487011192</v>
      </c>
      <c r="H25" s="226">
        <v>2900</v>
      </c>
      <c r="I25" s="226">
        <v>1500</v>
      </c>
      <c r="J25" s="227"/>
      <c r="K25" s="228" t="s">
        <v>89</v>
      </c>
      <c r="L25" s="229" t="s">
        <v>175</v>
      </c>
      <c r="M25" s="230">
        <v>5560.1597238743243</v>
      </c>
      <c r="N25" s="231" t="s">
        <v>88</v>
      </c>
      <c r="O25" s="232" t="s">
        <v>175</v>
      </c>
      <c r="P25" s="233">
        <v>12229.194012259193</v>
      </c>
      <c r="Q25" s="231" t="s">
        <v>90</v>
      </c>
      <c r="R25" s="232" t="s">
        <v>175</v>
      </c>
      <c r="S25" s="233">
        <v>17049.413903946021</v>
      </c>
      <c r="T25" s="231" t="s">
        <v>91</v>
      </c>
      <c r="U25" s="232" t="s">
        <v>175</v>
      </c>
      <c r="V25" s="233">
        <v>20316.055364872027</v>
      </c>
      <c r="W25" s="234"/>
      <c r="X25" s="228" t="s">
        <v>87</v>
      </c>
      <c r="Y25" s="229" t="s">
        <v>175</v>
      </c>
      <c r="Z25" s="230">
        <v>1739.0511474491395</v>
      </c>
      <c r="AA25" s="231" t="s">
        <v>88</v>
      </c>
      <c r="AB25" s="232" t="s">
        <v>175</v>
      </c>
      <c r="AC25" s="233">
        <v>1972.1587208567291</v>
      </c>
      <c r="AD25" s="231" t="s">
        <v>92</v>
      </c>
      <c r="AE25" s="232" t="s">
        <v>175</v>
      </c>
      <c r="AF25" s="233">
        <v>2858.9220633720624</v>
      </c>
      <c r="AG25" s="231" t="s">
        <v>97</v>
      </c>
      <c r="AH25" s="232" t="s">
        <v>175</v>
      </c>
      <c r="AI25" s="233">
        <v>3037.0283776868923</v>
      </c>
    </row>
    <row r="26" spans="2:35" x14ac:dyDescent="0.25">
      <c r="B26" s="194" t="s">
        <v>183</v>
      </c>
      <c r="C26" s="195">
        <v>5</v>
      </c>
      <c r="D26" s="194">
        <v>150</v>
      </c>
      <c r="E26" s="194">
        <v>8.5</v>
      </c>
      <c r="F26" s="202">
        <v>7542.8737034161522</v>
      </c>
      <c r="G26" s="201">
        <v>5855.5485487011192</v>
      </c>
      <c r="H26" s="226">
        <v>2900</v>
      </c>
      <c r="I26" s="226">
        <v>1500</v>
      </c>
      <c r="J26" s="227"/>
      <c r="K26" s="228" t="s">
        <v>89</v>
      </c>
      <c r="L26" s="229" t="s">
        <v>175</v>
      </c>
      <c r="M26" s="230">
        <v>5560.1597238743243</v>
      </c>
      <c r="N26" s="231" t="s">
        <v>88</v>
      </c>
      <c r="O26" s="232" t="s">
        <v>175</v>
      </c>
      <c r="P26" s="233">
        <v>12229.194012259193</v>
      </c>
      <c r="Q26" s="231" t="s">
        <v>90</v>
      </c>
      <c r="R26" s="232" t="s">
        <v>175</v>
      </c>
      <c r="S26" s="233">
        <v>17049.413903946021</v>
      </c>
      <c r="T26" s="231" t="s">
        <v>91</v>
      </c>
      <c r="U26" s="232" t="s">
        <v>175</v>
      </c>
      <c r="V26" s="233">
        <v>20316.055364872027</v>
      </c>
      <c r="W26" s="234"/>
      <c r="X26" s="228" t="s">
        <v>87</v>
      </c>
      <c r="Y26" s="229" t="s">
        <v>175</v>
      </c>
      <c r="Z26" s="230">
        <v>1739.0511474491395</v>
      </c>
      <c r="AA26" s="231" t="s">
        <v>88</v>
      </c>
      <c r="AB26" s="232" t="s">
        <v>175</v>
      </c>
      <c r="AC26" s="233">
        <v>1972.1587208567291</v>
      </c>
      <c r="AD26" s="231" t="s">
        <v>92</v>
      </c>
      <c r="AE26" s="232" t="s">
        <v>175</v>
      </c>
      <c r="AF26" s="233">
        <v>2858.9220633720624</v>
      </c>
      <c r="AG26" s="231" t="s">
        <v>97</v>
      </c>
      <c r="AH26" s="232" t="s">
        <v>175</v>
      </c>
      <c r="AI26" s="233">
        <v>3037.0283776868923</v>
      </c>
    </row>
    <row r="27" spans="2:35" x14ac:dyDescent="0.25">
      <c r="B27" s="194" t="s">
        <v>184</v>
      </c>
      <c r="C27" s="195">
        <v>5</v>
      </c>
      <c r="D27" s="194">
        <v>150</v>
      </c>
      <c r="E27" s="194">
        <v>8.5</v>
      </c>
      <c r="F27" s="202">
        <v>7542.8737034161522</v>
      </c>
      <c r="G27" s="201">
        <v>5855.5485487011192</v>
      </c>
      <c r="H27" s="226">
        <v>2900</v>
      </c>
      <c r="I27" s="226">
        <v>1500</v>
      </c>
      <c r="J27" s="227"/>
      <c r="K27" s="228" t="s">
        <v>89</v>
      </c>
      <c r="L27" s="229" t="s">
        <v>175</v>
      </c>
      <c r="M27" s="230">
        <v>5560.1597238743243</v>
      </c>
      <c r="N27" s="231" t="s">
        <v>88</v>
      </c>
      <c r="O27" s="232" t="s">
        <v>175</v>
      </c>
      <c r="P27" s="233">
        <v>12229.194012259193</v>
      </c>
      <c r="Q27" s="231" t="s">
        <v>90</v>
      </c>
      <c r="R27" s="232" t="s">
        <v>175</v>
      </c>
      <c r="S27" s="233">
        <v>17049.413903946021</v>
      </c>
      <c r="T27" s="231" t="s">
        <v>91</v>
      </c>
      <c r="U27" s="232" t="s">
        <v>175</v>
      </c>
      <c r="V27" s="233">
        <v>20316.055364872027</v>
      </c>
      <c r="W27" s="234"/>
      <c r="X27" s="228" t="s">
        <v>87</v>
      </c>
      <c r="Y27" s="229" t="s">
        <v>175</v>
      </c>
      <c r="Z27" s="230">
        <v>1739.0511474491395</v>
      </c>
      <c r="AA27" s="231" t="s">
        <v>88</v>
      </c>
      <c r="AB27" s="232" t="s">
        <v>175</v>
      </c>
      <c r="AC27" s="233">
        <v>1972.1587208567291</v>
      </c>
      <c r="AD27" s="231" t="s">
        <v>92</v>
      </c>
      <c r="AE27" s="232" t="s">
        <v>175</v>
      </c>
      <c r="AF27" s="233">
        <v>2858.9220633720624</v>
      </c>
      <c r="AG27" s="231" t="s">
        <v>97</v>
      </c>
      <c r="AH27" s="232" t="s">
        <v>175</v>
      </c>
      <c r="AI27" s="233">
        <v>3037.0283776868923</v>
      </c>
    </row>
    <row r="28" spans="2:35" x14ac:dyDescent="0.25">
      <c r="B28" s="194" t="s">
        <v>185</v>
      </c>
      <c r="C28" s="195">
        <v>5</v>
      </c>
      <c r="D28" s="194">
        <v>150</v>
      </c>
      <c r="E28" s="194">
        <v>8.5</v>
      </c>
      <c r="F28" s="202">
        <v>7542.8737034161522</v>
      </c>
      <c r="G28" s="201">
        <v>5855.5485487011192</v>
      </c>
      <c r="H28" s="226">
        <v>2900</v>
      </c>
      <c r="I28" s="226">
        <v>1500</v>
      </c>
      <c r="J28" s="227"/>
      <c r="K28" s="228" t="s">
        <v>89</v>
      </c>
      <c r="L28" s="229" t="s">
        <v>175</v>
      </c>
      <c r="M28" s="230">
        <v>5560.1597238743243</v>
      </c>
      <c r="N28" s="231" t="s">
        <v>88</v>
      </c>
      <c r="O28" s="232" t="s">
        <v>175</v>
      </c>
      <c r="P28" s="233">
        <v>12229.194012259193</v>
      </c>
      <c r="Q28" s="231" t="s">
        <v>90</v>
      </c>
      <c r="R28" s="232" t="s">
        <v>175</v>
      </c>
      <c r="S28" s="233">
        <v>17049.413903946021</v>
      </c>
      <c r="T28" s="231" t="s">
        <v>91</v>
      </c>
      <c r="U28" s="232" t="s">
        <v>175</v>
      </c>
      <c r="V28" s="233">
        <v>20316.055364872027</v>
      </c>
      <c r="W28" s="234"/>
      <c r="X28" s="228" t="s">
        <v>87</v>
      </c>
      <c r="Y28" s="229" t="s">
        <v>175</v>
      </c>
      <c r="Z28" s="230">
        <v>1739.0511474491395</v>
      </c>
      <c r="AA28" s="231" t="s">
        <v>88</v>
      </c>
      <c r="AB28" s="232" t="s">
        <v>175</v>
      </c>
      <c r="AC28" s="233">
        <v>1972.1587208567291</v>
      </c>
      <c r="AD28" s="231" t="s">
        <v>92</v>
      </c>
      <c r="AE28" s="232" t="s">
        <v>175</v>
      </c>
      <c r="AF28" s="233">
        <v>2858.9220633720624</v>
      </c>
      <c r="AG28" s="231" t="s">
        <v>97</v>
      </c>
      <c r="AH28" s="232" t="s">
        <v>175</v>
      </c>
      <c r="AI28" s="233">
        <v>3037.0283776868923</v>
      </c>
    </row>
    <row r="29" spans="2:35" ht="15.75" thickBot="1" x14ac:dyDescent="0.3">
      <c r="B29" s="194" t="s">
        <v>186</v>
      </c>
      <c r="C29" s="195">
        <v>5</v>
      </c>
      <c r="D29" s="194">
        <v>150</v>
      </c>
      <c r="E29" s="194">
        <v>8.5</v>
      </c>
      <c r="F29" s="202">
        <v>7542.8737034161522</v>
      </c>
      <c r="G29" s="201">
        <v>5855.5485487011192</v>
      </c>
      <c r="H29" s="226">
        <v>2900</v>
      </c>
      <c r="I29" s="226">
        <v>1500</v>
      </c>
      <c r="J29" s="227"/>
      <c r="K29" s="235" t="s">
        <v>89</v>
      </c>
      <c r="L29" s="236" t="s">
        <v>175</v>
      </c>
      <c r="M29" s="237">
        <v>5560.1597238743243</v>
      </c>
      <c r="N29" s="238" t="s">
        <v>88</v>
      </c>
      <c r="O29" s="239" t="s">
        <v>175</v>
      </c>
      <c r="P29" s="240">
        <v>12229.194012259193</v>
      </c>
      <c r="Q29" s="238" t="s">
        <v>90</v>
      </c>
      <c r="R29" s="239" t="s">
        <v>175</v>
      </c>
      <c r="S29" s="240">
        <v>17049.413903946021</v>
      </c>
      <c r="T29" s="238" t="s">
        <v>91</v>
      </c>
      <c r="U29" s="239" t="s">
        <v>175</v>
      </c>
      <c r="V29" s="240">
        <v>20316.055364872027</v>
      </c>
      <c r="W29" s="234"/>
      <c r="X29" s="235" t="s">
        <v>87</v>
      </c>
      <c r="Y29" s="236" t="s">
        <v>175</v>
      </c>
      <c r="Z29" s="237">
        <v>1739.0511474491395</v>
      </c>
      <c r="AA29" s="238" t="s">
        <v>88</v>
      </c>
      <c r="AB29" s="239" t="s">
        <v>175</v>
      </c>
      <c r="AC29" s="240">
        <v>1972.1587208567291</v>
      </c>
      <c r="AD29" s="238" t="s">
        <v>92</v>
      </c>
      <c r="AE29" s="239" t="s">
        <v>175</v>
      </c>
      <c r="AF29" s="240">
        <v>2858.9220633720624</v>
      </c>
      <c r="AG29" s="238" t="s">
        <v>97</v>
      </c>
      <c r="AH29" s="239" t="s">
        <v>175</v>
      </c>
      <c r="AI29" s="240">
        <v>3037.0283776868923</v>
      </c>
    </row>
  </sheetData>
  <sheetProtection password="8B69" sheet="1" objects="1" scenarios="1"/>
  <customSheetViews>
    <customSheetView guid="{08FB27BF-4D9B-4966-8486-12381E101C6E}">
      <pane ySplit="9" topLeftCell="A10" activePane="bottomLeft" state="frozen"/>
      <selection pane="bottomLeft" activeCell="N21" sqref="N21"/>
      <pageMargins left="0.7" right="0.7" top="0.75" bottom="0.75" header="0.3" footer="0.3"/>
      <pageSetup orientation="portrait" r:id="rId1"/>
    </customSheetView>
  </customSheetViews>
  <mergeCells count="19">
    <mergeCell ref="Y9:Z9"/>
    <mergeCell ref="AB9:AC9"/>
    <mergeCell ref="AE9:AF9"/>
    <mergeCell ref="AH9:AI9"/>
    <mergeCell ref="L9:M9"/>
    <mergeCell ref="O9:P9"/>
    <mergeCell ref="R9:S9"/>
    <mergeCell ref="U9:V9"/>
    <mergeCell ref="K8:M8"/>
    <mergeCell ref="N8:P8"/>
    <mergeCell ref="T8:V8"/>
    <mergeCell ref="B7:E7"/>
    <mergeCell ref="K7:V7"/>
    <mergeCell ref="Q8:S8"/>
    <mergeCell ref="X7:AI7"/>
    <mergeCell ref="X8:Z8"/>
    <mergeCell ref="AA8:AC8"/>
    <mergeCell ref="AD8:AF8"/>
    <mergeCell ref="AG8:AI8"/>
  </mergeCells>
  <pageMargins left="0.7" right="0.7" top="0.75" bottom="0.75" header="0.3" footer="0.3"/>
  <pageSetup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6" r:id="rId5" name="Button 2">
              <controlPr locked="0" defaultSize="0" print="0" autoFill="0" autoPict="0" macro="[0]!findCriteria_no_extrap">
                <anchor moveWithCells="1" sizeWithCells="1">
                  <from>
                    <xdr:col>1</xdr:col>
                    <xdr:colOff>47625</xdr:colOff>
                    <xdr:row>0</xdr:row>
                    <xdr:rowOff>76200</xdr:rowOff>
                  </from>
                  <to>
                    <xdr:col>2</xdr:col>
                    <xdr:colOff>466725</xdr:colOff>
                    <xdr:row>5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T42"/>
  <sheetViews>
    <sheetView zoomScale="90" zoomScaleNormal="90" workbookViewId="0">
      <selection activeCell="C4" sqref="C4"/>
    </sheetView>
  </sheetViews>
  <sheetFormatPr defaultRowHeight="15" x14ac:dyDescent="0.25"/>
  <cols>
    <col min="1" max="1" width="1.42578125" style="110" customWidth="1"/>
    <col min="2" max="2" width="19.42578125" style="110" bestFit="1" customWidth="1"/>
    <col min="3" max="3" width="4.42578125" style="110" bestFit="1" customWidth="1"/>
    <col min="4" max="4" width="9.5703125" style="110" customWidth="1"/>
    <col min="5" max="5" width="14.7109375" style="110" bestFit="1" customWidth="1"/>
    <col min="6" max="6" width="6.85546875" style="110" bestFit="1" customWidth="1"/>
    <col min="7" max="7" width="9.85546875" style="110" bestFit="1" customWidth="1"/>
    <col min="8" max="8" width="10.42578125" style="110" bestFit="1" customWidth="1"/>
    <col min="9" max="9" width="9.85546875" style="110" bestFit="1" customWidth="1"/>
    <col min="10" max="10" width="9.42578125" style="110" customWidth="1"/>
    <col min="11" max="11" width="3.5703125" style="110" customWidth="1"/>
    <col min="12" max="12" width="6.140625" style="110" customWidth="1"/>
    <col min="13" max="13" width="3.28515625" style="110" bestFit="1" customWidth="1"/>
    <col min="14" max="14" width="10" style="110" customWidth="1"/>
    <col min="15" max="15" width="13" style="110" bestFit="1" customWidth="1"/>
    <col min="16" max="16" width="6.85546875" style="110" bestFit="1" customWidth="1"/>
    <col min="17" max="17" width="10" style="110" bestFit="1" customWidth="1"/>
    <col min="18" max="18" width="10.7109375" style="110" bestFit="1" customWidth="1"/>
    <col min="19" max="19" width="10" style="110" bestFit="1" customWidth="1"/>
    <col min="20" max="20" width="7" style="110" bestFit="1" customWidth="1"/>
    <col min="21" max="16384" width="9.140625" style="110"/>
  </cols>
  <sheetData>
    <row r="1" spans="2:18" x14ac:dyDescent="0.25">
      <c r="B1" s="224"/>
      <c r="C1" s="224"/>
      <c r="D1" s="224"/>
      <c r="E1" s="224"/>
    </row>
    <row r="2" spans="2:18" ht="15.75" thickBot="1" x14ac:dyDescent="0.3"/>
    <row r="3" spans="2:18" ht="15.75" customHeight="1" thickBot="1" x14ac:dyDescent="0.3">
      <c r="B3" s="252" t="s">
        <v>80</v>
      </c>
      <c r="C3" s="253"/>
    </row>
    <row r="4" spans="2:18" x14ac:dyDescent="0.25">
      <c r="B4" s="111" t="s">
        <v>81</v>
      </c>
      <c r="C4" s="174">
        <v>8.5</v>
      </c>
      <c r="D4" s="110" t="str">
        <f>IF(AND(6&lt;=C4,C4&lt;=8.1),"","Outside model inputs")</f>
        <v>Outside model inputs</v>
      </c>
      <c r="G4" s="108" t="s">
        <v>106</v>
      </c>
      <c r="H4" s="178">
        <f>E41</f>
        <v>5855.5485487011192</v>
      </c>
    </row>
    <row r="5" spans="2:18" x14ac:dyDescent="0.25">
      <c r="B5" s="111" t="s">
        <v>82</v>
      </c>
      <c r="C5" s="174">
        <v>150</v>
      </c>
      <c r="D5" s="110" t="str">
        <f>IF(AND(9.8&lt;=C5,C5&lt;=127),"","Outside model inputs")</f>
        <v>Outside model inputs</v>
      </c>
      <c r="G5" s="108" t="s">
        <v>105</v>
      </c>
      <c r="H5" s="177">
        <f>ROUND(E42,2-(1+INT(LOG10(ABS(E42)))))</f>
        <v>2900</v>
      </c>
    </row>
    <row r="6" spans="2:18" ht="15.75" thickBot="1" x14ac:dyDescent="0.3">
      <c r="B6" s="112" t="s">
        <v>83</v>
      </c>
      <c r="C6" s="175">
        <v>5</v>
      </c>
      <c r="D6" s="110" t="str">
        <f>IF(AND(0.08&lt;=C6,C6&lt;=5),"","Outside model inputs")</f>
        <v/>
      </c>
      <c r="G6" s="108" t="s">
        <v>107</v>
      </c>
      <c r="H6" s="177">
        <f>ROUND(O41,2-(1+INT(LOG10(ABS(O41)))))</f>
        <v>1500</v>
      </c>
    </row>
    <row r="7" spans="2:18" x14ac:dyDescent="0.25">
      <c r="R7" s="179"/>
    </row>
    <row r="9" spans="2:18" x14ac:dyDescent="0.25">
      <c r="B9" s="110" t="s">
        <v>104</v>
      </c>
      <c r="L9" s="110" t="s">
        <v>119</v>
      </c>
    </row>
    <row r="10" spans="2:18" x14ac:dyDescent="0.25">
      <c r="B10" s="107" t="s">
        <v>108</v>
      </c>
      <c r="C10" s="107"/>
      <c r="D10" s="107" t="s">
        <v>109</v>
      </c>
      <c r="E10" s="107" t="s">
        <v>84</v>
      </c>
      <c r="L10" s="107" t="s">
        <v>108</v>
      </c>
      <c r="M10" s="107"/>
      <c r="N10" s="107" t="s">
        <v>154</v>
      </c>
      <c r="O10" s="107" t="s">
        <v>84</v>
      </c>
    </row>
    <row r="11" spans="2:18" x14ac:dyDescent="0.25">
      <c r="B11" s="110">
        <v>18</v>
      </c>
      <c r="C11" s="113" t="str">
        <f>IF(VLOOKUP(D11,'Acute Dataset'!N$5:P$116,2,)="&gt;","&gt;","")</f>
        <v>&gt;</v>
      </c>
      <c r="D11" s="114">
        <f>SMALL('Acute Dataset'!N$5:N$116,'Summary Sheet'!B11)</f>
        <v>235380.66923026214</v>
      </c>
      <c r="E11" s="110" t="str">
        <f>VLOOKUP(D11,'Acute Dataset'!N$5:P$116,3,FALSE)</f>
        <v>Hybognathus</v>
      </c>
      <c r="F11" s="110" t="str">
        <f>VLOOKUP(D11,'Acute Dataset'!N$5:Q$116,4,FALSE)</f>
        <v>Fish</v>
      </c>
      <c r="L11" s="110">
        <v>12</v>
      </c>
      <c r="M11" s="113" t="str">
        <f>IF(VLOOKUP(N11,'Chronic Dataset'!M$5:O$43,2,FALSE) ="&gt;","&gt;","")</f>
        <v>&gt;</v>
      </c>
      <c r="N11" s="173">
        <f>SMALL('Chronic Dataset'!$M$5:$M$43,L11)</f>
        <v>58200.530838483137</v>
      </c>
      <c r="O11" s="110" t="str">
        <f>VLOOKUP(N11,'Chronic Dataset'!M$5:O$43,3,FALSE)</f>
        <v>Rana</v>
      </c>
      <c r="P11" s="110" t="str">
        <f>VLOOKUP(N11,'Chronic Dataset'!M$5:P$43,4,FALSE)</f>
        <v>Amphib - Other Data</v>
      </c>
    </row>
    <row r="12" spans="2:18" x14ac:dyDescent="0.25">
      <c r="B12" s="116">
        <v>17</v>
      </c>
      <c r="C12" s="113" t="str">
        <f>IF(VLOOKUP(D12,'Acute Dataset'!N$5:P$116,2,)="&gt;","&gt;","")</f>
        <v>&gt;</v>
      </c>
      <c r="D12" s="114">
        <f>SMALL('Acute Dataset'!N$5:N$116,'Summary Sheet'!B12)</f>
        <v>143495.82856916595</v>
      </c>
      <c r="E12" s="110" t="str">
        <f>VLOOKUP(D12,'Acute Dataset'!N$5:P$116,3,FALSE)</f>
        <v>Lepomis</v>
      </c>
      <c r="F12" s="110" t="str">
        <f>VLOOKUP(D12,'Acute Dataset'!N$5:Q$116,4,FALSE)</f>
        <v>Fish</v>
      </c>
      <c r="L12" s="110">
        <v>11</v>
      </c>
      <c r="M12" s="113" t="str">
        <f>IF(VLOOKUP(N12,'Chronic Dataset'!M$5:O$43,2,FALSE) ="&gt;","&gt;","")</f>
        <v/>
      </c>
      <c r="N12" s="173">
        <f>SMALL('Chronic Dataset'!$M$5:$M$43,L12)</f>
        <v>28533.87769289091</v>
      </c>
      <c r="O12" s="110" t="str">
        <f>VLOOKUP(N12,'Chronic Dataset'!M$5:O$43,3,FALSE)</f>
        <v>Aeolosoma</v>
      </c>
      <c r="P12" s="110" t="str">
        <f>VLOOKUP(N12,'Chronic Dataset'!M$5:P$43,4,FALSE)</f>
        <v>Invert</v>
      </c>
    </row>
    <row r="13" spans="2:18" x14ac:dyDescent="0.25">
      <c r="B13" s="116">
        <v>16</v>
      </c>
      <c r="C13" s="113" t="str">
        <f>IF(VLOOKUP(D13,'Acute Dataset'!N$5:P$116,2,)="&gt;","&gt;","")</f>
        <v/>
      </c>
      <c r="D13" s="114">
        <f>SMALL('Acute Dataset'!N$5:N$116,'Summary Sheet'!B13)</f>
        <v>137937.90385509626</v>
      </c>
      <c r="E13" s="110" t="str">
        <f>VLOOKUP(D13,'Acute Dataset'!N$5:P$116,3,FALSE)</f>
        <v>Salvelinus</v>
      </c>
      <c r="F13" s="110" t="str">
        <f>VLOOKUP(D13,'Acute Dataset'!N$5:Q$116,4,FALSE)</f>
        <v>Fish</v>
      </c>
      <c r="L13" s="110">
        <v>10</v>
      </c>
      <c r="M13" s="113" t="str">
        <f>IF(VLOOKUP(N13,'Chronic Dataset'!M$5:O$43,2,FALSE) ="&gt;","&gt;","")</f>
        <v/>
      </c>
      <c r="N13" s="173">
        <f>SMALL('Chronic Dataset'!$M$5:$M$43,L13)</f>
        <v>14857.051147419355</v>
      </c>
      <c r="O13" s="110" t="str">
        <f>VLOOKUP(N13,'Chronic Dataset'!M$5:O$43,3,FALSE)</f>
        <v>Pimephales</v>
      </c>
      <c r="P13" s="110" t="str">
        <f>VLOOKUP(N13,'Chronic Dataset'!M$5:P$43,4,FALSE)</f>
        <v>Fish</v>
      </c>
    </row>
    <row r="14" spans="2:18" x14ac:dyDescent="0.25">
      <c r="B14" s="116">
        <v>15</v>
      </c>
      <c r="C14" s="113" t="str">
        <f>IF(VLOOKUP(D14,'Acute Dataset'!N$5:P$116,2,)="&gt;","&gt;","")</f>
        <v>&gt;</v>
      </c>
      <c r="D14" s="114">
        <f>SMALL('Acute Dataset'!N$5:N$116,'Summary Sheet'!B14)</f>
        <v>119537.29481335128</v>
      </c>
      <c r="E14" s="110" t="str">
        <f>VLOOKUP(D14,'Acute Dataset'!N$5:P$116,3,FALSE)</f>
        <v>Hyla</v>
      </c>
      <c r="F14" s="110" t="str">
        <f>VLOOKUP(D14,'Acute Dataset'!N$5:Q$116,4,FALSE)</f>
        <v>Amphibian</v>
      </c>
      <c r="L14" s="110">
        <v>9</v>
      </c>
      <c r="M14" s="113" t="str">
        <f>IF(VLOOKUP(N14,'Chronic Dataset'!M$5:O$43,2,FALSE) ="&gt;","&gt;","")</f>
        <v/>
      </c>
      <c r="N14" s="173">
        <f>SMALL('Chronic Dataset'!$M$5:$M$43,L14)</f>
        <v>9859.9919613479033</v>
      </c>
      <c r="O14" s="110" t="str">
        <f>VLOOKUP(N14,'Chronic Dataset'!M$5:O$43,3,FALSE)</f>
        <v>Chironomus</v>
      </c>
      <c r="P14" s="110" t="str">
        <f>VLOOKUP(N14,'Chronic Dataset'!M$5:P$43,4,FALSE)</f>
        <v>Invert</v>
      </c>
    </row>
    <row r="15" spans="2:18" x14ac:dyDescent="0.25">
      <c r="B15" s="116">
        <v>14</v>
      </c>
      <c r="C15" s="113" t="str">
        <f>IF(VLOOKUP(D15,'Acute Dataset'!N$5:P$116,2,)="&gt;","&gt;","")</f>
        <v>&gt;</v>
      </c>
      <c r="D15" s="114">
        <f>SMALL('Acute Dataset'!N$5:N$116,'Summary Sheet'!B15)</f>
        <v>103997.55471374164</v>
      </c>
      <c r="E15" s="110" t="str">
        <f>VLOOKUP(D15,'Acute Dataset'!N$5:P$116,3,FALSE)</f>
        <v>Paratanytarsus</v>
      </c>
      <c r="F15" s="110" t="str">
        <f>VLOOKUP(D15,'Acute Dataset'!N$5:Q$116,4,FALSE)</f>
        <v>Invert</v>
      </c>
      <c r="L15" s="110">
        <v>8</v>
      </c>
      <c r="M15" s="113" t="str">
        <f>IF(VLOOKUP(N15,'Chronic Dataset'!M$5:O$43,2,FALSE) ="&gt;","&gt;","")</f>
        <v/>
      </c>
      <c r="N15" s="173">
        <f>SMALL('Chronic Dataset'!$M$5:$M$43,L15)</f>
        <v>8138.5358729295795</v>
      </c>
      <c r="O15" s="110" t="str">
        <f>VLOOKUP(N15,'Chronic Dataset'!M$5:O$43,3,FALSE)</f>
        <v>Lymnaea</v>
      </c>
      <c r="P15" s="110" t="str">
        <f>VLOOKUP(N15,'Chronic Dataset'!M$5:P$43,4,FALSE)</f>
        <v>Mollusk</v>
      </c>
    </row>
    <row r="16" spans="2:18" ht="15" customHeight="1" x14ac:dyDescent="0.25">
      <c r="B16" s="116">
        <v>13</v>
      </c>
      <c r="C16" s="113" t="str">
        <f>IF(VLOOKUP(D16,'Acute Dataset'!N$5:P$116,2,)="&gt;","&gt;","")</f>
        <v/>
      </c>
      <c r="D16" s="114">
        <f>SMALL('Acute Dataset'!N$5:N$116,'Summary Sheet'!B16)</f>
        <v>60722.747517311742</v>
      </c>
      <c r="E16" s="110" t="str">
        <f>VLOOKUP(D16,'Acute Dataset'!N$5:P$116,3,FALSE)</f>
        <v>Pimephales</v>
      </c>
      <c r="F16" s="110" t="str">
        <f>VLOOKUP(D16,'Acute Dataset'!N$5:Q$116,4,FALSE)</f>
        <v>Fish</v>
      </c>
      <c r="L16" s="110">
        <v>7</v>
      </c>
      <c r="M16" s="113" t="str">
        <f>IF(VLOOKUP(N16,'Chronic Dataset'!M$5:O$43,2,FALSE) ="&gt;","&gt;","")</f>
        <v/>
      </c>
      <c r="N16" s="173">
        <f>SMALL('Chronic Dataset'!$M$5:$M$43,L16)</f>
        <v>6580.7775356757729</v>
      </c>
      <c r="O16" s="110" t="str">
        <f>VLOOKUP(N16,'Chronic Dataset'!M$5:O$43,3,FALSE)</f>
        <v>Danio</v>
      </c>
      <c r="P16" s="110" t="str">
        <f>VLOOKUP(N16,'Chronic Dataset'!M$5:P$43,4,FALSE)</f>
        <v>Fish</v>
      </c>
    </row>
    <row r="17" spans="2:20" x14ac:dyDescent="0.25">
      <c r="B17" s="116">
        <v>12</v>
      </c>
      <c r="C17" s="113" t="str">
        <f>IF(VLOOKUP(D17,'Acute Dataset'!N$5:P$116,2,)="&gt;","&gt;","")</f>
        <v/>
      </c>
      <c r="D17" s="114">
        <f>SMALL('Acute Dataset'!N$5:N$116,'Summary Sheet'!B17)</f>
        <v>59179.828139452191</v>
      </c>
      <c r="E17" s="110" t="str">
        <f>VLOOKUP(D17,'Acute Dataset'!N$5:P$116,3,FALSE)</f>
        <v>Physa</v>
      </c>
      <c r="F17" s="110" t="str">
        <f>VLOOKUP(D17,'Acute Dataset'!N$5:Q$116,4,FALSE)</f>
        <v>Mollusk</v>
      </c>
      <c r="L17" s="110">
        <v>6</v>
      </c>
      <c r="M17" s="113" t="str">
        <f>IF(VLOOKUP(N17,'Chronic Dataset'!M$5:O$43,2,FALSE) ="&gt;","&gt;","")</f>
        <v/>
      </c>
      <c r="N17" s="173">
        <f>SMALL('Chronic Dataset'!$M$5:$M$43,L17)</f>
        <v>4263.0630091989906</v>
      </c>
      <c r="O17" s="110" t="str">
        <f>VLOOKUP(N17,'Chronic Dataset'!M$5:O$43,3,FALSE)</f>
        <v>Brachionus</v>
      </c>
      <c r="P17" s="110" t="str">
        <f>VLOOKUP(N17,'Chronic Dataset'!M$5:P$43,4,FALSE)</f>
        <v>Invert</v>
      </c>
    </row>
    <row r="18" spans="2:20" x14ac:dyDescent="0.25">
      <c r="B18" s="116">
        <v>11</v>
      </c>
      <c r="C18" s="113" t="str">
        <f>IF(VLOOKUP(D18,'Acute Dataset'!N$5:P$116,2,)="&gt;","&gt;","")</f>
        <v>&gt;</v>
      </c>
      <c r="D18" s="114">
        <f>SMALL('Acute Dataset'!N$5:N$116,'Summary Sheet'!B18)</f>
        <v>49787.874779829668</v>
      </c>
      <c r="E18" s="110" t="str">
        <f>VLOOKUP(D18,'Acute Dataset'!N$5:P$116,3,FALSE)</f>
        <v>Lampsilis</v>
      </c>
      <c r="F18" s="110" t="str">
        <f>VLOOKUP(D18,'Acute Dataset'!N$5:Q$116,4,FALSE)</f>
        <v>Mollusk</v>
      </c>
      <c r="L18" s="110">
        <v>5</v>
      </c>
      <c r="M18" s="113" t="str">
        <f>IF(VLOOKUP(N18,'Chronic Dataset'!M$5:O$43,2,FALSE) ="&gt;","&gt;","")</f>
        <v/>
      </c>
      <c r="N18" s="173">
        <f>SMALL('Chronic Dataset'!$M$5:$M$43,L18)</f>
        <v>3531.9411481872753</v>
      </c>
      <c r="O18" s="116" t="str">
        <f>VLOOKUP(N18,'Chronic Dataset'!M$5:O$43,3,FALSE)</f>
        <v>Salvelinus</v>
      </c>
      <c r="P18" s="110" t="str">
        <f>VLOOKUP(N18,'Chronic Dataset'!M$5:P$43,4,FALSE)</f>
        <v>Fish</v>
      </c>
    </row>
    <row r="19" spans="2:20" x14ac:dyDescent="0.25">
      <c r="B19" s="116">
        <v>10</v>
      </c>
      <c r="C19" s="113" t="str">
        <f>IF(VLOOKUP(D19,'Acute Dataset'!N$5:P$116,2,)="&gt;","&gt;","")</f>
        <v>&gt;</v>
      </c>
      <c r="D19" s="114">
        <f>SMALL('Acute Dataset'!N$5:N$116,'Summary Sheet'!B19)</f>
        <v>46730.442719459272</v>
      </c>
      <c r="E19" s="110" t="str">
        <f>VLOOKUP(D19,'Acute Dataset'!N$5:P$116,3,FALSE)</f>
        <v>Hyalella</v>
      </c>
      <c r="F19" s="110" t="str">
        <f>VLOOKUP(D19,'Acute Dataset'!N$5:Q$116,4,FALSE)</f>
        <v>Invert</v>
      </c>
      <c r="L19" s="110">
        <v>4</v>
      </c>
      <c r="M19" s="113" t="str">
        <f>IF(VLOOKUP(N19,'Chronic Dataset'!M$5:O$43,2,FALSE) ="&gt;","&gt;","")</f>
        <v/>
      </c>
      <c r="N19" s="173">
        <f>SMALL('Chronic Dataset'!$M$5:$M$43,L19)</f>
        <v>3037.0283776868923</v>
      </c>
      <c r="O19" s="116" t="str">
        <f>VLOOKUP(N19,'Chronic Dataset'!M$5:O$43,3,FALSE)</f>
        <v>Salmo</v>
      </c>
      <c r="P19" s="110" t="str">
        <f>VLOOKUP(N19,'Chronic Dataset'!M$5:P$43,4,FALSE)</f>
        <v>Fish</v>
      </c>
    </row>
    <row r="20" spans="2:20" x14ac:dyDescent="0.25">
      <c r="B20" s="116">
        <v>9</v>
      </c>
      <c r="C20" s="113" t="str">
        <f>IF(VLOOKUP(D20,'Acute Dataset'!N$5:P$116,2,)="&gt;","&gt;","")</f>
        <v/>
      </c>
      <c r="D20" s="114">
        <f>SMALL('Acute Dataset'!N$5:N$116,'Summary Sheet'!B20)</f>
        <v>42703.466503608222</v>
      </c>
      <c r="E20" s="110" t="str">
        <f>VLOOKUP(D20,'Acute Dataset'!N$5:P$116,3,FALSE)</f>
        <v>Salmo</v>
      </c>
      <c r="F20" s="110" t="str">
        <f>VLOOKUP(D20,'Acute Dataset'!N$5:Q$116,4,FALSE)</f>
        <v>Fish</v>
      </c>
      <c r="L20" s="110">
        <v>3</v>
      </c>
      <c r="M20" s="113" t="str">
        <f>IF(VLOOKUP(N20,'Chronic Dataset'!M$5:O$43,2,FALSE) ="&gt;","&gt;","")</f>
        <v/>
      </c>
      <c r="N20" s="173">
        <f>SMALL('Chronic Dataset'!$M$5:$M$43,L20)</f>
        <v>2858.9220633720624</v>
      </c>
      <c r="O20" s="116" t="str">
        <f>VLOOKUP(N20,'Chronic Dataset'!M$5:O$43,3,FALSE)</f>
        <v>Hyalella</v>
      </c>
      <c r="P20" s="110" t="str">
        <f>VLOOKUP(N20,'Chronic Dataset'!M$5:P$43,4,FALSE)</f>
        <v>Invert</v>
      </c>
    </row>
    <row r="21" spans="2:20" x14ac:dyDescent="0.25">
      <c r="B21" s="116">
        <v>8</v>
      </c>
      <c r="C21" s="113" t="str">
        <f>IF(VLOOKUP(D21,'Acute Dataset'!N$5:P$116,2,)="&gt;","&gt;","")</f>
        <v/>
      </c>
      <c r="D21" s="114">
        <f>SMALL('Acute Dataset'!N$5:N$116,'Summary Sheet'!B21)</f>
        <v>42323.295717913614</v>
      </c>
      <c r="E21" s="110" t="str">
        <f>VLOOKUP(D21,'Acute Dataset'!N$5:P$116,3,FALSE)</f>
        <v>Chironomus</v>
      </c>
      <c r="F21" s="110" t="str">
        <f>VLOOKUP(D21,'Acute Dataset'!N$5:Q$116,4,FALSE)</f>
        <v>Invert</v>
      </c>
      <c r="L21" s="110">
        <v>2</v>
      </c>
      <c r="M21" s="113" t="str">
        <f>IF(VLOOKUP(N21,'Chronic Dataset'!M$5:O$43,2,FALSE) ="&gt;","&gt;","")</f>
        <v/>
      </c>
      <c r="N21" s="173">
        <f>SMALL('Chronic Dataset'!$M$5:$M$43,L21)</f>
        <v>1972.1587208567291</v>
      </c>
      <c r="O21" s="116" t="str">
        <f>VLOOKUP(N21,'Chronic Dataset'!M$5:O$43,3,FALSE)</f>
        <v>Ceriodaphnia</v>
      </c>
      <c r="P21" s="110" t="str">
        <f>VLOOKUP(N21,'Chronic Dataset'!M$5:P$43,4,FALSE)</f>
        <v>Invert</v>
      </c>
      <c r="S21" s="110" t="s">
        <v>55</v>
      </c>
    </row>
    <row r="22" spans="2:20" x14ac:dyDescent="0.25">
      <c r="B22" s="116">
        <v>7</v>
      </c>
      <c r="C22" s="113" t="str">
        <f>IF(VLOOKUP(D22,'Acute Dataset'!N$5:P$116,2,)="&gt;","&gt;","")</f>
        <v>&gt;</v>
      </c>
      <c r="D22" s="114">
        <f>SMALL('Acute Dataset'!N$5:N$116,'Summary Sheet'!B22)</f>
        <v>34207.601483982071</v>
      </c>
      <c r="E22" s="110" t="str">
        <f>VLOOKUP(D22,'Acute Dataset'!N$5:P$116,3,FALSE)</f>
        <v>Acroneuria</v>
      </c>
      <c r="F22" s="110" t="str">
        <f>VLOOKUP(D22,'Acute Dataset'!N$5:Q$116,4,FALSE)</f>
        <v>Invert</v>
      </c>
      <c r="L22" s="110">
        <v>1</v>
      </c>
      <c r="M22" s="113" t="str">
        <f>IF(VLOOKUP(N22,'Chronic Dataset'!M$5:O$43,2,FALSE) ="&gt;","&gt;","")</f>
        <v/>
      </c>
      <c r="N22" s="173">
        <f>SMALL('Chronic Dataset'!$M$5:$M$43,L22)</f>
        <v>1739.0511474491395</v>
      </c>
      <c r="O22" s="116" t="str">
        <f>VLOOKUP(N22,'Chronic Dataset'!M$5:O$43,3,FALSE)</f>
        <v>Lampsilis</v>
      </c>
      <c r="P22" s="110" t="str">
        <f>VLOOKUP(N22,'Chronic Dataset'!M$5:P$43,4,FALSE)</f>
        <v>Mollusk</v>
      </c>
    </row>
    <row r="23" spans="2:20" x14ac:dyDescent="0.25">
      <c r="B23" s="116">
        <v>6</v>
      </c>
      <c r="C23" s="113" t="str">
        <f>IF(VLOOKUP(D23,'Acute Dataset'!N$5:P$116,2,)="&gt;","&gt;","")</f>
        <v/>
      </c>
      <c r="D23" s="114">
        <f>SMALL('Acute Dataset'!N$5:N$116,'Summary Sheet'!B23)</f>
        <v>23464.219042132667</v>
      </c>
      <c r="E23" s="110" t="str">
        <f>VLOOKUP(D23,'Acute Dataset'!N$5:P$116,3,FALSE)</f>
        <v>Micropterus</v>
      </c>
      <c r="F23" s="110" t="str">
        <f>VLOOKUP(D23,'Acute Dataset'!N$5:Q$116,4,FALSE)</f>
        <v>Fish</v>
      </c>
      <c r="O23" s="116"/>
    </row>
    <row r="24" spans="2:20" x14ac:dyDescent="0.25">
      <c r="B24" s="116">
        <v>5</v>
      </c>
      <c r="C24" s="142" t="str">
        <f>IF(VLOOKUP(D24,'Acute Dataset'!N$5:P$116,2,)="&gt;","&gt;","")</f>
        <v/>
      </c>
      <c r="D24" s="193">
        <f>SMALL('Acute Dataset'!N$5:N$116,'Summary Sheet'!B24)</f>
        <v>21861.312148831548</v>
      </c>
      <c r="E24" s="116" t="str">
        <f>VLOOKUP(D24,'Acute Dataset'!N$5:P$116,3,FALSE)</f>
        <v>Oncorhynchus</v>
      </c>
      <c r="F24" s="110" t="str">
        <f>VLOOKUP(D24,'Acute Dataset'!N$5:Q$116,4,FALSE)</f>
        <v>Fish</v>
      </c>
    </row>
    <row r="25" spans="2:20" ht="15" customHeight="1" x14ac:dyDescent="0.25">
      <c r="B25" s="116">
        <v>4</v>
      </c>
      <c r="C25" s="142" t="str">
        <f>IF(VLOOKUP(D25,'Acute Dataset'!N$5:P$116,2,)="&gt;","&gt;","")</f>
        <v/>
      </c>
      <c r="D25" s="193">
        <f>SMALL('Acute Dataset'!N$5:N$116,'Summary Sheet'!B25)</f>
        <v>20316.055364872027</v>
      </c>
      <c r="E25" s="116" t="str">
        <f>VLOOKUP(D25,'Acute Dataset'!N$5:P$116,3,FALSE)</f>
        <v>Crangonyx</v>
      </c>
      <c r="F25" s="110" t="str">
        <f>VLOOKUP(D25,'Acute Dataset'!N$5:Q$116,4,FALSE)</f>
        <v>Invert</v>
      </c>
    </row>
    <row r="26" spans="2:20" x14ac:dyDescent="0.25">
      <c r="B26" s="116">
        <v>3</v>
      </c>
      <c r="C26" s="142" t="str">
        <f>IF(VLOOKUP(D26,'Acute Dataset'!N$5:P$116,2,)="&gt;","&gt;","")</f>
        <v/>
      </c>
      <c r="D26" s="193">
        <f>SMALL('Acute Dataset'!N$5:N$116,'Summary Sheet'!B26)</f>
        <v>17049.413903946021</v>
      </c>
      <c r="E26" s="116" t="str">
        <f>VLOOKUP(D26,'Acute Dataset'!N$5:P$116,3,FALSE)</f>
        <v>Stenocypris</v>
      </c>
      <c r="F26" s="110" t="str">
        <f>VLOOKUP(D26,'Acute Dataset'!N$5:Q$116,4,FALSE)</f>
        <v>Invert</v>
      </c>
    </row>
    <row r="27" spans="2:20" x14ac:dyDescent="0.25">
      <c r="B27" s="116">
        <v>2</v>
      </c>
      <c r="C27" s="142" t="str">
        <f>IF(VLOOKUP(D27,'Acute Dataset'!N$5:P$116,2,)="&gt;","&gt;","")</f>
        <v/>
      </c>
      <c r="D27" s="193">
        <f>SMALL('Acute Dataset'!N$5:N$116,'Summary Sheet'!B27)</f>
        <v>12229.194012259193</v>
      </c>
      <c r="E27" s="116" t="str">
        <f>VLOOKUP(D27,'Acute Dataset'!N$5:P$116,3,FALSE)</f>
        <v>Ceriodaphnia</v>
      </c>
      <c r="F27" s="110" t="str">
        <f>VLOOKUP(D27,'Acute Dataset'!N$5:Q$116,4,FALSE)</f>
        <v>Invert</v>
      </c>
    </row>
    <row r="28" spans="2:20" x14ac:dyDescent="0.25">
      <c r="B28" s="116">
        <v>1</v>
      </c>
      <c r="C28" s="142" t="str">
        <f>IF(VLOOKUP(D28,'Acute Dataset'!N$5:P$116,2,)="&gt;","&gt;","")</f>
        <v/>
      </c>
      <c r="D28" s="193">
        <f>SMALL('Acute Dataset'!N$5:N$116,'Summary Sheet'!B28)</f>
        <v>5560.1597238743243</v>
      </c>
      <c r="E28" s="116" t="str">
        <f>VLOOKUP(D28,'Acute Dataset'!N$5:P$116,3,FALSE)</f>
        <v>Daphnia</v>
      </c>
      <c r="F28" s="110" t="str">
        <f>VLOOKUP(D28,'Acute Dataset'!N$5:Q$116,4,FALSE)</f>
        <v>Invert</v>
      </c>
    </row>
    <row r="31" spans="2:20" ht="17.25" x14ac:dyDescent="0.25">
      <c r="C31" s="117" t="s">
        <v>110</v>
      </c>
      <c r="D31" s="118" t="s">
        <v>108</v>
      </c>
      <c r="E31" s="118" t="s">
        <v>84</v>
      </c>
      <c r="F31" s="118" t="s">
        <v>109</v>
      </c>
      <c r="G31" s="118" t="s">
        <v>111</v>
      </c>
      <c r="H31" s="118" t="s">
        <v>131</v>
      </c>
      <c r="I31" s="118" t="s">
        <v>112</v>
      </c>
      <c r="J31" s="118" t="s">
        <v>113</v>
      </c>
      <c r="K31" s="119"/>
      <c r="L31" s="119"/>
      <c r="M31" s="117" t="s">
        <v>110</v>
      </c>
      <c r="N31" s="118" t="s">
        <v>108</v>
      </c>
      <c r="O31" s="118" t="s">
        <v>84</v>
      </c>
      <c r="P31" s="118" t="s">
        <v>154</v>
      </c>
      <c r="Q31" s="118" t="s">
        <v>156</v>
      </c>
      <c r="R31" s="118" t="s">
        <v>157</v>
      </c>
      <c r="S31" s="118" t="s">
        <v>112</v>
      </c>
      <c r="T31" s="118" t="s">
        <v>113</v>
      </c>
    </row>
    <row r="32" spans="2:20" x14ac:dyDescent="0.25">
      <c r="C32" s="120">
        <v>18</v>
      </c>
      <c r="D32" s="120">
        <v>4</v>
      </c>
      <c r="E32" s="121" t="str">
        <f>E25</f>
        <v>Crangonyx</v>
      </c>
      <c r="F32" s="122">
        <f>D25</f>
        <v>20316.055364872027</v>
      </c>
      <c r="G32" s="123">
        <f>LN(F32)</f>
        <v>9.9191667571030901</v>
      </c>
      <c r="H32" s="123">
        <f>G32^2</f>
        <v>98.389869155219031</v>
      </c>
      <c r="I32" s="124">
        <f>D32 / (C32+1)</f>
        <v>0.21052631578947367</v>
      </c>
      <c r="J32" s="124">
        <f>SQRT(I32)</f>
        <v>0.45883146774112354</v>
      </c>
      <c r="K32" s="125"/>
      <c r="L32" s="125"/>
      <c r="M32" s="120">
        <v>12</v>
      </c>
      <c r="N32" s="120">
        <v>4</v>
      </c>
      <c r="O32" s="121" t="str">
        <f>O19</f>
        <v>Salmo</v>
      </c>
      <c r="P32" s="122">
        <f>N19</f>
        <v>3037.0283776868923</v>
      </c>
      <c r="Q32" s="123">
        <f>LN(P32)</f>
        <v>8.0186348089885584</v>
      </c>
      <c r="R32" s="123">
        <f>Q32^2</f>
        <v>64.298504199922974</v>
      </c>
      <c r="S32" s="124">
        <f>N32 / (M32+1)</f>
        <v>0.30769230769230771</v>
      </c>
      <c r="T32" s="124">
        <f>SQRT(S32)</f>
        <v>0.55470019622522915</v>
      </c>
    </row>
    <row r="33" spans="3:20" x14ac:dyDescent="0.25">
      <c r="C33" s="120"/>
      <c r="D33" s="120">
        <v>3</v>
      </c>
      <c r="E33" s="121" t="str">
        <f>E26</f>
        <v>Stenocypris</v>
      </c>
      <c r="F33" s="122">
        <f>D26</f>
        <v>17049.413903946021</v>
      </c>
      <c r="G33" s="123">
        <f>LN(F33)</f>
        <v>9.7438711069856936</v>
      </c>
      <c r="H33" s="123">
        <f>G33^2</f>
        <v>94.94302414955061</v>
      </c>
      <c r="I33" s="124">
        <f>D33 / (C32+1)</f>
        <v>0.15789473684210525</v>
      </c>
      <c r="J33" s="124">
        <f>SQRT(I33)</f>
        <v>0.39735970711951313</v>
      </c>
      <c r="K33" s="125"/>
      <c r="L33" s="125"/>
      <c r="M33" s="120"/>
      <c r="N33" s="120">
        <v>3</v>
      </c>
      <c r="O33" s="121" t="str">
        <f>O20</f>
        <v>Hyalella</v>
      </c>
      <c r="P33" s="122">
        <f>N20</f>
        <v>2858.9220633720624</v>
      </c>
      <c r="Q33" s="123">
        <f>LN(P33)</f>
        <v>7.9581999318500358</v>
      </c>
      <c r="R33" s="123">
        <f>Q33^2</f>
        <v>63.332946155297918</v>
      </c>
      <c r="S33" s="124">
        <f>N33 / (M32+1)</f>
        <v>0.23076923076923078</v>
      </c>
      <c r="T33" s="124">
        <f>SQRT(S33)</f>
        <v>0.48038446141526142</v>
      </c>
    </row>
    <row r="34" spans="3:20" x14ac:dyDescent="0.25">
      <c r="C34" s="120"/>
      <c r="D34" s="120">
        <v>2</v>
      </c>
      <c r="E34" s="121" t="str">
        <f>E27</f>
        <v>Ceriodaphnia</v>
      </c>
      <c r="F34" s="122">
        <f>D27</f>
        <v>12229.194012259193</v>
      </c>
      <c r="G34" s="123">
        <f>LN(F34)</f>
        <v>9.4115813239959945</v>
      </c>
      <c r="H34" s="123">
        <f>G34^2</f>
        <v>88.5778630181902</v>
      </c>
      <c r="I34" s="124">
        <f>D34 / (C32+1)</f>
        <v>0.10526315789473684</v>
      </c>
      <c r="J34" s="124">
        <f>SQRT(I34)</f>
        <v>0.32444284226152509</v>
      </c>
      <c r="K34" s="125"/>
      <c r="L34" s="125"/>
      <c r="M34" s="120"/>
      <c r="N34" s="120">
        <v>2</v>
      </c>
      <c r="O34" s="121" t="str">
        <f>O21</f>
        <v>Ceriodaphnia</v>
      </c>
      <c r="P34" s="122">
        <f>N21</f>
        <v>1972.1587208567291</v>
      </c>
      <c r="Q34" s="123">
        <f>LN(P34)</f>
        <v>7.5868840191735183</v>
      </c>
      <c r="R34" s="123">
        <f>Q34^2</f>
        <v>57.560809120390516</v>
      </c>
      <c r="S34" s="124">
        <f>N34 / (M32+1)</f>
        <v>0.15384615384615385</v>
      </c>
      <c r="T34" s="124">
        <f>SQRT(S34)</f>
        <v>0.39223227027636809</v>
      </c>
    </row>
    <row r="35" spans="3:20" x14ac:dyDescent="0.25">
      <c r="C35" s="120"/>
      <c r="D35" s="120">
        <v>1</v>
      </c>
      <c r="E35" s="121" t="str">
        <f>E28</f>
        <v>Daphnia</v>
      </c>
      <c r="F35" s="122">
        <f>D28</f>
        <v>5560.1597238743243</v>
      </c>
      <c r="G35" s="123">
        <f>LN(F35)</f>
        <v>8.6233821141475318</v>
      </c>
      <c r="H35" s="123">
        <f>G35^2</f>
        <v>74.362719086599554</v>
      </c>
      <c r="I35" s="124">
        <f>D35 / (C32+1)</f>
        <v>5.2631578947368418E-2</v>
      </c>
      <c r="J35" s="124">
        <f>SQRT(I35)</f>
        <v>0.22941573387056177</v>
      </c>
      <c r="K35" s="125"/>
      <c r="L35" s="125"/>
      <c r="M35" s="120"/>
      <c r="N35" s="120">
        <v>1</v>
      </c>
      <c r="O35" s="121" t="str">
        <f>O22</f>
        <v>Lampsilis</v>
      </c>
      <c r="P35" s="122">
        <f>N22</f>
        <v>1739.0511474491395</v>
      </c>
      <c r="Q35" s="123">
        <f>LN(P35)</f>
        <v>7.4610949259109134</v>
      </c>
      <c r="R35" s="123">
        <f>Q35^2</f>
        <v>55.667937493453579</v>
      </c>
      <c r="S35" s="124">
        <f>N35 / (M32+1)</f>
        <v>7.6923076923076927E-2</v>
      </c>
      <c r="T35" s="124">
        <f>SQRT(S35)</f>
        <v>0.27735009811261457</v>
      </c>
    </row>
    <row r="36" spans="3:20" x14ac:dyDescent="0.25">
      <c r="C36" s="120"/>
      <c r="D36" s="126" t="s">
        <v>114</v>
      </c>
      <c r="E36" s="126"/>
      <c r="F36" s="127"/>
      <c r="G36" s="123">
        <f>SUM(G32:G35)</f>
        <v>37.698001302232313</v>
      </c>
      <c r="H36" s="128">
        <f>SUM(H32:H35)</f>
        <v>356.27347540955941</v>
      </c>
      <c r="I36" s="124">
        <f>SUM(I32:I35)</f>
        <v>0.52631578947368418</v>
      </c>
      <c r="J36" s="123">
        <f>SUM(J32:J35)</f>
        <v>1.4100497509927237</v>
      </c>
      <c r="K36" s="129"/>
      <c r="L36" s="129"/>
      <c r="M36" s="120"/>
      <c r="N36" s="126" t="s">
        <v>114</v>
      </c>
      <c r="O36" s="126"/>
      <c r="P36" s="127"/>
      <c r="Q36" s="123">
        <f>SUM(Q32:Q35)</f>
        <v>31.024813685923025</v>
      </c>
      <c r="R36" s="128">
        <f>SUM(R32:R35)</f>
        <v>240.86019696906499</v>
      </c>
      <c r="S36" s="124">
        <f>SUM(S32:S35)</f>
        <v>0.76923076923076938</v>
      </c>
      <c r="T36" s="123">
        <f>SUM(T32:T35)</f>
        <v>1.7046670260294734</v>
      </c>
    </row>
    <row r="37" spans="3:20" x14ac:dyDescent="0.25">
      <c r="C37" s="130"/>
      <c r="D37" s="130"/>
      <c r="E37" s="130"/>
      <c r="F37" s="131"/>
      <c r="G37" s="131"/>
      <c r="H37" s="131"/>
      <c r="I37" s="131"/>
      <c r="J37" s="131"/>
      <c r="K37" s="131"/>
      <c r="L37" s="131"/>
      <c r="M37" s="130"/>
      <c r="N37" s="130"/>
      <c r="O37" s="130"/>
      <c r="P37" s="131"/>
      <c r="Q37" s="131"/>
      <c r="R37" s="131"/>
      <c r="S37" s="131"/>
      <c r="T37" s="131"/>
    </row>
    <row r="38" spans="3:20" ht="17.25" x14ac:dyDescent="0.25">
      <c r="C38" s="130"/>
      <c r="D38" s="132" t="s">
        <v>132</v>
      </c>
      <c r="E38" s="133">
        <f>(H36 - ((G36^2)/4)) / (I36 - ((J36^2)/4))</f>
        <v>33.793393321214523</v>
      </c>
      <c r="F38" s="115"/>
      <c r="G38" s="134"/>
      <c r="H38" s="135"/>
      <c r="I38" s="131"/>
      <c r="J38" s="131"/>
      <c r="K38" s="131"/>
      <c r="L38" s="131"/>
      <c r="M38" s="130"/>
      <c r="N38" s="132" t="s">
        <v>132</v>
      </c>
      <c r="O38" s="133">
        <f>(R36 - ((Q36^2)/4)) / (S36 - ((T36^2)/4))</f>
        <v>5.2722076014633217</v>
      </c>
      <c r="P38" s="115"/>
      <c r="Q38" s="134"/>
      <c r="R38" s="135"/>
      <c r="S38" s="131"/>
      <c r="T38" s="131"/>
    </row>
    <row r="39" spans="3:20" x14ac:dyDescent="0.25">
      <c r="C39" s="130"/>
      <c r="D39" s="132" t="s">
        <v>115</v>
      </c>
      <c r="E39" s="136">
        <f xml:space="preserve"> (G36 - (SQRT(E38) * J36)) / 4</f>
        <v>7.3752720183002181</v>
      </c>
      <c r="F39" s="132"/>
      <c r="G39" s="137"/>
      <c r="H39" s="131"/>
      <c r="I39" s="131"/>
      <c r="J39" s="131"/>
      <c r="K39" s="131"/>
      <c r="L39" s="131"/>
      <c r="M39" s="130"/>
      <c r="N39" s="132" t="s">
        <v>115</v>
      </c>
      <c r="O39" s="136">
        <f xml:space="preserve"> (Q36 - (SQRT(O38) * T36)) / 4</f>
        <v>6.7776696457080297</v>
      </c>
      <c r="P39" s="132"/>
      <c r="Q39" s="137"/>
      <c r="R39" s="131"/>
      <c r="S39" s="131"/>
      <c r="T39" s="131"/>
    </row>
    <row r="40" spans="3:20" x14ac:dyDescent="0.25">
      <c r="C40" s="138"/>
      <c r="D40" s="132" t="s">
        <v>116</v>
      </c>
      <c r="E40" s="136">
        <f xml:space="preserve"> (SQRT(E38) * SQRT(0.05)) + E39</f>
        <v>8.6751449605760111</v>
      </c>
      <c r="F40" s="132"/>
      <c r="G40" s="137"/>
      <c r="H40" s="131"/>
      <c r="I40" s="131"/>
      <c r="J40" s="131"/>
      <c r="K40" s="131"/>
      <c r="L40" s="131"/>
      <c r="M40" s="138"/>
      <c r="N40" s="132" t="s">
        <v>116</v>
      </c>
      <c r="O40" s="136">
        <f xml:space="preserve"> (SQRT(O38) * SQRT(0.05)) + O39</f>
        <v>7.2910996604843046</v>
      </c>
      <c r="P40" s="132"/>
      <c r="Q40" s="137"/>
      <c r="R40" s="131"/>
      <c r="S40" s="131"/>
      <c r="T40" s="131"/>
    </row>
    <row r="41" spans="3:20" x14ac:dyDescent="0.25">
      <c r="C41" s="137"/>
      <c r="D41" s="132" t="s">
        <v>117</v>
      </c>
      <c r="E41" s="139">
        <f xml:space="preserve"> EXP(E40)</f>
        <v>5855.5485487011192</v>
      </c>
      <c r="F41" s="116"/>
      <c r="G41" s="140"/>
      <c r="H41" s="140"/>
      <c r="I41" s="131"/>
      <c r="J41" s="131"/>
      <c r="K41" s="131"/>
      <c r="L41" s="131"/>
      <c r="M41" s="137"/>
      <c r="N41" s="132" t="s">
        <v>155</v>
      </c>
      <c r="O41" s="176">
        <f xml:space="preserve"> EXP(O40)</f>
        <v>1467.1832138345687</v>
      </c>
      <c r="P41" s="116"/>
      <c r="Q41" s="140"/>
      <c r="R41" s="140"/>
      <c r="S41" s="131"/>
      <c r="T41" s="131"/>
    </row>
    <row r="42" spans="3:20" x14ac:dyDescent="0.25">
      <c r="C42" s="141"/>
      <c r="D42" s="142" t="s">
        <v>118</v>
      </c>
      <c r="E42" s="143">
        <f>E41/2</f>
        <v>2927.7742743505596</v>
      </c>
      <c r="F42" s="137"/>
      <c r="G42" s="144"/>
      <c r="H42" s="144"/>
      <c r="I42" s="145"/>
      <c r="J42" s="145"/>
      <c r="K42" s="145"/>
      <c r="L42" s="145"/>
      <c r="M42" s="141"/>
      <c r="N42" s="142"/>
      <c r="O42" s="143"/>
      <c r="P42" s="137"/>
      <c r="Q42" s="144"/>
      <c r="R42" s="144"/>
      <c r="S42" s="145"/>
      <c r="T42" s="145"/>
    </row>
  </sheetData>
  <sheetProtection password="8B69" sheet="1" objects="1" scenarios="1"/>
  <customSheetViews>
    <customSheetView guid="{08FB27BF-4D9B-4966-8486-12381E101C6E}" scale="90">
      <selection activeCell="C4" sqref="C4"/>
      <pageMargins left="0.7" right="0.7" top="0.75" bottom="0.75" header="0.3" footer="0.3"/>
      <pageSetup orientation="portrait" r:id="rId1"/>
    </customSheetView>
  </customSheetViews>
  <mergeCells count="1">
    <mergeCell ref="B3:C3"/>
  </mergeCells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S123"/>
  <sheetViews>
    <sheetView workbookViewId="0">
      <pane ySplit="3" topLeftCell="A55" activePane="bottomLeft" state="frozen"/>
      <selection pane="bottomLeft" activeCell="H70" sqref="H70"/>
    </sheetView>
  </sheetViews>
  <sheetFormatPr defaultRowHeight="15" x14ac:dyDescent="0.25"/>
  <cols>
    <col min="1" max="1" width="1.140625" style="37" customWidth="1"/>
    <col min="2" max="2" width="45.85546875" style="31" customWidth="1"/>
    <col min="3" max="3" width="9.140625" style="22" customWidth="1"/>
    <col min="4" max="4" width="10" style="22" bestFit="1" customWidth="1"/>
    <col min="5" max="5" width="4.5703125" style="22" bestFit="1" customWidth="1"/>
    <col min="6" max="6" width="7.28515625" style="22" bestFit="1" customWidth="1"/>
    <col min="7" max="7" width="3.28515625" style="35" customWidth="1"/>
    <col min="8" max="8" width="12.28515625" style="24" bestFit="1" customWidth="1"/>
    <col min="9" max="9" width="31.42578125" style="38" bestFit="1" customWidth="1"/>
    <col min="10" max="10" width="3.140625" style="1" customWidth="1"/>
    <col min="11" max="11" width="12.7109375" style="20" customWidth="1"/>
    <col min="12" max="12" width="3.28515625" style="36" customWidth="1"/>
    <col min="13" max="13" width="13.5703125" style="20" customWidth="1"/>
    <col min="14" max="14" width="13.7109375" style="20" customWidth="1"/>
    <col min="15" max="15" width="3.28515625" style="36" customWidth="1"/>
    <col min="16" max="16" width="13.7109375" style="31" bestFit="1" customWidth="1"/>
    <col min="17" max="17" width="10" style="37" bestFit="1" customWidth="1"/>
    <col min="18" max="18" width="57.42578125" style="34" bestFit="1" customWidth="1"/>
    <col min="19" max="19" width="35.140625" style="34" customWidth="1"/>
    <col min="20" max="16384" width="9.140625" style="37"/>
  </cols>
  <sheetData>
    <row r="1" spans="2:19" x14ac:dyDescent="0.25">
      <c r="B1" s="38" t="s">
        <v>1</v>
      </c>
      <c r="C1" s="38"/>
      <c r="D1" s="38"/>
      <c r="E1" s="38"/>
      <c r="F1" s="38"/>
      <c r="I1" s="34"/>
      <c r="J1" s="55"/>
      <c r="N1" s="53"/>
      <c r="P1" s="38"/>
      <c r="R1" s="38"/>
    </row>
    <row r="2" spans="2:19" x14ac:dyDescent="0.2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40"/>
      <c r="P2" s="2"/>
    </row>
    <row r="3" spans="2:19" ht="58.5" x14ac:dyDescent="0.3">
      <c r="B3" s="28" t="s">
        <v>3</v>
      </c>
      <c r="C3" s="2" t="s">
        <v>4</v>
      </c>
      <c r="D3" s="2" t="s">
        <v>8</v>
      </c>
      <c r="E3" s="2" t="s">
        <v>0</v>
      </c>
      <c r="F3" s="2" t="s">
        <v>5</v>
      </c>
      <c r="G3" s="40"/>
      <c r="H3" s="41" t="s">
        <v>62</v>
      </c>
      <c r="I3" s="39" t="s">
        <v>7</v>
      </c>
      <c r="J3" s="57"/>
      <c r="K3" s="2" t="s">
        <v>63</v>
      </c>
      <c r="L3" s="40"/>
      <c r="M3" s="2" t="s">
        <v>6</v>
      </c>
      <c r="N3" s="2" t="s">
        <v>58</v>
      </c>
      <c r="O3" s="40"/>
      <c r="P3" s="28" t="s">
        <v>84</v>
      </c>
      <c r="R3" s="39" t="s">
        <v>56</v>
      </c>
      <c r="S3" s="39" t="s">
        <v>57</v>
      </c>
    </row>
    <row r="4" spans="2:19" ht="15" customHeight="1" x14ac:dyDescent="0.25">
      <c r="B4" s="28"/>
      <c r="C4" s="28"/>
      <c r="D4" s="28"/>
      <c r="E4" s="28"/>
      <c r="F4" s="28"/>
      <c r="G4" s="40"/>
      <c r="H4" s="28"/>
      <c r="I4" s="39"/>
      <c r="J4" s="57"/>
      <c r="K4" s="37"/>
      <c r="L4" s="40"/>
      <c r="M4" s="28"/>
      <c r="N4" s="28"/>
      <c r="O4" s="40"/>
      <c r="P4" s="28"/>
    </row>
    <row r="5" spans="2:19" x14ac:dyDescent="0.25">
      <c r="B5" s="4" t="s">
        <v>59</v>
      </c>
      <c r="C5" s="58" t="s">
        <v>12</v>
      </c>
      <c r="D5" s="58">
        <v>47.4</v>
      </c>
      <c r="E5" s="58">
        <v>6.59</v>
      </c>
      <c r="F5" s="58">
        <v>1.1000000000000001</v>
      </c>
      <c r="G5" s="9" t="s">
        <v>10</v>
      </c>
      <c r="H5" s="59">
        <v>23400</v>
      </c>
      <c r="I5" s="60" t="s">
        <v>14</v>
      </c>
      <c r="J5" s="19" t="s">
        <v>10</v>
      </c>
      <c r="K5" s="61">
        <f>EXP(LN(H5)-0.525*(LN(F5)-LN('Summary Sheet'!$C$6))-11.282*(E5-'Summary Sheet'!$C$4)-2.201*(LN(D5)-LN('Summary Sheet'!$C$5))+0.663*(E5^2-'Summary Sheet'!$C$4^2)+0.264*((E5*LN(D5)-'Summary Sheet'!$C$4*LN('Summary Sheet'!$C$5))))</f>
        <v>80813.590252833223</v>
      </c>
      <c r="L5" s="62"/>
      <c r="M5" s="63" t="s">
        <v>13</v>
      </c>
      <c r="N5" s="63"/>
      <c r="O5" s="19"/>
      <c r="P5" s="4" t="s">
        <v>86</v>
      </c>
      <c r="Q5" s="64"/>
      <c r="R5" s="65" t="s">
        <v>197</v>
      </c>
      <c r="S5" s="65" t="s">
        <v>196</v>
      </c>
    </row>
    <row r="6" spans="2:19" x14ac:dyDescent="0.25">
      <c r="B6" s="6" t="s">
        <v>59</v>
      </c>
      <c r="C6" s="22" t="s">
        <v>12</v>
      </c>
      <c r="D6" s="22">
        <v>47.4</v>
      </c>
      <c r="E6" s="22">
        <v>7.55</v>
      </c>
      <c r="F6" s="22">
        <v>1.1000000000000001</v>
      </c>
      <c r="H6" s="24">
        <v>30600</v>
      </c>
      <c r="I6" s="38" t="s">
        <v>14</v>
      </c>
      <c r="K6" s="3">
        <f>EXP(LN(H6)-0.525*(LN(F6)-LN('Summary Sheet'!$C$6))-11.282*(E6-'Summary Sheet'!$C$4)-2.201*(LN(D6)-LN('Summary Sheet'!$C$5))+0.663*(E6^2-'Summary Sheet'!$C$4^2)+0.264*((E6*LN(D6)-'Summary Sheet'!$C$4*LN('Summary Sheet'!$C$5))))</f>
        <v>45035.251592470471</v>
      </c>
      <c r="L6" s="43"/>
      <c r="M6" s="30" t="s">
        <v>13</v>
      </c>
      <c r="N6" s="30"/>
      <c r="O6" s="1"/>
      <c r="P6" s="6" t="s">
        <v>86</v>
      </c>
      <c r="R6" s="34" t="s">
        <v>197</v>
      </c>
      <c r="S6" s="34" t="s">
        <v>196</v>
      </c>
    </row>
    <row r="7" spans="2:19" x14ac:dyDescent="0.25">
      <c r="B7" s="6" t="s">
        <v>59</v>
      </c>
      <c r="C7" s="22" t="s">
        <v>12</v>
      </c>
      <c r="D7" s="22">
        <v>47.4</v>
      </c>
      <c r="E7" s="22">
        <v>8.17</v>
      </c>
      <c r="F7" s="22">
        <v>1.1000000000000001</v>
      </c>
      <c r="G7" s="35" t="s">
        <v>10</v>
      </c>
      <c r="H7" s="24">
        <v>24700</v>
      </c>
      <c r="I7" s="38" t="s">
        <v>14</v>
      </c>
      <c r="J7" s="1" t="s">
        <v>10</v>
      </c>
      <c r="K7" s="3">
        <f>EXP(LN(H7)-0.525*(LN(F7)-LN('Summary Sheet'!$C$6))-11.282*(E7-'Summary Sheet'!$C$4)-2.201*(LN(D7)-LN('Summary Sheet'!$C$5))+0.663*(E7^2-'Summary Sheet'!$C$4^2)+0.264*((E7*LN(D7)-'Summary Sheet'!$C$4*LN('Summary Sheet'!$C$5))))</f>
        <v>40119.049560209212</v>
      </c>
      <c r="L7" s="43"/>
      <c r="M7" s="30" t="s">
        <v>13</v>
      </c>
      <c r="N7" s="30"/>
      <c r="O7" s="1"/>
      <c r="P7" s="6" t="s">
        <v>86</v>
      </c>
      <c r="R7" s="34" t="s">
        <v>197</v>
      </c>
      <c r="S7" s="34" t="s">
        <v>196</v>
      </c>
    </row>
    <row r="8" spans="2:19" x14ac:dyDescent="0.25">
      <c r="B8" s="11" t="s">
        <v>59</v>
      </c>
      <c r="C8" s="66" t="s">
        <v>12</v>
      </c>
      <c r="D8" s="66">
        <v>47.4</v>
      </c>
      <c r="E8" s="66">
        <v>7.46</v>
      </c>
      <c r="F8" s="66">
        <v>1.1000000000000001</v>
      </c>
      <c r="G8" s="18"/>
      <c r="H8" s="69">
        <v>55500</v>
      </c>
      <c r="I8" s="85" t="s">
        <v>14</v>
      </c>
      <c r="J8" s="71"/>
      <c r="K8" s="72">
        <f>EXP(LN(H8)-0.525*(LN(F8)-LN('Summary Sheet'!$C$6))-11.282*(E8-'Summary Sheet'!$C$4)-2.201*(LN(D8)-LN('Summary Sheet'!$C$5))+0.663*(E8^2-'Summary Sheet'!$C$4^2)+0.264*((E8*LN(D8)-'Summary Sheet'!$C$4*LN('Summary Sheet'!$C$5))))</f>
        <v>84005.393024822886</v>
      </c>
      <c r="L8" s="73"/>
      <c r="M8" s="72">
        <f>GEOMEAN(K5:K8)</f>
        <v>59179.828139452191</v>
      </c>
      <c r="N8" s="72">
        <f>M8</f>
        <v>59179.828139452191</v>
      </c>
      <c r="O8" s="105"/>
      <c r="P8" s="11" t="s">
        <v>86</v>
      </c>
      <c r="Q8" s="74" t="s">
        <v>191</v>
      </c>
      <c r="R8" s="75" t="s">
        <v>197</v>
      </c>
      <c r="S8" s="75" t="s">
        <v>196</v>
      </c>
    </row>
    <row r="9" spans="2:19" x14ac:dyDescent="0.25">
      <c r="B9" s="6"/>
      <c r="C9" s="6"/>
      <c r="D9" s="6"/>
      <c r="E9" s="6"/>
      <c r="F9" s="6"/>
      <c r="G9" s="7"/>
      <c r="H9" s="6"/>
      <c r="I9" s="32"/>
      <c r="K9" s="3"/>
      <c r="L9" s="7"/>
      <c r="M9" s="6"/>
      <c r="N9" s="6"/>
      <c r="O9" s="7"/>
      <c r="P9" s="6"/>
    </row>
    <row r="10" spans="2:19" x14ac:dyDescent="0.25">
      <c r="B10" s="13" t="s">
        <v>60</v>
      </c>
      <c r="C10" s="76" t="s">
        <v>17</v>
      </c>
      <c r="D10" s="77">
        <v>106</v>
      </c>
      <c r="E10" s="155">
        <v>6.12</v>
      </c>
      <c r="F10" s="76">
        <v>0.48</v>
      </c>
      <c r="G10" s="16" t="s">
        <v>10</v>
      </c>
      <c r="H10" s="78">
        <v>6302</v>
      </c>
      <c r="I10" s="79" t="s">
        <v>193</v>
      </c>
      <c r="J10" s="80" t="s">
        <v>10</v>
      </c>
      <c r="K10" s="81">
        <f>EXP(LN(H10)-0.525*(LN(F10)-LN('Summary Sheet'!$C$6))-11.282*(E10-'Summary Sheet'!$C$4)-2.201*(LN(D10)-LN('Summary Sheet'!$C$5))+0.663*(E10^2-'Summary Sheet'!$C$4^2)+0.264*((E10*LN(D10)-'Summary Sheet'!$C$4*LN('Summary Sheet'!$C$5))))</f>
        <v>49787.874779829668</v>
      </c>
      <c r="L10" s="82" t="s">
        <v>10</v>
      </c>
      <c r="M10" s="81">
        <f>GEOMEAN(K10:K10)</f>
        <v>49787.874779829668</v>
      </c>
      <c r="N10" s="81">
        <f>M10</f>
        <v>49787.874779829668</v>
      </c>
      <c r="O10" s="104" t="s">
        <v>10</v>
      </c>
      <c r="P10" s="13" t="s">
        <v>87</v>
      </c>
      <c r="Q10" s="83" t="s">
        <v>191</v>
      </c>
      <c r="R10" s="84" t="s">
        <v>198</v>
      </c>
      <c r="S10" s="84"/>
    </row>
    <row r="11" spans="2:19" x14ac:dyDescent="0.25">
      <c r="B11" s="6"/>
      <c r="C11" s="6"/>
      <c r="D11" s="6"/>
      <c r="E11" s="6"/>
      <c r="F11" s="6"/>
      <c r="G11" s="7"/>
      <c r="H11" s="6"/>
      <c r="I11" s="32"/>
      <c r="K11" s="3"/>
      <c r="L11" s="7"/>
      <c r="M11" s="6"/>
      <c r="N11" s="6"/>
      <c r="O11" s="7"/>
      <c r="P11" s="6"/>
    </row>
    <row r="12" spans="2:19" x14ac:dyDescent="0.25">
      <c r="B12" s="4" t="s">
        <v>61</v>
      </c>
      <c r="C12" s="58" t="s">
        <v>18</v>
      </c>
      <c r="D12" s="86">
        <v>50</v>
      </c>
      <c r="E12" s="58">
        <v>7.42</v>
      </c>
      <c r="F12" s="58">
        <v>1.1000000000000001</v>
      </c>
      <c r="G12" s="9"/>
      <c r="H12" s="59">
        <v>1900</v>
      </c>
      <c r="I12" s="60" t="s">
        <v>19</v>
      </c>
      <c r="J12" s="19"/>
      <c r="K12" s="61">
        <f>EXP(LN(H12)-0.525*(LN(F12)-LN('Summary Sheet'!$C$6))-11.282*(E12-'Summary Sheet'!$C$4)-2.201*(LN(D12)-LN('Summary Sheet'!$C$5))+0.663*(E12^2-'Summary Sheet'!$C$4^2)+0.264*((E12*LN(D12)-'Summary Sheet'!$C$4*LN('Summary Sheet'!$C$5))))</f>
        <v>2884.4603192674122</v>
      </c>
      <c r="L12" s="62"/>
      <c r="M12" s="63" t="s">
        <v>13</v>
      </c>
      <c r="N12" s="63"/>
      <c r="O12" s="19"/>
      <c r="P12" s="4" t="s">
        <v>88</v>
      </c>
      <c r="Q12" s="64"/>
      <c r="R12" s="65" t="s">
        <v>197</v>
      </c>
      <c r="S12" s="65" t="s">
        <v>15</v>
      </c>
    </row>
    <row r="13" spans="2:19" x14ac:dyDescent="0.25">
      <c r="B13" s="6" t="s">
        <v>61</v>
      </c>
      <c r="C13" s="22" t="s">
        <v>18</v>
      </c>
      <c r="D13" s="42">
        <v>50.5</v>
      </c>
      <c r="E13" s="22">
        <v>7.86</v>
      </c>
      <c r="F13" s="22">
        <v>1.1000000000000001</v>
      </c>
      <c r="H13" s="24">
        <v>1500</v>
      </c>
      <c r="I13" s="38" t="s">
        <v>19</v>
      </c>
      <c r="K13" s="3">
        <f>EXP(LN(H13)-0.525*(LN(F13)-LN('Summary Sheet'!$C$6))-11.282*(E13-'Summary Sheet'!$C$4)-2.201*(LN(D13)-LN('Summary Sheet'!$C$5))+0.663*(E13^2-'Summary Sheet'!$C$4^2)+0.264*((E13*LN(D13)-'Summary Sheet'!$C$4*LN('Summary Sheet'!$C$5))))</f>
        <v>2158.7252569290463</v>
      </c>
      <c r="L13" s="43"/>
      <c r="M13" s="30" t="s">
        <v>13</v>
      </c>
      <c r="N13" s="30"/>
      <c r="O13" s="1"/>
      <c r="P13" s="6" t="s">
        <v>88</v>
      </c>
      <c r="R13" s="34" t="s">
        <v>197</v>
      </c>
      <c r="S13" s="34" t="s">
        <v>20</v>
      </c>
    </row>
    <row r="14" spans="2:19" x14ac:dyDescent="0.25">
      <c r="B14" s="6" t="s">
        <v>61</v>
      </c>
      <c r="C14" s="22" t="s">
        <v>18</v>
      </c>
      <c r="D14" s="42">
        <v>50</v>
      </c>
      <c r="E14" s="22">
        <v>8.1300000000000008</v>
      </c>
      <c r="F14" s="22">
        <v>1.1000000000000001</v>
      </c>
      <c r="H14" s="24">
        <v>2560</v>
      </c>
      <c r="I14" s="38" t="s">
        <v>19</v>
      </c>
      <c r="K14" s="3">
        <f>EXP(LN(H14)-0.525*(LN(F14)-LN('Summary Sheet'!$C$6))-11.282*(E14-'Summary Sheet'!$C$4)-2.201*(LN(D14)-LN('Summary Sheet'!$C$5))+0.663*(E14^2-'Summary Sheet'!$C$4^2)+0.264*((E14*LN(D14)-'Summary Sheet'!$C$4*LN('Summary Sheet'!$C$5))))</f>
        <v>4056.79106304368</v>
      </c>
      <c r="L14" s="43"/>
      <c r="M14" s="30" t="s">
        <v>13</v>
      </c>
      <c r="N14" s="30"/>
      <c r="O14" s="1"/>
      <c r="P14" s="6" t="s">
        <v>88</v>
      </c>
      <c r="R14" s="34" t="s">
        <v>197</v>
      </c>
      <c r="S14" s="34" t="s">
        <v>15</v>
      </c>
    </row>
    <row r="15" spans="2:19" x14ac:dyDescent="0.25">
      <c r="B15" s="6" t="s">
        <v>61</v>
      </c>
      <c r="C15" s="22" t="s">
        <v>16</v>
      </c>
      <c r="D15" s="45">
        <v>26</v>
      </c>
      <c r="E15" s="22">
        <v>7.5</v>
      </c>
      <c r="F15" s="22">
        <v>0.5</v>
      </c>
      <c r="H15" s="24">
        <v>720</v>
      </c>
      <c r="I15" s="38" t="s">
        <v>21</v>
      </c>
      <c r="K15" s="3">
        <f>EXP(LN(H15)-0.525*(LN(F15)-LN('Summary Sheet'!$C$6))-11.282*(E15-'Summary Sheet'!$C$4)-2.201*(LN(D15)-LN('Summary Sheet'!$C$5))+0.663*(E15^2-'Summary Sheet'!$C$4^2)+0.264*((E15*LN(D15)-'Summary Sheet'!$C$4*LN('Summary Sheet'!$C$5))))</f>
        <v>1856.8034876731608</v>
      </c>
      <c r="L15" s="43"/>
      <c r="M15" s="30" t="s">
        <v>13</v>
      </c>
      <c r="N15" s="30"/>
      <c r="O15" s="1"/>
      <c r="P15" s="6" t="s">
        <v>88</v>
      </c>
      <c r="R15" s="34" t="s">
        <v>197</v>
      </c>
      <c r="S15" s="34" t="s">
        <v>22</v>
      </c>
    </row>
    <row r="16" spans="2:19" x14ac:dyDescent="0.25">
      <c r="B16" s="6" t="s">
        <v>61</v>
      </c>
      <c r="C16" s="22" t="s">
        <v>16</v>
      </c>
      <c r="D16" s="45">
        <v>46</v>
      </c>
      <c r="E16" s="22">
        <v>7.6</v>
      </c>
      <c r="F16" s="22">
        <v>0.5</v>
      </c>
      <c r="H16" s="24">
        <v>1880</v>
      </c>
      <c r="I16" s="38" t="s">
        <v>21</v>
      </c>
      <c r="K16" s="3">
        <f>EXP(LN(H16)-0.525*(LN(F16)-LN('Summary Sheet'!$C$6))-11.282*(E16-'Summary Sheet'!$C$4)-2.201*(LN(D16)-LN('Summary Sheet'!$C$5))+0.663*(E16^2-'Summary Sheet'!$C$4^2)+0.264*((E16*LN(D16)-'Summary Sheet'!$C$4*LN('Summary Sheet'!$C$5))))</f>
        <v>4164.299262893066</v>
      </c>
      <c r="L16" s="43"/>
      <c r="M16" s="30" t="s">
        <v>13</v>
      </c>
      <c r="N16" s="30"/>
      <c r="O16" s="1"/>
      <c r="P16" s="6" t="s">
        <v>88</v>
      </c>
      <c r="R16" s="34" t="s">
        <v>197</v>
      </c>
      <c r="S16" s="34" t="s">
        <v>22</v>
      </c>
    </row>
    <row r="17" spans="2:19" x14ac:dyDescent="0.25">
      <c r="B17" s="6" t="s">
        <v>61</v>
      </c>
      <c r="C17" s="22" t="s">
        <v>16</v>
      </c>
      <c r="D17" s="45">
        <v>96</v>
      </c>
      <c r="E17" s="22">
        <v>7.8</v>
      </c>
      <c r="F17" s="22">
        <v>0.5</v>
      </c>
      <c r="H17" s="24">
        <v>2450</v>
      </c>
      <c r="I17" s="38" t="s">
        <v>21</v>
      </c>
      <c r="K17" s="3">
        <f>EXP(LN(H17)-0.525*(LN(F17)-LN('Summary Sheet'!$C$6))-11.282*(E17-'Summary Sheet'!$C$4)-2.201*(LN(D17)-LN('Summary Sheet'!$C$5))+0.663*(E17^2-'Summary Sheet'!$C$4^2)+0.264*((E17*LN(D17)-'Summary Sheet'!$C$4*LN('Summary Sheet'!$C$5))))</f>
        <v>4829.9364352889788</v>
      </c>
      <c r="L17" s="43"/>
      <c r="M17" s="30" t="s">
        <v>13</v>
      </c>
      <c r="N17" s="30"/>
      <c r="O17" s="1"/>
      <c r="P17" s="6" t="s">
        <v>88</v>
      </c>
      <c r="R17" s="34" t="s">
        <v>197</v>
      </c>
      <c r="S17" s="34" t="s">
        <v>22</v>
      </c>
    </row>
    <row r="18" spans="2:19" x14ac:dyDescent="0.25">
      <c r="B18" s="6" t="s">
        <v>61</v>
      </c>
      <c r="C18" s="22" t="s">
        <v>23</v>
      </c>
      <c r="D18" s="22">
        <v>90</v>
      </c>
      <c r="E18" s="22">
        <v>7.15</v>
      </c>
      <c r="F18" s="22">
        <v>0.5</v>
      </c>
      <c r="H18" s="24">
        <v>3727</v>
      </c>
      <c r="I18" s="38" t="s">
        <v>24</v>
      </c>
      <c r="K18" s="3">
        <f>EXP(LN(H18)-0.525*(LN(F18)-LN('Summary Sheet'!$C$6))-11.282*(E18-'Summary Sheet'!$C$4)-2.201*(LN(D18)-LN('Summary Sheet'!$C$5))+0.663*(E18^2-'Summary Sheet'!$C$4^2)+0.264*((E18*LN(D18)-'Summary Sheet'!$C$4*LN('Summary Sheet'!$C$5))))</f>
        <v>8347.2373346496042</v>
      </c>
      <c r="L18" s="43"/>
      <c r="M18" s="30" t="s">
        <v>13</v>
      </c>
      <c r="N18" s="30"/>
      <c r="O18" s="1"/>
      <c r="P18" s="6" t="s">
        <v>88</v>
      </c>
      <c r="R18" s="34" t="s">
        <v>197</v>
      </c>
      <c r="S18" s="34" t="s">
        <v>11</v>
      </c>
    </row>
    <row r="19" spans="2:19" x14ac:dyDescent="0.25">
      <c r="B19" s="6" t="s">
        <v>61</v>
      </c>
      <c r="C19" s="22" t="s">
        <v>23</v>
      </c>
      <c r="D19" s="22">
        <v>90</v>
      </c>
      <c r="E19" s="22">
        <v>7.15</v>
      </c>
      <c r="F19" s="22">
        <v>0.5</v>
      </c>
      <c r="H19" s="24">
        <v>5673</v>
      </c>
      <c r="I19" s="38" t="s">
        <v>24</v>
      </c>
      <c r="K19" s="3">
        <f>EXP(LN(H19)-0.525*(LN(F19)-LN('Summary Sheet'!$C$6))-11.282*(E19-'Summary Sheet'!$C$4)-2.201*(LN(D19)-LN('Summary Sheet'!$C$5))+0.663*(E19^2-'Summary Sheet'!$C$4^2)+0.264*((E19*LN(D19)-'Summary Sheet'!$C$4*LN('Summary Sheet'!$C$5))))</f>
        <v>12705.628494624994</v>
      </c>
      <c r="L19" s="43"/>
      <c r="M19" s="30" t="s">
        <v>13</v>
      </c>
      <c r="N19" s="30"/>
      <c r="O19" s="1"/>
      <c r="P19" s="6" t="s">
        <v>88</v>
      </c>
      <c r="R19" s="34" t="s">
        <v>197</v>
      </c>
      <c r="S19" s="34" t="s">
        <v>11</v>
      </c>
    </row>
    <row r="20" spans="2:19" x14ac:dyDescent="0.25">
      <c r="B20" s="6" t="s">
        <v>61</v>
      </c>
      <c r="C20" s="22" t="s">
        <v>23</v>
      </c>
      <c r="D20" s="45">
        <v>89</v>
      </c>
      <c r="E20" s="22">
        <v>7.6</v>
      </c>
      <c r="F20" s="22">
        <v>0.5</v>
      </c>
      <c r="H20" s="24">
        <v>2880</v>
      </c>
      <c r="I20" s="38" t="s">
        <v>25</v>
      </c>
      <c r="K20" s="3">
        <f>EXP(LN(H20)-0.525*(LN(F20)-LN('Summary Sheet'!$C$6))-11.282*(E20-'Summary Sheet'!$C$4)-2.201*(LN(D20)-LN('Summary Sheet'!$C$5))+0.663*(E20^2-'Summary Sheet'!$C$4^2)+0.264*((E20*LN(D20)-'Summary Sheet'!$C$4*LN('Summary Sheet'!$C$5))))</f>
        <v>5610.4532683816824</v>
      </c>
      <c r="L20" s="43"/>
      <c r="M20" s="30" t="s">
        <v>13</v>
      </c>
      <c r="N20" s="30"/>
      <c r="O20" s="1"/>
      <c r="P20" s="6" t="s">
        <v>88</v>
      </c>
      <c r="R20" s="34" t="s">
        <v>197</v>
      </c>
      <c r="S20" s="34" t="s">
        <v>11</v>
      </c>
    </row>
    <row r="21" spans="2:19" x14ac:dyDescent="0.25">
      <c r="B21" s="6" t="s">
        <v>61</v>
      </c>
      <c r="C21" s="22" t="s">
        <v>9</v>
      </c>
      <c r="D21" s="42">
        <v>10.6</v>
      </c>
      <c r="E21" s="22">
        <v>6.01</v>
      </c>
      <c r="F21" s="22">
        <v>0.5</v>
      </c>
      <c r="H21" s="25">
        <v>71.12</v>
      </c>
      <c r="I21" s="32" t="s">
        <v>26</v>
      </c>
      <c r="K21" s="3">
        <f>EXP(LN(H21)-0.525*(LN(F21)-LN('Summary Sheet'!$C$6))-11.282*(E21-'Summary Sheet'!$C$4)-2.201*(LN(D21)-LN('Summary Sheet'!$C$5))+0.663*(E21^2-'Summary Sheet'!$C$4^2)+0.264*((E21*LN(D21)-'Summary Sheet'!$C$4*LN('Summary Sheet'!$C$5))))</f>
        <v>2822.5908499207517</v>
      </c>
      <c r="L21" s="43"/>
      <c r="M21" s="30" t="s">
        <v>13</v>
      </c>
      <c r="N21" s="30"/>
      <c r="O21" s="1"/>
      <c r="P21" s="6" t="s">
        <v>88</v>
      </c>
      <c r="R21" s="34" t="s">
        <v>197</v>
      </c>
      <c r="S21" s="34" t="s">
        <v>199</v>
      </c>
    </row>
    <row r="22" spans="2:19" x14ac:dyDescent="0.25">
      <c r="B22" s="6" t="s">
        <v>61</v>
      </c>
      <c r="C22" s="22" t="s">
        <v>9</v>
      </c>
      <c r="D22" s="42">
        <v>10.6</v>
      </c>
      <c r="E22" s="22">
        <v>6.05</v>
      </c>
      <c r="F22" s="22">
        <v>2</v>
      </c>
      <c r="H22" s="46">
        <v>686.5</v>
      </c>
      <c r="I22" s="32" t="s">
        <v>26</v>
      </c>
      <c r="K22" s="3">
        <f>EXP(LN(H22)-0.525*(LN(F22)-LN('Summary Sheet'!$C$6))-11.282*(E22-'Summary Sheet'!$C$4)-2.201*(LN(D22)-LN('Summary Sheet'!$C$5))+0.663*(E22^2-'Summary Sheet'!$C$4^2)+0.264*((E22*LN(D22)-'Summary Sheet'!$C$4*LN('Summary Sheet'!$C$5))))</f>
        <v>11829.188950562166</v>
      </c>
      <c r="L22" s="43"/>
      <c r="M22" s="30" t="s">
        <v>13</v>
      </c>
      <c r="N22" s="30"/>
      <c r="O22" s="1"/>
      <c r="P22" s="6" t="s">
        <v>88</v>
      </c>
      <c r="R22" s="34" t="s">
        <v>198</v>
      </c>
    </row>
    <row r="23" spans="2:19" x14ac:dyDescent="0.25">
      <c r="B23" s="6" t="s">
        <v>61</v>
      </c>
      <c r="C23" s="22" t="s">
        <v>9</v>
      </c>
      <c r="D23" s="42">
        <v>10.6</v>
      </c>
      <c r="E23" s="22">
        <v>6.09</v>
      </c>
      <c r="F23" s="22">
        <v>4</v>
      </c>
      <c r="H23" s="46">
        <v>1558.1</v>
      </c>
      <c r="I23" s="32" t="s">
        <v>26</v>
      </c>
      <c r="K23" s="3">
        <f>EXP(LN(H23)-0.525*(LN(F23)-LN('Summary Sheet'!$C$6))-11.282*(E23-'Summary Sheet'!$C$4)-2.201*(LN(D23)-LN('Summary Sheet'!$C$5))+0.663*(E23^2-'Summary Sheet'!$C$4^2)+0.264*((E23*LN(D23)-'Summary Sheet'!$C$4*LN('Summary Sheet'!$C$5))))</f>
        <v>16808.546031355789</v>
      </c>
      <c r="L23" s="43"/>
      <c r="M23" s="30" t="s">
        <v>13</v>
      </c>
      <c r="N23" s="30"/>
      <c r="O23" s="1"/>
      <c r="P23" s="6" t="s">
        <v>88</v>
      </c>
      <c r="R23" s="34" t="s">
        <v>198</v>
      </c>
    </row>
    <row r="24" spans="2:19" x14ac:dyDescent="0.25">
      <c r="B24" s="6" t="s">
        <v>61</v>
      </c>
      <c r="C24" s="22" t="s">
        <v>9</v>
      </c>
      <c r="D24" s="42">
        <v>10.6</v>
      </c>
      <c r="E24" s="22">
        <v>6.01</v>
      </c>
      <c r="F24" s="22">
        <v>0.5</v>
      </c>
      <c r="H24" s="46">
        <v>68.099999999999994</v>
      </c>
      <c r="I24" s="32" t="s">
        <v>26</v>
      </c>
      <c r="K24" s="3">
        <f>EXP(LN(H24)-0.525*(LN(F24)-LN('Summary Sheet'!$C$6))-11.282*(E24-'Summary Sheet'!$C$4)-2.201*(LN(D24)-LN('Summary Sheet'!$C$5))+0.663*(E24^2-'Summary Sheet'!$C$4^2)+0.264*((E24*LN(D24)-'Summary Sheet'!$C$4*LN('Summary Sheet'!$C$5))))</f>
        <v>2702.7339268785636</v>
      </c>
      <c r="L24" s="43"/>
      <c r="M24" s="30" t="s">
        <v>13</v>
      </c>
      <c r="N24" s="30"/>
      <c r="O24" s="1"/>
      <c r="P24" s="6" t="s">
        <v>88</v>
      </c>
      <c r="R24" s="34" t="s">
        <v>197</v>
      </c>
      <c r="S24" s="34" t="s">
        <v>199</v>
      </c>
    </row>
    <row r="25" spans="2:19" x14ac:dyDescent="0.25">
      <c r="B25" s="6" t="s">
        <v>61</v>
      </c>
      <c r="C25" s="22" t="s">
        <v>9</v>
      </c>
      <c r="D25" s="42">
        <v>10.6</v>
      </c>
      <c r="E25" s="22">
        <v>6.03</v>
      </c>
      <c r="F25" s="22">
        <v>0.5</v>
      </c>
      <c r="H25" s="46">
        <v>163</v>
      </c>
      <c r="I25" s="32" t="s">
        <v>26</v>
      </c>
      <c r="K25" s="3">
        <f>EXP(LN(H25)-0.525*(LN(F25)-LN('Summary Sheet'!$C$6))-11.282*(E25-'Summary Sheet'!$C$4)-2.201*(LN(D25)-LN('Summary Sheet'!$C$5))+0.663*(E25^2-'Summary Sheet'!$C$4^2)+0.264*((E25*LN(D25)-'Summary Sheet'!$C$4*LN('Summary Sheet'!$C$5))))</f>
        <v>6131.9482583399249</v>
      </c>
      <c r="L25" s="43"/>
      <c r="M25" s="30" t="s">
        <v>13</v>
      </c>
      <c r="N25" s="30"/>
      <c r="O25" s="1"/>
      <c r="P25" s="6" t="s">
        <v>88</v>
      </c>
      <c r="R25" s="34" t="s">
        <v>197</v>
      </c>
      <c r="S25" s="34" t="s">
        <v>199</v>
      </c>
    </row>
    <row r="26" spans="2:19" x14ac:dyDescent="0.25">
      <c r="B26" s="6" t="s">
        <v>61</v>
      </c>
      <c r="C26" s="22" t="s">
        <v>9</v>
      </c>
      <c r="D26" s="42">
        <v>10.6</v>
      </c>
      <c r="E26" s="22">
        <v>5.97</v>
      </c>
      <c r="F26" s="22">
        <v>0.5</v>
      </c>
      <c r="H26" s="46">
        <v>178.5</v>
      </c>
      <c r="I26" s="32" t="s">
        <v>26</v>
      </c>
      <c r="K26" s="3">
        <f>EXP(LN(H26)-0.525*(LN(F26)-LN('Summary Sheet'!$C$6))-11.282*(E26-'Summary Sheet'!$C$4)-2.201*(LN(D26)-LN('Summary Sheet'!$C$5))+0.663*(E26^2-'Summary Sheet'!$C$4^2)+0.264*((E26*LN(D26)-'Summary Sheet'!$C$4*LN('Summary Sheet'!$C$5))))</f>
        <v>7897.2531464921958</v>
      </c>
      <c r="L26" s="43"/>
      <c r="M26" s="30" t="s">
        <v>13</v>
      </c>
      <c r="N26" s="30"/>
      <c r="O26" s="1"/>
      <c r="P26" s="6" t="s">
        <v>88</v>
      </c>
      <c r="R26" s="34" t="s">
        <v>197</v>
      </c>
      <c r="S26" s="34" t="s">
        <v>199</v>
      </c>
    </row>
    <row r="27" spans="2:19" x14ac:dyDescent="0.25">
      <c r="B27" s="6" t="s">
        <v>61</v>
      </c>
      <c r="C27" s="22" t="s">
        <v>9</v>
      </c>
      <c r="D27" s="42">
        <v>10.6</v>
      </c>
      <c r="E27" s="22">
        <v>5.92</v>
      </c>
      <c r="F27" s="22">
        <v>0.5</v>
      </c>
      <c r="H27" s="46">
        <v>141</v>
      </c>
      <c r="I27" s="32" t="s">
        <v>26</v>
      </c>
      <c r="K27" s="3">
        <f>EXP(LN(H27)-0.525*(LN(F27)-LN('Summary Sheet'!$C$6))-11.282*(E27-'Summary Sheet'!$C$4)-2.201*(LN(D27)-LN('Summary Sheet'!$C$5))+0.663*(E27^2-'Summary Sheet'!$C$4^2)+0.264*((E27*LN(D27)-'Summary Sheet'!$C$4*LN('Summary Sheet'!$C$5))))</f>
        <v>7166.873542027728</v>
      </c>
      <c r="L27" s="43"/>
      <c r="M27" s="30" t="s">
        <v>13</v>
      </c>
      <c r="N27" s="30"/>
      <c r="O27" s="1"/>
      <c r="P27" s="6" t="s">
        <v>88</v>
      </c>
      <c r="R27" s="34" t="s">
        <v>197</v>
      </c>
      <c r="S27" s="34" t="s">
        <v>199</v>
      </c>
    </row>
    <row r="28" spans="2:19" x14ac:dyDescent="0.25">
      <c r="B28" s="6" t="s">
        <v>61</v>
      </c>
      <c r="C28" s="22" t="s">
        <v>9</v>
      </c>
      <c r="D28" s="42">
        <v>10.6</v>
      </c>
      <c r="E28" s="22">
        <v>6.99</v>
      </c>
      <c r="F28" s="22">
        <v>0.5</v>
      </c>
      <c r="G28" s="35" t="s">
        <v>10</v>
      </c>
      <c r="H28" s="24">
        <v>1300</v>
      </c>
      <c r="I28" s="32" t="s">
        <v>26</v>
      </c>
      <c r="J28" s="1" t="s">
        <v>10</v>
      </c>
      <c r="K28" s="3">
        <f>EXP(LN(H28)-0.525*(LN(F28)-LN('Summary Sheet'!$C$6))-11.282*(E28-'Summary Sheet'!$C$4)-2.201*(LN(D28)-LN('Summary Sheet'!$C$5))+0.663*(E28^2-'Summary Sheet'!$C$4^2)+0.264*((E28*LN(D28)-'Summary Sheet'!$C$4*LN('Summary Sheet'!$C$5))))</f>
        <v>6989.9003753147817</v>
      </c>
      <c r="L28" s="43"/>
      <c r="M28" s="30" t="s">
        <v>13</v>
      </c>
      <c r="N28" s="30"/>
      <c r="O28" s="1"/>
      <c r="P28" s="6" t="s">
        <v>88</v>
      </c>
      <c r="R28" s="34" t="s">
        <v>197</v>
      </c>
      <c r="S28" s="34" t="s">
        <v>199</v>
      </c>
    </row>
    <row r="29" spans="2:19" x14ac:dyDescent="0.25">
      <c r="B29" s="6" t="s">
        <v>61</v>
      </c>
      <c r="C29" s="22" t="s">
        <v>9</v>
      </c>
      <c r="D29" s="42">
        <v>10.6</v>
      </c>
      <c r="E29" s="22">
        <v>7.85</v>
      </c>
      <c r="F29" s="22">
        <v>0.5</v>
      </c>
      <c r="G29" s="35" t="s">
        <v>10</v>
      </c>
      <c r="H29" s="24">
        <v>5000</v>
      </c>
      <c r="I29" s="32" t="s">
        <v>26</v>
      </c>
      <c r="J29" s="1" t="s">
        <v>10</v>
      </c>
      <c r="K29" s="3">
        <f>EXP(LN(H29)-0.525*(LN(F29)-LN('Summary Sheet'!$C$6))-11.282*(E29-'Summary Sheet'!$C$4)-2.201*(LN(D29)-LN('Summary Sheet'!$C$5))+0.663*(E29^2-'Summary Sheet'!$C$4^2)+0.264*((E29*LN(D29)-'Summary Sheet'!$C$4*LN('Summary Sheet'!$C$5))))</f>
        <v>13283.191567687543</v>
      </c>
      <c r="L29" s="43"/>
      <c r="M29" s="30" t="s">
        <v>13</v>
      </c>
      <c r="N29" s="30"/>
      <c r="O29" s="1"/>
      <c r="P29" s="6" t="s">
        <v>88</v>
      </c>
      <c r="R29" s="34" t="s">
        <v>197</v>
      </c>
      <c r="S29" s="34" t="s">
        <v>199</v>
      </c>
    </row>
    <row r="30" spans="2:19" x14ac:dyDescent="0.25">
      <c r="B30" s="6" t="s">
        <v>61</v>
      </c>
      <c r="C30" s="22" t="s">
        <v>9</v>
      </c>
      <c r="D30" s="42">
        <v>10.6</v>
      </c>
      <c r="E30" s="22">
        <v>6.8</v>
      </c>
      <c r="F30" s="22">
        <v>2</v>
      </c>
      <c r="G30" s="35" t="s">
        <v>10</v>
      </c>
      <c r="H30" s="24">
        <v>10000</v>
      </c>
      <c r="I30" s="32" t="s">
        <v>26</v>
      </c>
      <c r="J30" s="1" t="s">
        <v>10</v>
      </c>
      <c r="K30" s="3">
        <f>EXP(LN(H30)-0.525*(LN(F30)-LN('Summary Sheet'!$C$6))-11.282*(E30-'Summary Sheet'!$C$4)-2.201*(LN(D30)-LN('Summary Sheet'!$C$5))+0.663*(E30^2-'Summary Sheet'!$C$4^2)+0.264*((E30*LN(D30)-'Summary Sheet'!$C$4*LN('Summary Sheet'!$C$5))))</f>
        <v>34636.770740713087</v>
      </c>
      <c r="L30" s="43"/>
      <c r="M30" s="30" t="s">
        <v>13</v>
      </c>
      <c r="N30" s="30"/>
      <c r="O30" s="1"/>
      <c r="P30" s="6" t="s">
        <v>88</v>
      </c>
      <c r="R30" s="34" t="s">
        <v>198</v>
      </c>
    </row>
    <row r="31" spans="2:19" x14ac:dyDescent="0.25">
      <c r="B31" s="6" t="s">
        <v>61</v>
      </c>
      <c r="C31" s="22" t="s">
        <v>9</v>
      </c>
      <c r="D31" s="42">
        <v>10.6</v>
      </c>
      <c r="E31" s="22">
        <v>7.82</v>
      </c>
      <c r="F31" s="22">
        <v>2</v>
      </c>
      <c r="G31" s="35" t="s">
        <v>10</v>
      </c>
      <c r="H31" s="24">
        <v>15000</v>
      </c>
      <c r="I31" s="32" t="s">
        <v>26</v>
      </c>
      <c r="J31" s="1" t="s">
        <v>10</v>
      </c>
      <c r="K31" s="3">
        <f>EXP(LN(H31)-0.525*(LN(F31)-LN('Summary Sheet'!$C$6))-11.282*(E31-'Summary Sheet'!$C$4)-2.201*(LN(D31)-LN('Summary Sheet'!$C$5))+0.663*(E31^2-'Summary Sheet'!$C$4^2)+0.264*((E31*LN(D31)-'Summary Sheet'!$C$4*LN('Summary Sheet'!$C$5))))</f>
        <v>19402.325489096667</v>
      </c>
      <c r="L31" s="43"/>
      <c r="M31" s="30" t="s">
        <v>13</v>
      </c>
      <c r="N31" s="30"/>
      <c r="O31" s="1"/>
      <c r="P31" s="6" t="s">
        <v>88</v>
      </c>
      <c r="R31" s="34" t="s">
        <v>198</v>
      </c>
    </row>
    <row r="32" spans="2:19" x14ac:dyDescent="0.25">
      <c r="B32" s="6" t="s">
        <v>61</v>
      </c>
      <c r="C32" s="22" t="s">
        <v>9</v>
      </c>
      <c r="D32" s="42">
        <v>10.6</v>
      </c>
      <c r="E32" s="22">
        <v>6.77</v>
      </c>
      <c r="F32" s="22">
        <v>4</v>
      </c>
      <c r="G32" s="35" t="s">
        <v>10</v>
      </c>
      <c r="H32" s="24">
        <v>10000</v>
      </c>
      <c r="I32" s="32" t="s">
        <v>26</v>
      </c>
      <c r="J32" s="1" t="s">
        <v>10</v>
      </c>
      <c r="K32" s="3">
        <f>EXP(LN(H32)-0.525*(LN(F32)-LN('Summary Sheet'!$C$6))-11.282*(E32-'Summary Sheet'!$C$4)-2.201*(LN(D32)-LN('Summary Sheet'!$C$5))+0.663*(E32^2-'Summary Sheet'!$C$4^2)+0.264*((E32*LN(D32)-'Summary Sheet'!$C$4*LN('Summary Sheet'!$C$5))))</f>
        <v>25301.617397506616</v>
      </c>
      <c r="L32" s="43"/>
      <c r="M32" s="30" t="s">
        <v>13</v>
      </c>
      <c r="N32" s="30"/>
      <c r="O32" s="1"/>
      <c r="P32" s="6" t="s">
        <v>88</v>
      </c>
      <c r="R32" s="34" t="s">
        <v>198</v>
      </c>
    </row>
    <row r="33" spans="2:19" x14ac:dyDescent="0.25">
      <c r="B33" s="6" t="s">
        <v>61</v>
      </c>
      <c r="C33" s="22" t="s">
        <v>9</v>
      </c>
      <c r="D33" s="42">
        <v>10.6</v>
      </c>
      <c r="E33" s="22">
        <v>7.66</v>
      </c>
      <c r="F33" s="22">
        <v>4</v>
      </c>
      <c r="G33" s="35" t="s">
        <v>10</v>
      </c>
      <c r="H33" s="24">
        <v>15000</v>
      </c>
      <c r="I33" s="32" t="s">
        <v>26</v>
      </c>
      <c r="J33" s="1" t="s">
        <v>10</v>
      </c>
      <c r="K33" s="3">
        <f>EXP(LN(H33)-0.525*(LN(F33)-LN('Summary Sheet'!$C$6))-11.282*(E33-'Summary Sheet'!$C$4)-2.201*(LN(D33)-LN('Summary Sheet'!$C$5))+0.663*(E33^2-'Summary Sheet'!$C$4^2)+0.264*((E33*LN(D33)-'Summary Sheet'!$C$4*LN('Summary Sheet'!$C$5))))</f>
        <v>14364.642232996222</v>
      </c>
      <c r="L33" s="43"/>
      <c r="M33" s="30" t="s">
        <v>13</v>
      </c>
      <c r="N33" s="30"/>
      <c r="O33" s="1"/>
      <c r="P33" s="6" t="s">
        <v>88</v>
      </c>
      <c r="R33" s="34" t="s">
        <v>198</v>
      </c>
    </row>
    <row r="34" spans="2:19" x14ac:dyDescent="0.25">
      <c r="B34" s="6" t="s">
        <v>61</v>
      </c>
      <c r="C34" s="22" t="s">
        <v>9</v>
      </c>
      <c r="D34" s="42">
        <v>10.6</v>
      </c>
      <c r="E34" s="22">
        <v>7.9</v>
      </c>
      <c r="F34" s="22">
        <v>0.5</v>
      </c>
      <c r="G34" s="35" t="s">
        <v>10</v>
      </c>
      <c r="H34" s="24">
        <v>2000</v>
      </c>
      <c r="I34" s="32" t="s">
        <v>26</v>
      </c>
      <c r="J34" s="1" t="s">
        <v>10</v>
      </c>
      <c r="K34" s="3">
        <f>EXP(LN(H34)-0.525*(LN(F34)-LN('Summary Sheet'!$C$6))-11.282*(E34-'Summary Sheet'!$C$4)-2.201*(LN(D34)-LN('Summary Sheet'!$C$5))+0.663*(E34^2-'Summary Sheet'!$C$4^2)+0.264*((E34*LN(D34)-'Summary Sheet'!$C$4*LN('Summary Sheet'!$C$5))))</f>
        <v>5256.074655830992</v>
      </c>
      <c r="L34" s="43"/>
      <c r="M34" s="30" t="s">
        <v>13</v>
      </c>
      <c r="N34" s="30"/>
      <c r="O34" s="1"/>
      <c r="P34" s="6" t="s">
        <v>88</v>
      </c>
      <c r="R34" s="34" t="s">
        <v>197</v>
      </c>
      <c r="S34" s="34" t="s">
        <v>199</v>
      </c>
    </row>
    <row r="35" spans="2:19" x14ac:dyDescent="0.25">
      <c r="B35" s="6" t="s">
        <v>61</v>
      </c>
      <c r="C35" s="22" t="s">
        <v>9</v>
      </c>
      <c r="D35" s="42">
        <v>10.6</v>
      </c>
      <c r="E35" s="22">
        <v>7.89</v>
      </c>
      <c r="F35" s="22">
        <v>0.5</v>
      </c>
      <c r="G35" s="35" t="s">
        <v>10</v>
      </c>
      <c r="H35" s="24">
        <v>2000</v>
      </c>
      <c r="I35" s="32" t="s">
        <v>26</v>
      </c>
      <c r="J35" s="1" t="s">
        <v>10</v>
      </c>
      <c r="K35" s="3">
        <f>EXP(LN(H35)-0.525*(LN(F35)-LN('Summary Sheet'!$C$6))-11.282*(E35-'Summary Sheet'!$C$4)-2.201*(LN(D35)-LN('Summary Sheet'!$C$5))+0.663*(E35^2-'Summary Sheet'!$C$4^2)+0.264*((E35*LN(D35)-'Summary Sheet'!$C$4*LN('Summary Sheet'!$C$5))))</f>
        <v>5266.0688237499808</v>
      </c>
      <c r="L35" s="43"/>
      <c r="M35" s="30" t="s">
        <v>13</v>
      </c>
      <c r="N35" s="30"/>
      <c r="O35" s="1"/>
      <c r="P35" s="6" t="s">
        <v>88</v>
      </c>
      <c r="R35" s="34" t="s">
        <v>197</v>
      </c>
      <c r="S35" s="34" t="s">
        <v>199</v>
      </c>
    </row>
    <row r="36" spans="2:19" x14ac:dyDescent="0.25">
      <c r="B36" s="6" t="s">
        <v>61</v>
      </c>
      <c r="C36" s="22" t="s">
        <v>9</v>
      </c>
      <c r="D36" s="45">
        <v>60</v>
      </c>
      <c r="E36" s="22">
        <v>6.04</v>
      </c>
      <c r="F36" s="22">
        <v>0.5</v>
      </c>
      <c r="H36" s="46">
        <v>110.8</v>
      </c>
      <c r="I36" s="32" t="s">
        <v>26</v>
      </c>
      <c r="K36" s="3">
        <f>EXP(LN(H36)-0.525*(LN(F36)-LN('Summary Sheet'!$C$6))-11.282*(E36-'Summary Sheet'!$C$4)-2.201*(LN(D36)-LN('Summary Sheet'!$C$5))+0.663*(E36^2-'Summary Sheet'!$C$4^2)+0.264*((E36*LN(D36)-'Summary Sheet'!$C$4*LN('Summary Sheet'!$C$5))))</f>
        <v>1418.5962625712389</v>
      </c>
      <c r="L36" s="43"/>
      <c r="M36" s="30" t="s">
        <v>13</v>
      </c>
      <c r="N36" s="30"/>
      <c r="O36" s="1"/>
      <c r="P36" s="6" t="s">
        <v>88</v>
      </c>
      <c r="R36" s="34" t="s">
        <v>197</v>
      </c>
      <c r="S36" s="34" t="s">
        <v>199</v>
      </c>
    </row>
    <row r="37" spans="2:19" x14ac:dyDescent="0.25">
      <c r="B37" s="6" t="s">
        <v>61</v>
      </c>
      <c r="C37" s="22" t="s">
        <v>9</v>
      </c>
      <c r="D37" s="45">
        <v>60</v>
      </c>
      <c r="E37" s="22">
        <v>5.98</v>
      </c>
      <c r="F37" s="22">
        <v>2</v>
      </c>
      <c r="H37" s="46">
        <v>1137.0999999999999</v>
      </c>
      <c r="I37" s="32" t="s">
        <v>26</v>
      </c>
      <c r="K37" s="3">
        <f>EXP(LN(H37)-0.525*(LN(F37)-LN('Summary Sheet'!$C$6))-11.282*(E37-'Summary Sheet'!$C$4)-2.201*(LN(D37)-LN('Summary Sheet'!$C$5))+0.663*(E37^2-'Summary Sheet'!$C$4^2)+0.264*((E37*LN(D37)-'Summary Sheet'!$C$4*LN('Summary Sheet'!$C$5))))</f>
        <v>8038.8251272112775</v>
      </c>
      <c r="L37" s="43"/>
      <c r="M37" s="30" t="s">
        <v>13</v>
      </c>
      <c r="N37" s="30"/>
      <c r="O37" s="1"/>
      <c r="P37" s="6" t="s">
        <v>88</v>
      </c>
      <c r="R37" s="34" t="s">
        <v>198</v>
      </c>
    </row>
    <row r="38" spans="2:19" x14ac:dyDescent="0.25">
      <c r="B38" s="6" t="s">
        <v>61</v>
      </c>
      <c r="C38" s="22" t="s">
        <v>9</v>
      </c>
      <c r="D38" s="45">
        <v>60</v>
      </c>
      <c r="E38" s="22">
        <v>5.73</v>
      </c>
      <c r="F38" s="22">
        <v>4</v>
      </c>
      <c r="H38" s="46">
        <v>8046.7</v>
      </c>
      <c r="I38" s="32" t="s">
        <v>26</v>
      </c>
      <c r="K38" s="3">
        <f>EXP(LN(H38)-0.525*(LN(F38)-LN('Summary Sheet'!$C$6))-11.282*(E38-'Summary Sheet'!$C$4)-2.201*(LN(D38)-LN('Summary Sheet'!$C$5))+0.663*(E38^2-'Summary Sheet'!$C$4^2)+0.264*((E38*LN(D38)-'Summary Sheet'!$C$4*LN('Summary Sheet'!$C$5))))</f>
        <v>72711.702476621125</v>
      </c>
      <c r="L38" s="43"/>
      <c r="M38" s="30" t="s">
        <v>13</v>
      </c>
      <c r="N38" s="30"/>
      <c r="O38" s="1"/>
      <c r="P38" s="6" t="s">
        <v>88</v>
      </c>
      <c r="R38" s="34" t="s">
        <v>198</v>
      </c>
    </row>
    <row r="39" spans="2:19" x14ac:dyDescent="0.25">
      <c r="B39" s="6" t="s">
        <v>61</v>
      </c>
      <c r="C39" s="22" t="s">
        <v>9</v>
      </c>
      <c r="D39" s="45">
        <v>60</v>
      </c>
      <c r="E39" s="22">
        <v>6.71</v>
      </c>
      <c r="F39" s="22">
        <v>0.5</v>
      </c>
      <c r="G39" s="35" t="s">
        <v>10</v>
      </c>
      <c r="H39" s="24">
        <v>10000</v>
      </c>
      <c r="I39" s="32" t="s">
        <v>26</v>
      </c>
      <c r="J39" s="1" t="s">
        <v>10</v>
      </c>
      <c r="K39" s="3">
        <f>EXP(LN(H39)-0.525*(LN(F39)-LN('Summary Sheet'!$C$6))-11.282*(E39-'Summary Sheet'!$C$4)-2.201*(LN(D39)-LN('Summary Sheet'!$C$5))+0.663*(E39^2-'Summary Sheet'!$C$4^2)+0.264*((E39*LN(D39)-'Summary Sheet'!$C$4*LN('Summary Sheet'!$C$5))))</f>
        <v>39695.054137847481</v>
      </c>
      <c r="L39" s="43"/>
      <c r="M39" s="30" t="s">
        <v>13</v>
      </c>
      <c r="N39" s="30"/>
      <c r="O39" s="1"/>
      <c r="P39" s="6" t="s">
        <v>88</v>
      </c>
      <c r="R39" s="34" t="s">
        <v>197</v>
      </c>
      <c r="S39" s="34" t="s">
        <v>199</v>
      </c>
    </row>
    <row r="40" spans="2:19" x14ac:dyDescent="0.25">
      <c r="B40" s="6" t="s">
        <v>61</v>
      </c>
      <c r="C40" s="22" t="s">
        <v>9</v>
      </c>
      <c r="D40" s="45">
        <v>60</v>
      </c>
      <c r="E40" s="22">
        <v>7.83</v>
      </c>
      <c r="F40" s="22">
        <v>0.5</v>
      </c>
      <c r="G40" s="35" t="s">
        <v>10</v>
      </c>
      <c r="H40" s="24">
        <v>5000</v>
      </c>
      <c r="I40" s="32" t="s">
        <v>26</v>
      </c>
      <c r="J40" s="1" t="s">
        <v>10</v>
      </c>
      <c r="K40" s="3">
        <f>EXP(LN(H40)-0.525*(LN(F40)-LN('Summary Sheet'!$C$6))-11.282*(E40-'Summary Sheet'!$C$4)-2.201*(LN(D40)-LN('Summary Sheet'!$C$5))+0.663*(E40^2-'Summary Sheet'!$C$4^2)+0.264*((E40*LN(D40)-'Summary Sheet'!$C$4*LN('Summary Sheet'!$C$5))))</f>
        <v>10587.537677182503</v>
      </c>
      <c r="L40" s="43"/>
      <c r="M40" s="30" t="s">
        <v>13</v>
      </c>
      <c r="N40" s="30"/>
      <c r="O40" s="1"/>
      <c r="P40" s="6" t="s">
        <v>88</v>
      </c>
      <c r="R40" s="34" t="s">
        <v>197</v>
      </c>
      <c r="S40" s="34" t="s">
        <v>199</v>
      </c>
    </row>
    <row r="41" spans="2:19" x14ac:dyDescent="0.25">
      <c r="B41" s="6" t="s">
        <v>61</v>
      </c>
      <c r="C41" s="22" t="s">
        <v>9</v>
      </c>
      <c r="D41" s="45">
        <v>60</v>
      </c>
      <c r="E41" s="22">
        <v>6.79</v>
      </c>
      <c r="F41" s="22">
        <v>2</v>
      </c>
      <c r="G41" s="35" t="s">
        <v>10</v>
      </c>
      <c r="H41" s="24">
        <v>10000</v>
      </c>
      <c r="I41" s="32" t="s">
        <v>26</v>
      </c>
      <c r="J41" s="1" t="s">
        <v>10</v>
      </c>
      <c r="K41" s="3">
        <f>EXP(LN(H41)-0.525*(LN(F41)-LN('Summary Sheet'!$C$6))-11.282*(E41-'Summary Sheet'!$C$4)-2.201*(LN(D41)-LN('Summary Sheet'!$C$5))+0.663*(E41^2-'Summary Sheet'!$C$4^2)+0.264*((E41*LN(D41)-'Summary Sheet'!$C$4*LN('Summary Sheet'!$C$5))))</f>
        <v>17346.220023706937</v>
      </c>
      <c r="L41" s="43"/>
      <c r="M41" s="30" t="s">
        <v>13</v>
      </c>
      <c r="N41" s="30"/>
      <c r="O41" s="1"/>
      <c r="P41" s="6" t="s">
        <v>88</v>
      </c>
      <c r="R41" s="34" t="s">
        <v>198</v>
      </c>
    </row>
    <row r="42" spans="2:19" x14ac:dyDescent="0.25">
      <c r="B42" s="6" t="s">
        <v>61</v>
      </c>
      <c r="C42" s="22" t="s">
        <v>9</v>
      </c>
      <c r="D42" s="45">
        <v>60</v>
      </c>
      <c r="E42" s="22">
        <v>7.67</v>
      </c>
      <c r="F42" s="22">
        <v>2</v>
      </c>
      <c r="G42" s="35" t="s">
        <v>10</v>
      </c>
      <c r="H42" s="24">
        <v>15000</v>
      </c>
      <c r="I42" s="32" t="s">
        <v>26</v>
      </c>
      <c r="J42" s="1" t="s">
        <v>10</v>
      </c>
      <c r="K42" s="3">
        <f>EXP(LN(H42)-0.525*(LN(F42)-LN('Summary Sheet'!$C$6))-11.282*(E42-'Summary Sheet'!$C$4)-2.201*(LN(D42)-LN('Summary Sheet'!$C$5))+0.663*(E42^2-'Summary Sheet'!$C$4^2)+0.264*((E42*LN(D42)-'Summary Sheet'!$C$4*LN('Summary Sheet'!$C$5))))</f>
        <v>15156.360114401185</v>
      </c>
      <c r="L42" s="43"/>
      <c r="M42" s="30" t="s">
        <v>13</v>
      </c>
      <c r="N42" s="30"/>
      <c r="O42" s="1"/>
      <c r="P42" s="6" t="s">
        <v>88</v>
      </c>
      <c r="R42" s="34" t="s">
        <v>198</v>
      </c>
    </row>
    <row r="43" spans="2:19" x14ac:dyDescent="0.25">
      <c r="B43" s="6" t="s">
        <v>61</v>
      </c>
      <c r="C43" s="22" t="s">
        <v>9</v>
      </c>
      <c r="D43" s="45">
        <v>60</v>
      </c>
      <c r="E43" s="22">
        <v>6.68</v>
      </c>
      <c r="F43" s="22">
        <v>4</v>
      </c>
      <c r="G43" s="35" t="s">
        <v>10</v>
      </c>
      <c r="H43" s="24">
        <v>15000</v>
      </c>
      <c r="I43" s="32" t="s">
        <v>26</v>
      </c>
      <c r="J43" s="1" t="s">
        <v>10</v>
      </c>
      <c r="K43" s="3">
        <f>EXP(LN(H43)-0.525*(LN(F43)-LN('Summary Sheet'!$C$6))-11.282*(E43-'Summary Sheet'!$C$4)-2.201*(LN(D43)-LN('Summary Sheet'!$C$5))+0.663*(E43^2-'Summary Sheet'!$C$4^2)+0.264*((E43*LN(D43)-'Summary Sheet'!$C$4*LN('Summary Sheet'!$C$5))))</f>
        <v>20794.542839848025</v>
      </c>
      <c r="L43" s="43"/>
      <c r="M43" s="30" t="s">
        <v>13</v>
      </c>
      <c r="N43" s="30"/>
      <c r="O43" s="1"/>
      <c r="P43" s="6" t="s">
        <v>88</v>
      </c>
      <c r="R43" s="34" t="s">
        <v>198</v>
      </c>
    </row>
    <row r="44" spans="2:19" x14ac:dyDescent="0.25">
      <c r="B44" s="6" t="s">
        <v>61</v>
      </c>
      <c r="C44" s="22" t="s">
        <v>9</v>
      </c>
      <c r="D44" s="45">
        <v>60</v>
      </c>
      <c r="E44" s="22">
        <v>7.62</v>
      </c>
      <c r="F44" s="22">
        <v>4</v>
      </c>
      <c r="G44" s="35" t="s">
        <v>10</v>
      </c>
      <c r="H44" s="24">
        <v>15000</v>
      </c>
      <c r="I44" s="32" t="s">
        <v>26</v>
      </c>
      <c r="J44" s="1" t="s">
        <v>10</v>
      </c>
      <c r="K44" s="3">
        <f>EXP(LN(H44)-0.525*(LN(F44)-LN('Summary Sheet'!$C$6))-11.282*(E44-'Summary Sheet'!$C$4)-2.201*(LN(D44)-LN('Summary Sheet'!$C$5))+0.663*(E44^2-'Summary Sheet'!$C$4^2)+0.264*((E44*LN(D44)-'Summary Sheet'!$C$4*LN('Summary Sheet'!$C$5))))</f>
        <v>10566.7167861869</v>
      </c>
      <c r="L44" s="43"/>
      <c r="M44" s="30" t="s">
        <v>13</v>
      </c>
      <c r="N44" s="30"/>
      <c r="O44" s="1"/>
      <c r="P44" s="6" t="s">
        <v>88</v>
      </c>
      <c r="R44" s="34" t="s">
        <v>198</v>
      </c>
    </row>
    <row r="45" spans="2:19" x14ac:dyDescent="0.25">
      <c r="B45" s="6" t="s">
        <v>61</v>
      </c>
      <c r="C45" s="22" t="s">
        <v>9</v>
      </c>
      <c r="D45" s="45">
        <v>120</v>
      </c>
      <c r="E45" s="22">
        <v>6.06</v>
      </c>
      <c r="F45" s="22">
        <v>2</v>
      </c>
      <c r="H45" s="46">
        <v>3386.8</v>
      </c>
      <c r="I45" s="32" t="s">
        <v>26</v>
      </c>
      <c r="K45" s="3">
        <f>EXP(LN(H45)-0.525*(LN(F45)-LN('Summary Sheet'!$C$6))-11.282*(E45-'Summary Sheet'!$C$4)-2.201*(LN(D45)-LN('Summary Sheet'!$C$5))+0.663*(E45^2-'Summary Sheet'!$C$4^2)+0.264*((E45*LN(D45)-'Summary Sheet'!$C$4*LN('Summary Sheet'!$C$5))))</f>
        <v>13217.069039275691</v>
      </c>
      <c r="L45" s="43"/>
      <c r="M45" s="30" t="s">
        <v>13</v>
      </c>
      <c r="N45" s="30"/>
      <c r="O45" s="1"/>
      <c r="P45" s="6" t="s">
        <v>88</v>
      </c>
      <c r="R45" s="34" t="s">
        <v>198</v>
      </c>
    </row>
    <row r="46" spans="2:19" x14ac:dyDescent="0.25">
      <c r="B46" s="6" t="s">
        <v>61</v>
      </c>
      <c r="C46" s="22" t="s">
        <v>9</v>
      </c>
      <c r="D46" s="45">
        <v>120</v>
      </c>
      <c r="E46" s="22">
        <v>5.6</v>
      </c>
      <c r="F46" s="22">
        <v>4</v>
      </c>
      <c r="H46" s="46">
        <v>10484.200000000001</v>
      </c>
      <c r="I46" s="32" t="s">
        <v>26</v>
      </c>
      <c r="K46" s="3">
        <f>EXP(LN(H46)-0.525*(LN(F46)-LN('Summary Sheet'!$C$6))-11.282*(E46-'Summary Sheet'!$C$4)-2.201*(LN(D46)-LN('Summary Sheet'!$C$5))+0.663*(E46^2-'Summary Sheet'!$C$4^2)+0.264*((E46*LN(D46)-'Summary Sheet'!$C$4*LN('Summary Sheet'!$C$5))))</f>
        <v>81438.723244571287</v>
      </c>
      <c r="L46" s="43"/>
      <c r="M46" s="30" t="s">
        <v>13</v>
      </c>
      <c r="N46" s="30"/>
      <c r="O46" s="1"/>
      <c r="P46" s="6" t="s">
        <v>88</v>
      </c>
      <c r="R46" s="34" t="s">
        <v>198</v>
      </c>
    </row>
    <row r="47" spans="2:19" x14ac:dyDescent="0.25">
      <c r="B47" s="6" t="s">
        <v>61</v>
      </c>
      <c r="C47" s="22" t="s">
        <v>9</v>
      </c>
      <c r="D47" s="45">
        <v>120</v>
      </c>
      <c r="E47" s="22">
        <v>6.93</v>
      </c>
      <c r="F47" s="22">
        <v>0.5</v>
      </c>
      <c r="G47" s="35" t="s">
        <v>10</v>
      </c>
      <c r="H47" s="24">
        <v>5000</v>
      </c>
      <c r="I47" s="32" t="s">
        <v>26</v>
      </c>
      <c r="J47" s="1" t="s">
        <v>10</v>
      </c>
      <c r="K47" s="3">
        <f>EXP(LN(H47)-0.525*(LN(F47)-LN('Summary Sheet'!$C$6))-11.282*(E47-'Summary Sheet'!$C$4)-2.201*(LN(D47)-LN('Summary Sheet'!$C$5))+0.663*(E47^2-'Summary Sheet'!$C$4^2)+0.264*((E47*LN(D47)-'Summary Sheet'!$C$4*LN('Summary Sheet'!$C$5))))</f>
        <v>11892.156153275484</v>
      </c>
      <c r="L47" s="43"/>
      <c r="M47" s="30" t="s">
        <v>13</v>
      </c>
      <c r="N47" s="30"/>
      <c r="O47" s="1"/>
      <c r="P47" s="6" t="s">
        <v>88</v>
      </c>
      <c r="R47" s="34" t="s">
        <v>197</v>
      </c>
      <c r="S47" s="34" t="s">
        <v>199</v>
      </c>
    </row>
    <row r="48" spans="2:19" x14ac:dyDescent="0.25">
      <c r="B48" s="6" t="s">
        <v>61</v>
      </c>
      <c r="C48" s="22" t="s">
        <v>9</v>
      </c>
      <c r="D48" s="45">
        <v>120</v>
      </c>
      <c r="E48" s="22">
        <v>7.88</v>
      </c>
      <c r="F48" s="22">
        <v>0.5</v>
      </c>
      <c r="G48" s="35" t="s">
        <v>10</v>
      </c>
      <c r="H48" s="24">
        <v>5000</v>
      </c>
      <c r="I48" s="32" t="s">
        <v>26</v>
      </c>
      <c r="J48" s="1" t="s">
        <v>10</v>
      </c>
      <c r="K48" s="3">
        <f>EXP(LN(H48)-0.525*(LN(F48)-LN('Summary Sheet'!$C$6))-11.282*(E48-'Summary Sheet'!$C$4)-2.201*(LN(D48)-LN('Summary Sheet'!$C$5))+0.663*(E48^2-'Summary Sheet'!$C$4^2)+0.264*((E48*LN(D48)-'Summary Sheet'!$C$4*LN('Summary Sheet'!$C$5))))</f>
        <v>9842.9992366145871</v>
      </c>
      <c r="L48" s="43"/>
      <c r="M48" s="30" t="s">
        <v>13</v>
      </c>
      <c r="N48" s="30"/>
      <c r="O48" s="1"/>
      <c r="P48" s="6" t="s">
        <v>88</v>
      </c>
      <c r="R48" s="34" t="s">
        <v>197</v>
      </c>
      <c r="S48" s="34" t="s">
        <v>199</v>
      </c>
    </row>
    <row r="49" spans="2:19" x14ac:dyDescent="0.25">
      <c r="B49" s="6" t="s">
        <v>61</v>
      </c>
      <c r="C49" s="22" t="s">
        <v>9</v>
      </c>
      <c r="D49" s="45">
        <v>120</v>
      </c>
      <c r="E49" s="22">
        <v>6.76</v>
      </c>
      <c r="F49" s="22">
        <v>2</v>
      </c>
      <c r="G49" s="35" t="s">
        <v>10</v>
      </c>
      <c r="H49" s="24">
        <v>15000</v>
      </c>
      <c r="I49" s="32" t="s">
        <v>26</v>
      </c>
      <c r="J49" s="1" t="s">
        <v>10</v>
      </c>
      <c r="K49" s="3">
        <f>EXP(LN(H49)-0.525*(LN(F49)-LN('Summary Sheet'!$C$6))-11.282*(E49-'Summary Sheet'!$C$4)-2.201*(LN(D49)-LN('Summary Sheet'!$C$5))+0.663*(E49^2-'Summary Sheet'!$C$4^2)+0.264*((E49*LN(D49)-'Summary Sheet'!$C$4*LN('Summary Sheet'!$C$5))))</f>
        <v>20221.861176366794</v>
      </c>
      <c r="L49" s="43"/>
      <c r="M49" s="30" t="s">
        <v>13</v>
      </c>
      <c r="N49" s="30"/>
      <c r="O49" s="1"/>
      <c r="P49" s="6" t="s">
        <v>88</v>
      </c>
      <c r="R49" s="34" t="s">
        <v>198</v>
      </c>
    </row>
    <row r="50" spans="2:19" x14ac:dyDescent="0.25">
      <c r="B50" s="6" t="s">
        <v>61</v>
      </c>
      <c r="C50" s="22" t="s">
        <v>9</v>
      </c>
      <c r="D50" s="45">
        <v>120</v>
      </c>
      <c r="E50" s="22">
        <v>7.71</v>
      </c>
      <c r="F50" s="22">
        <v>2</v>
      </c>
      <c r="G50" s="35" t="s">
        <v>10</v>
      </c>
      <c r="H50" s="24">
        <v>15000</v>
      </c>
      <c r="I50" s="32" t="s">
        <v>26</v>
      </c>
      <c r="J50" s="1" t="s">
        <v>10</v>
      </c>
      <c r="K50" s="3">
        <f>EXP(LN(H50)-0.525*(LN(F50)-LN('Summary Sheet'!$C$6))-11.282*(E50-'Summary Sheet'!$C$4)-2.201*(LN(D50)-LN('Summary Sheet'!$C$5))+0.663*(E50^2-'Summary Sheet'!$C$4^2)+0.264*((E50*LN(D50)-'Summary Sheet'!$C$4*LN('Summary Sheet'!$C$5))))</f>
        <v>13510.898887799358</v>
      </c>
      <c r="L50" s="43"/>
      <c r="M50" s="30" t="s">
        <v>13</v>
      </c>
      <c r="N50" s="30"/>
      <c r="O50" s="1"/>
      <c r="P50" s="6" t="s">
        <v>88</v>
      </c>
      <c r="R50" s="34" t="s">
        <v>198</v>
      </c>
    </row>
    <row r="51" spans="2:19" x14ac:dyDescent="0.25">
      <c r="B51" s="6" t="s">
        <v>61</v>
      </c>
      <c r="C51" s="22" t="s">
        <v>9</v>
      </c>
      <c r="D51" s="45">
        <v>120</v>
      </c>
      <c r="E51" s="22">
        <v>6.6</v>
      </c>
      <c r="F51" s="22">
        <v>4</v>
      </c>
      <c r="G51" s="35" t="s">
        <v>10</v>
      </c>
      <c r="H51" s="24">
        <v>15000</v>
      </c>
      <c r="I51" s="32" t="s">
        <v>26</v>
      </c>
      <c r="J51" s="1" t="s">
        <v>10</v>
      </c>
      <c r="K51" s="3">
        <f>EXP(LN(H51)-0.525*(LN(F51)-LN('Summary Sheet'!$C$6))-11.282*(E51-'Summary Sheet'!$C$4)-2.201*(LN(D51)-LN('Summary Sheet'!$C$5))+0.663*(E51^2-'Summary Sheet'!$C$4^2)+0.264*((E51*LN(D51)-'Summary Sheet'!$C$4*LN('Summary Sheet'!$C$5))))</f>
        <v>16920.561423003681</v>
      </c>
      <c r="L51" s="43"/>
      <c r="M51" s="30" t="s">
        <v>13</v>
      </c>
      <c r="N51" s="30"/>
      <c r="O51" s="1"/>
      <c r="P51" s="6" t="s">
        <v>88</v>
      </c>
      <c r="R51" s="34" t="s">
        <v>198</v>
      </c>
    </row>
    <row r="52" spans="2:19" x14ac:dyDescent="0.25">
      <c r="B52" s="6" t="s">
        <v>61</v>
      </c>
      <c r="C52" s="22" t="s">
        <v>9</v>
      </c>
      <c r="D52" s="45">
        <v>120</v>
      </c>
      <c r="E52" s="22">
        <v>7.6</v>
      </c>
      <c r="F52" s="22">
        <v>4</v>
      </c>
      <c r="G52" s="35" t="s">
        <v>10</v>
      </c>
      <c r="H52" s="24">
        <v>15000</v>
      </c>
      <c r="I52" s="32" t="s">
        <v>26</v>
      </c>
      <c r="J52" s="1" t="s">
        <v>10</v>
      </c>
      <c r="K52" s="3">
        <f>EXP(LN(H52)-0.525*(LN(F52)-LN('Summary Sheet'!$C$6))-11.282*(E52-'Summary Sheet'!$C$4)-2.201*(LN(D52)-LN('Summary Sheet'!$C$5))+0.663*(E52^2-'Summary Sheet'!$C$4^2)+0.264*((E52*LN(D52)-'Summary Sheet'!$C$4*LN('Summary Sheet'!$C$5))))</f>
        <v>9253.7359340837193</v>
      </c>
      <c r="L52" s="43"/>
      <c r="M52" s="30" t="s">
        <v>13</v>
      </c>
      <c r="N52" s="30"/>
      <c r="O52" s="1"/>
      <c r="P52" s="6" t="s">
        <v>88</v>
      </c>
      <c r="R52" s="34" t="s">
        <v>198</v>
      </c>
    </row>
    <row r="53" spans="2:19" x14ac:dyDescent="0.25">
      <c r="B53" s="6" t="s">
        <v>61</v>
      </c>
      <c r="C53" s="22" t="s">
        <v>12</v>
      </c>
      <c r="D53" s="42">
        <v>10.6</v>
      </c>
      <c r="E53" s="22">
        <v>6.03</v>
      </c>
      <c r="F53" s="22">
        <v>0.5</v>
      </c>
      <c r="H53" s="25">
        <v>119.71</v>
      </c>
      <c r="I53" s="32" t="s">
        <v>27</v>
      </c>
      <c r="K53" s="3">
        <f>EXP(LN(H53)-0.525*(LN(F53)-LN('Summary Sheet'!$C$6))-11.282*(E53-'Summary Sheet'!$C$4)-2.201*(LN(D53)-LN('Summary Sheet'!$C$5))+0.663*(E53^2-'Summary Sheet'!$C$4^2)+0.264*((E53*LN(D53)-'Summary Sheet'!$C$4*LN('Summary Sheet'!$C$5))))</f>
        <v>4503.408135005333</v>
      </c>
      <c r="L53" s="43"/>
      <c r="M53" s="30" t="s">
        <v>13</v>
      </c>
      <c r="N53" s="30"/>
      <c r="O53" s="1"/>
      <c r="P53" s="6" t="s">
        <v>88</v>
      </c>
      <c r="R53" s="34" t="s">
        <v>197</v>
      </c>
      <c r="S53" s="34" t="s">
        <v>199</v>
      </c>
    </row>
    <row r="54" spans="2:19" x14ac:dyDescent="0.25">
      <c r="B54" s="6" t="s">
        <v>61</v>
      </c>
      <c r="C54" s="22" t="s">
        <v>12</v>
      </c>
      <c r="D54" s="42">
        <v>10.6</v>
      </c>
      <c r="E54" s="22">
        <v>6.03</v>
      </c>
      <c r="F54" s="22">
        <v>0.5</v>
      </c>
      <c r="H54" s="25">
        <v>274.77999999999997</v>
      </c>
      <c r="I54" s="32" t="s">
        <v>27</v>
      </c>
      <c r="K54" s="3">
        <f>EXP(LN(H54)-0.525*(LN(F54)-LN('Summary Sheet'!$C$6))-11.282*(E54-'Summary Sheet'!$C$4)-2.201*(LN(D54)-LN('Summary Sheet'!$C$5))+0.663*(E54^2-'Summary Sheet'!$C$4^2)+0.264*((E54*LN(D54)-'Summary Sheet'!$C$4*LN('Summary Sheet'!$C$5))))</f>
        <v>10337.035229611285</v>
      </c>
      <c r="L54" s="43"/>
      <c r="M54" s="30" t="s">
        <v>13</v>
      </c>
      <c r="N54" s="30"/>
      <c r="O54" s="1"/>
      <c r="P54" s="6" t="s">
        <v>88</v>
      </c>
      <c r="R54" s="34" t="s">
        <v>197</v>
      </c>
      <c r="S54" s="34" t="s">
        <v>199</v>
      </c>
    </row>
    <row r="55" spans="2:19" x14ac:dyDescent="0.25">
      <c r="B55" s="6" t="s">
        <v>61</v>
      </c>
      <c r="C55" s="22" t="s">
        <v>12</v>
      </c>
      <c r="D55" s="42">
        <v>10.6</v>
      </c>
      <c r="E55" s="22">
        <v>6.03</v>
      </c>
      <c r="F55" s="22">
        <v>0.5</v>
      </c>
      <c r="H55" s="25">
        <v>119.98</v>
      </c>
      <c r="I55" s="32" t="s">
        <v>27</v>
      </c>
      <c r="K55" s="3">
        <f>EXP(LN(H55)-0.525*(LN(F55)-LN('Summary Sheet'!$C$6))-11.282*(E55-'Summary Sheet'!$C$4)-2.201*(LN(D55)-LN('Summary Sheet'!$C$5))+0.663*(E55^2-'Summary Sheet'!$C$4^2)+0.264*((E55*LN(D55)-'Summary Sheet'!$C$4*LN('Summary Sheet'!$C$5))))</f>
        <v>4513.5653499118043</v>
      </c>
      <c r="L55" s="43"/>
      <c r="M55" s="30" t="s">
        <v>13</v>
      </c>
      <c r="N55" s="30"/>
      <c r="O55" s="1"/>
      <c r="P55" s="6" t="s">
        <v>88</v>
      </c>
      <c r="R55" s="34" t="s">
        <v>197</v>
      </c>
      <c r="S55" s="34" t="s">
        <v>199</v>
      </c>
    </row>
    <row r="56" spans="2:19" x14ac:dyDescent="0.25">
      <c r="B56" s="6" t="s">
        <v>61</v>
      </c>
      <c r="C56" s="22" t="s">
        <v>12</v>
      </c>
      <c r="D56" s="42">
        <v>10.6</v>
      </c>
      <c r="E56" s="22">
        <v>6.07</v>
      </c>
      <c r="F56" s="22">
        <v>0.5</v>
      </c>
      <c r="H56" s="47">
        <v>92.495000000000005</v>
      </c>
      <c r="I56" s="32" t="s">
        <v>27</v>
      </c>
      <c r="K56" s="3">
        <f>EXP(LN(H56)-0.525*(LN(F56)-LN('Summary Sheet'!$C$6))-11.282*(E56-'Summary Sheet'!$C$4)-2.201*(LN(D56)-LN('Summary Sheet'!$C$5))+0.663*(E56^2-'Summary Sheet'!$C$4^2)+0.264*((E56*LN(D56)-'Summary Sheet'!$C$4*LN('Summary Sheet'!$C$5))))</f>
        <v>3131.3353076743674</v>
      </c>
      <c r="L56" s="43"/>
      <c r="M56" s="30" t="s">
        <v>13</v>
      </c>
      <c r="N56" s="30"/>
      <c r="O56" s="1"/>
      <c r="P56" s="6" t="s">
        <v>88</v>
      </c>
      <c r="R56" s="34" t="s">
        <v>197</v>
      </c>
      <c r="S56" s="34" t="s">
        <v>199</v>
      </c>
    </row>
    <row r="57" spans="2:19" x14ac:dyDescent="0.25">
      <c r="B57" s="6" t="s">
        <v>61</v>
      </c>
      <c r="C57" s="22" t="s">
        <v>12</v>
      </c>
      <c r="D57" s="42">
        <v>10.6</v>
      </c>
      <c r="E57" s="22">
        <v>6.09</v>
      </c>
      <c r="F57" s="22">
        <v>0.5</v>
      </c>
      <c r="H57" s="25">
        <v>313.37</v>
      </c>
      <c r="I57" s="32" t="s">
        <v>27</v>
      </c>
      <c r="K57" s="3">
        <f>EXP(LN(H57)-0.525*(LN(F57)-LN('Summary Sheet'!$C$6))-11.282*(E57-'Summary Sheet'!$C$4)-2.201*(LN(D57)-LN('Summary Sheet'!$C$5))+0.663*(E57^2-'Summary Sheet'!$C$4^2)+0.264*((E57*LN(D57)-'Summary Sheet'!$C$4*LN('Summary Sheet'!$C$5))))</f>
        <v>10071.971333662072</v>
      </c>
      <c r="L57" s="43"/>
      <c r="M57" s="30" t="s">
        <v>13</v>
      </c>
      <c r="N57" s="30"/>
      <c r="O57" s="1"/>
      <c r="P57" s="6" t="s">
        <v>88</v>
      </c>
      <c r="R57" s="34" t="s">
        <v>197</v>
      </c>
      <c r="S57" s="34" t="s">
        <v>199</v>
      </c>
    </row>
    <row r="58" spans="2:19" x14ac:dyDescent="0.25">
      <c r="B58" s="6" t="s">
        <v>61</v>
      </c>
      <c r="C58" s="22" t="s">
        <v>12</v>
      </c>
      <c r="D58" s="42">
        <v>10.6</v>
      </c>
      <c r="E58" s="22">
        <v>6.1</v>
      </c>
      <c r="F58" s="22">
        <v>0.5</v>
      </c>
      <c r="H58" s="25">
        <v>332.35</v>
      </c>
      <c r="I58" s="32" t="s">
        <v>27</v>
      </c>
      <c r="K58" s="3">
        <f>EXP(LN(H58)-0.525*(LN(F58)-LN('Summary Sheet'!$C$6))-11.282*(E58-'Summary Sheet'!$C$4)-2.201*(LN(D58)-LN('Summary Sheet'!$C$5))+0.663*(E58^2-'Summary Sheet'!$C$4^2)+0.264*((E58*LN(D58)-'Summary Sheet'!$C$4*LN('Summary Sheet'!$C$5))))</f>
        <v>10410.270163763231</v>
      </c>
      <c r="L58" s="43"/>
      <c r="M58" s="30" t="s">
        <v>13</v>
      </c>
      <c r="N58" s="30"/>
      <c r="O58" s="1"/>
      <c r="P58" s="6" t="s">
        <v>88</v>
      </c>
      <c r="R58" s="34" t="s">
        <v>197</v>
      </c>
      <c r="S58" s="34" t="s">
        <v>199</v>
      </c>
    </row>
    <row r="59" spans="2:19" x14ac:dyDescent="0.25">
      <c r="B59" s="6" t="s">
        <v>61</v>
      </c>
      <c r="C59" s="22" t="s">
        <v>12</v>
      </c>
      <c r="D59" s="42">
        <v>10.6</v>
      </c>
      <c r="E59" s="22">
        <v>7.08</v>
      </c>
      <c r="F59" s="22">
        <v>0.5</v>
      </c>
      <c r="G59" s="35" t="s">
        <v>10</v>
      </c>
      <c r="H59" s="46">
        <v>886.4</v>
      </c>
      <c r="I59" s="32" t="s">
        <v>27</v>
      </c>
      <c r="J59" s="1" t="s">
        <v>10</v>
      </c>
      <c r="K59" s="3">
        <f>EXP(LN(H59)-0.525*(LN(F59)-LN('Summary Sheet'!$C$6))-11.282*(E59-'Summary Sheet'!$C$4)-2.201*(LN(D59)-LN('Summary Sheet'!$C$5))+0.663*(E59^2-'Summary Sheet'!$C$4^2)+0.264*((E59*LN(D59)-'Summary Sheet'!$C$4*LN('Summary Sheet'!$C$5))))</f>
        <v>4228.2401542081188</v>
      </c>
      <c r="L59" s="43"/>
      <c r="M59" s="30" t="s">
        <v>13</v>
      </c>
      <c r="N59" s="30"/>
      <c r="O59" s="1"/>
      <c r="P59" s="6" t="s">
        <v>88</v>
      </c>
      <c r="R59" s="34" t="s">
        <v>197</v>
      </c>
      <c r="S59" s="34" t="s">
        <v>199</v>
      </c>
    </row>
    <row r="60" spans="2:19" x14ac:dyDescent="0.25">
      <c r="B60" s="6" t="s">
        <v>61</v>
      </c>
      <c r="C60" s="22" t="s">
        <v>12</v>
      </c>
      <c r="D60" s="42">
        <v>10.6</v>
      </c>
      <c r="E60" s="22">
        <v>7.79</v>
      </c>
      <c r="F60" s="22">
        <v>0.5</v>
      </c>
      <c r="G60" s="35" t="s">
        <v>10</v>
      </c>
      <c r="H60" s="46">
        <v>4278.3</v>
      </c>
      <c r="I60" s="32" t="s">
        <v>27</v>
      </c>
      <c r="J60" s="1" t="s">
        <v>10</v>
      </c>
      <c r="K60" s="3">
        <f>EXP(LN(H60)-0.525*(LN(F60)-LN('Summary Sheet'!$C$6))-11.282*(E60-'Summary Sheet'!$C$4)-2.201*(LN(D60)-LN('Summary Sheet'!$C$5))+0.663*(E60^2-'Summary Sheet'!$C$4^2)+0.264*((E60*LN(D60)-'Summary Sheet'!$C$4*LN('Summary Sheet'!$C$5))))</f>
        <v>11564.986619297413</v>
      </c>
      <c r="L60" s="43"/>
      <c r="M60" s="30" t="s">
        <v>13</v>
      </c>
      <c r="N60" s="30"/>
      <c r="O60" s="1"/>
      <c r="P60" s="6" t="s">
        <v>88</v>
      </c>
      <c r="R60" s="34" t="s">
        <v>197</v>
      </c>
      <c r="S60" s="34" t="s">
        <v>199</v>
      </c>
    </row>
    <row r="61" spans="2:19" x14ac:dyDescent="0.25">
      <c r="B61" s="6" t="s">
        <v>61</v>
      </c>
      <c r="C61" s="22" t="s">
        <v>12</v>
      </c>
      <c r="D61" s="42">
        <v>10.6</v>
      </c>
      <c r="E61" s="22">
        <v>7.53</v>
      </c>
      <c r="F61" s="22">
        <v>0.5</v>
      </c>
      <c r="H61" s="25">
        <v>132.04</v>
      </c>
      <c r="I61" s="32" t="s">
        <v>27</v>
      </c>
      <c r="K61" s="3">
        <f>EXP(LN(H61)-0.525*(LN(F61)-LN('Summary Sheet'!$C$6))-11.282*(E61-'Summary Sheet'!$C$4)-2.201*(LN(D61)-LN('Summary Sheet'!$C$5))+0.663*(E61^2-'Summary Sheet'!$C$4^2)+0.264*((E61*LN(D61)-'Summary Sheet'!$C$4*LN('Summary Sheet'!$C$5))))</f>
        <v>406.64505028214177</v>
      </c>
      <c r="L61" s="48"/>
      <c r="M61" s="30" t="s">
        <v>13</v>
      </c>
      <c r="N61" s="30"/>
      <c r="O61" s="1"/>
      <c r="P61" s="6" t="s">
        <v>88</v>
      </c>
      <c r="R61" s="34" t="s">
        <v>197</v>
      </c>
      <c r="S61" s="34" t="s">
        <v>199</v>
      </c>
    </row>
    <row r="62" spans="2:19" x14ac:dyDescent="0.25">
      <c r="B62" s="6" t="s">
        <v>61</v>
      </c>
      <c r="C62" s="22" t="s">
        <v>12</v>
      </c>
      <c r="D62" s="42">
        <v>60</v>
      </c>
      <c r="E62" s="22">
        <v>6.01</v>
      </c>
      <c r="F62" s="22">
        <v>0.5</v>
      </c>
      <c r="H62" s="25">
        <v>463.26</v>
      </c>
      <c r="I62" s="32" t="s">
        <v>27</v>
      </c>
      <c r="K62" s="3">
        <f>EXP(LN(H62)-0.525*(LN(F62)-LN('Summary Sheet'!$C$6))-11.282*(E62-'Summary Sheet'!$C$4)-2.201*(LN(D62)-LN('Summary Sheet'!$C$5))+0.663*(E62^2-'Summary Sheet'!$C$4^2)+0.264*((E62*LN(D62)-'Summary Sheet'!$C$4*LN('Summary Sheet'!$C$5))))</f>
        <v>6338.1555505427577</v>
      </c>
      <c r="L62" s="43"/>
      <c r="M62" s="30" t="s">
        <v>13</v>
      </c>
      <c r="N62" s="30"/>
      <c r="O62" s="1"/>
      <c r="P62" s="6" t="s">
        <v>88</v>
      </c>
      <c r="R62" s="34" t="s">
        <v>197</v>
      </c>
      <c r="S62" s="34" t="s">
        <v>199</v>
      </c>
    </row>
    <row r="63" spans="2:19" x14ac:dyDescent="0.25">
      <c r="B63" s="6" t="s">
        <v>61</v>
      </c>
      <c r="C63" s="22" t="s">
        <v>12</v>
      </c>
      <c r="D63" s="42">
        <v>60</v>
      </c>
      <c r="E63" s="22">
        <v>5.99</v>
      </c>
      <c r="F63" s="22">
        <v>0.5</v>
      </c>
      <c r="G63" s="35" t="s">
        <v>10</v>
      </c>
      <c r="H63" s="46">
        <v>859</v>
      </c>
      <c r="I63" s="32" t="s">
        <v>27</v>
      </c>
      <c r="J63" s="1" t="s">
        <v>10</v>
      </c>
      <c r="K63" s="3">
        <f>EXP(LN(H63)-0.525*(LN(F63)-LN('Summary Sheet'!$C$6))-11.282*(E63-'Summary Sheet'!$C$4)-2.201*(LN(D63)-LN('Summary Sheet'!$C$5))+0.663*(E63^2-'Summary Sheet'!$C$4^2)+0.264*((E63*LN(D63)-'Summary Sheet'!$C$4*LN('Summary Sheet'!$C$5))))</f>
        <v>12292.26416251945</v>
      </c>
      <c r="L63" s="43"/>
      <c r="M63" s="3">
        <f>GEOMEAN(K12:K63)</f>
        <v>8501.0873742494587</v>
      </c>
      <c r="N63" s="3"/>
      <c r="O63" s="56"/>
      <c r="P63" s="6" t="s">
        <v>88</v>
      </c>
      <c r="R63" s="34" t="s">
        <v>197</v>
      </c>
      <c r="S63" s="34" t="s">
        <v>199</v>
      </c>
    </row>
    <row r="64" spans="2:19" x14ac:dyDescent="0.25">
      <c r="C64" s="31"/>
      <c r="D64" s="31"/>
      <c r="E64" s="31"/>
      <c r="F64" s="31"/>
      <c r="H64" s="31"/>
      <c r="K64" s="3"/>
      <c r="L64" s="35"/>
      <c r="M64" s="31"/>
      <c r="N64" s="31"/>
      <c r="O64" s="35"/>
    </row>
    <row r="65" spans="2:19" x14ac:dyDescent="0.25">
      <c r="B65" s="31" t="s">
        <v>64</v>
      </c>
      <c r="C65" s="22" t="s">
        <v>17</v>
      </c>
      <c r="D65" s="42">
        <v>45.1</v>
      </c>
      <c r="E65" s="42">
        <v>6</v>
      </c>
      <c r="F65" s="22">
        <v>1.1000000000000001</v>
      </c>
      <c r="H65" s="24">
        <v>304</v>
      </c>
      <c r="I65" s="32" t="s">
        <v>28</v>
      </c>
      <c r="K65" s="3">
        <f>EXP(LN(H65)-0.525*(LN(F65)-LN('Summary Sheet'!$C$6))-11.282*(E65-'Summary Sheet'!$C$4)-2.201*(LN(D65)-LN('Summary Sheet'!$C$5))+0.663*(E65^2-'Summary Sheet'!$C$4^2)+0.264*((E65*LN(D65)-'Summary Sheet'!$C$4*LN('Summary Sheet'!$C$5))))</f>
        <v>3353.1554179303066</v>
      </c>
      <c r="L65" s="43"/>
      <c r="M65" s="30" t="s">
        <v>13</v>
      </c>
      <c r="N65" s="30"/>
      <c r="O65" s="1"/>
      <c r="P65" s="31" t="s">
        <v>88</v>
      </c>
      <c r="R65" s="34" t="s">
        <v>197</v>
      </c>
      <c r="S65" s="34" t="s">
        <v>15</v>
      </c>
    </row>
    <row r="66" spans="2:19" x14ac:dyDescent="0.25">
      <c r="B66" s="17" t="s">
        <v>64</v>
      </c>
      <c r="C66" s="66" t="s">
        <v>17</v>
      </c>
      <c r="D66" s="67">
        <v>4</v>
      </c>
      <c r="E66" s="66">
        <v>5.5</v>
      </c>
      <c r="F66" s="66">
        <v>1.1000000000000001</v>
      </c>
      <c r="G66" s="18"/>
      <c r="H66" s="69">
        <v>362</v>
      </c>
      <c r="I66" s="70" t="s">
        <v>28</v>
      </c>
      <c r="J66" s="71"/>
      <c r="K66" s="72">
        <f>EXP(LN(H66)-0.525*(LN(F66)-LN('Summary Sheet'!$C$6))-11.282*(E66-'Summary Sheet'!$C$4)-2.201*(LN(D66)-LN('Summary Sheet'!$C$5))+0.663*(E66^2-'Summary Sheet'!$C$4^2)+0.264*((E66*LN(D66)-'Summary Sheet'!$C$4*LN('Summary Sheet'!$C$5))))</f>
        <v>92297.236287758002</v>
      </c>
      <c r="L66" s="73"/>
      <c r="M66" s="72">
        <f>GEOMEAN(K65:K66)</f>
        <v>17592.241981006555</v>
      </c>
      <c r="N66" s="72">
        <f>GEOMEAN(M12:M66)</f>
        <v>12229.194012259193</v>
      </c>
      <c r="O66" s="105"/>
      <c r="P66" s="17" t="s">
        <v>88</v>
      </c>
      <c r="Q66" s="74" t="s">
        <v>190</v>
      </c>
      <c r="R66" s="75" t="s">
        <v>197</v>
      </c>
      <c r="S66" s="75" t="s">
        <v>29</v>
      </c>
    </row>
    <row r="67" spans="2:19" x14ac:dyDescent="0.25">
      <c r="C67" s="31"/>
      <c r="D67" s="31"/>
      <c r="E67" s="31"/>
      <c r="F67" s="31"/>
      <c r="H67" s="31"/>
      <c r="K67" s="3"/>
      <c r="L67" s="35"/>
      <c r="M67" s="31"/>
      <c r="N67" s="31"/>
      <c r="O67" s="35"/>
    </row>
    <row r="68" spans="2:19" x14ac:dyDescent="0.25">
      <c r="B68" s="8" t="s">
        <v>65</v>
      </c>
      <c r="C68" s="58" t="s">
        <v>23</v>
      </c>
      <c r="D68" s="58">
        <v>45.3</v>
      </c>
      <c r="E68" s="58">
        <v>7.74</v>
      </c>
      <c r="F68" s="58">
        <v>1.1000000000000001</v>
      </c>
      <c r="G68" s="9"/>
      <c r="H68" s="59">
        <v>3900</v>
      </c>
      <c r="I68" s="60" t="s">
        <v>30</v>
      </c>
      <c r="J68" s="19"/>
      <c r="K68" s="61">
        <f>EXP(LN(H68)-0.525*(LN(F68)-LN('Summary Sheet'!$C$6))-11.282*(E68-'Summary Sheet'!$C$4)-2.201*(LN(D68)-LN('Summary Sheet'!$C$5))+0.663*(E68^2-'Summary Sheet'!$C$4^2)+0.264*((E68*LN(D68)-'Summary Sheet'!$C$4*LN('Summary Sheet'!$C$5))))</f>
        <v>5644.1260913482884</v>
      </c>
      <c r="L68" s="62"/>
      <c r="M68" s="63" t="s">
        <v>13</v>
      </c>
      <c r="N68" s="63"/>
      <c r="O68" s="19"/>
      <c r="P68" s="102" t="s">
        <v>89</v>
      </c>
      <c r="Q68" s="64"/>
      <c r="R68" s="65" t="s">
        <v>197</v>
      </c>
      <c r="S68" s="65" t="s">
        <v>15</v>
      </c>
    </row>
    <row r="69" spans="2:19" x14ac:dyDescent="0.25">
      <c r="B69" s="31" t="s">
        <v>65</v>
      </c>
      <c r="C69" s="22" t="s">
        <v>12</v>
      </c>
      <c r="D69" s="22">
        <v>220</v>
      </c>
      <c r="E69" s="22">
        <v>7.6</v>
      </c>
      <c r="F69" s="22">
        <v>1.6</v>
      </c>
      <c r="H69" s="24">
        <v>38200</v>
      </c>
      <c r="I69" s="38" t="s">
        <v>31</v>
      </c>
      <c r="K69" s="3">
        <f>EXP(LN(H69)-0.525*(LN(F69)-LN('Summary Sheet'!$C$6))-11.282*(E69-'Summary Sheet'!$C$4)-2.201*(LN(D69)-LN('Summary Sheet'!$C$5))+0.663*(E69^2-'Summary Sheet'!$C$4^2)+0.264*((E69*LN(D69)-'Summary Sheet'!$C$4*LN('Summary Sheet'!$C$5))))</f>
        <v>33882.927573151166</v>
      </c>
      <c r="L69" s="43"/>
      <c r="M69" s="30" t="s">
        <v>13</v>
      </c>
      <c r="N69" s="30"/>
      <c r="O69" s="1"/>
      <c r="P69" s="31" t="s">
        <v>89</v>
      </c>
      <c r="R69" s="34" t="s">
        <v>197</v>
      </c>
      <c r="S69" s="34" t="s">
        <v>32</v>
      </c>
    </row>
    <row r="70" spans="2:19" x14ac:dyDescent="0.25">
      <c r="B70" s="31" t="s">
        <v>65</v>
      </c>
      <c r="C70" s="22" t="s">
        <v>9</v>
      </c>
      <c r="D70" s="42">
        <v>45.1</v>
      </c>
      <c r="E70" s="22">
        <v>7.25</v>
      </c>
      <c r="F70" s="22">
        <v>1.1000000000000001</v>
      </c>
      <c r="H70" s="24">
        <v>2800</v>
      </c>
      <c r="I70" s="32" t="s">
        <v>28</v>
      </c>
      <c r="K70" s="3">
        <f>EXP(LN(H70)-0.525*(LN(F70)-LN('Summary Sheet'!$C$6))-11.282*(E70-'Summary Sheet'!$C$4)-2.201*(LN(D70)-LN('Summary Sheet'!$C$5))+0.663*(E70^2-'Summary Sheet'!$C$4^2)+0.264*((E70*LN(D70)-'Summary Sheet'!$C$4*LN('Summary Sheet'!$C$5))))</f>
        <v>4785.6289315477106</v>
      </c>
      <c r="L70" s="43"/>
      <c r="M70" s="30" t="s">
        <v>13</v>
      </c>
      <c r="N70" s="30"/>
      <c r="O70" s="1"/>
      <c r="P70" s="31" t="s">
        <v>89</v>
      </c>
      <c r="R70" s="34" t="s">
        <v>197</v>
      </c>
      <c r="S70" s="34" t="s">
        <v>15</v>
      </c>
    </row>
    <row r="71" spans="2:19" x14ac:dyDescent="0.25">
      <c r="B71" s="31" t="s">
        <v>65</v>
      </c>
      <c r="C71" s="22" t="s">
        <v>9</v>
      </c>
      <c r="D71" s="45">
        <v>168</v>
      </c>
      <c r="E71" s="22">
        <v>5.99</v>
      </c>
      <c r="F71" s="22">
        <v>0.5</v>
      </c>
      <c r="H71" s="46">
        <v>500</v>
      </c>
      <c r="I71" s="32" t="s">
        <v>26</v>
      </c>
      <c r="J71" s="1" t="s">
        <v>10</v>
      </c>
      <c r="K71" s="3">
        <f>EXP(LN(H71)-0.525*(LN(F71)-LN('Summary Sheet'!$C$6))-11.282*(E71-'Summary Sheet'!$C$4)-2.201*(LN(D71)-LN('Summary Sheet'!$C$5))+0.663*(E71^2-'Summary Sheet'!$C$4^2)+0.264*((E71*LN(D71)-'Summary Sheet'!$C$4*LN('Summary Sheet'!$C$5))))</f>
        <v>3780.3474954459602</v>
      </c>
      <c r="L71" s="43"/>
      <c r="M71" s="3" t="s">
        <v>13</v>
      </c>
      <c r="N71" s="3"/>
      <c r="O71" s="1"/>
      <c r="P71" s="31" t="s">
        <v>89</v>
      </c>
      <c r="Q71" s="37" t="s">
        <v>190</v>
      </c>
      <c r="R71" s="34" t="s">
        <v>197</v>
      </c>
      <c r="S71" s="34" t="s">
        <v>199</v>
      </c>
    </row>
    <row r="72" spans="2:19" x14ac:dyDescent="0.25">
      <c r="B72" s="17" t="s">
        <v>65</v>
      </c>
      <c r="C72" s="66" t="s">
        <v>9</v>
      </c>
      <c r="D72" s="88">
        <v>168</v>
      </c>
      <c r="E72" s="66">
        <v>7.92</v>
      </c>
      <c r="F72" s="66">
        <v>0.5</v>
      </c>
      <c r="G72" s="18"/>
      <c r="H72" s="89">
        <v>795.02</v>
      </c>
      <c r="I72" s="70" t="s">
        <v>26</v>
      </c>
      <c r="J72" s="71"/>
      <c r="K72" s="72">
        <f>EXP(LN(H72)-0.525*(LN(F72)-LN('Summary Sheet'!$C$6))-11.282*(E72-'Summary Sheet'!$C$4)-2.201*(LN(D72)-LN('Summary Sheet'!$C$5))+0.663*(E72^2-'Summary Sheet'!$C$4^2)+0.264*((E72*LN(D72)-'Summary Sheet'!$C$4*LN('Summary Sheet'!$C$5))))</f>
        <v>1535.9884810060018</v>
      </c>
      <c r="L72" s="73"/>
      <c r="M72" s="72">
        <f>GEOMEAN(K68:K72)</f>
        <v>5560.1597238743243</v>
      </c>
      <c r="N72" s="72">
        <f>M72</f>
        <v>5560.1597238743243</v>
      </c>
      <c r="O72" s="71"/>
      <c r="P72" s="17" t="s">
        <v>89</v>
      </c>
      <c r="Q72" s="74" t="s">
        <v>190</v>
      </c>
      <c r="R72" s="75" t="s">
        <v>197</v>
      </c>
      <c r="S72" s="75" t="s">
        <v>199</v>
      </c>
    </row>
    <row r="73" spans="2:19" x14ac:dyDescent="0.25">
      <c r="B73" s="32"/>
      <c r="C73" s="32"/>
      <c r="D73" s="32"/>
      <c r="E73" s="32"/>
      <c r="F73" s="32"/>
      <c r="G73" s="49"/>
      <c r="H73" s="32"/>
      <c r="I73" s="32"/>
      <c r="K73" s="3"/>
      <c r="L73" s="49"/>
      <c r="M73" s="32"/>
      <c r="N73" s="32"/>
      <c r="O73" s="49"/>
      <c r="P73" s="32"/>
    </row>
    <row r="74" spans="2:19" x14ac:dyDescent="0.25">
      <c r="B74" s="13" t="s">
        <v>66</v>
      </c>
      <c r="C74" s="76" t="s">
        <v>16</v>
      </c>
      <c r="D74" s="76">
        <v>15.63</v>
      </c>
      <c r="E74" s="76">
        <v>6.51</v>
      </c>
      <c r="F74" s="76">
        <v>1.6</v>
      </c>
      <c r="G74" s="16"/>
      <c r="H74" s="91">
        <v>3101.96</v>
      </c>
      <c r="I74" s="79" t="s">
        <v>33</v>
      </c>
      <c r="J74" s="80"/>
      <c r="K74" s="81">
        <f>EXP(LN(H74)-0.525*(LN(F74)-LN('Summary Sheet'!$C$6))-11.282*(E74-'Summary Sheet'!$C$4)-2.201*(LN(D74)-LN('Summary Sheet'!$C$5))+0.663*(E74^2-'Summary Sheet'!$C$4^2)+0.264*((E74*LN(D74)-'Summary Sheet'!$C$4*LN('Summary Sheet'!$C$5))))</f>
        <v>17049.413903946021</v>
      </c>
      <c r="L74" s="82"/>
      <c r="M74" s="81">
        <f>K74</f>
        <v>17049.413903946021</v>
      </c>
      <c r="N74" s="81">
        <f>M74</f>
        <v>17049.413903946021</v>
      </c>
      <c r="O74" s="104"/>
      <c r="P74" s="13" t="s">
        <v>90</v>
      </c>
      <c r="Q74" s="83" t="s">
        <v>190</v>
      </c>
      <c r="R74" s="84" t="s">
        <v>197</v>
      </c>
      <c r="S74" s="84" t="s">
        <v>34</v>
      </c>
    </row>
    <row r="75" spans="2:19" x14ac:dyDescent="0.25">
      <c r="B75" s="6"/>
      <c r="C75" s="6"/>
      <c r="D75" s="6"/>
      <c r="E75" s="6"/>
      <c r="F75" s="6"/>
      <c r="G75" s="7"/>
      <c r="H75" s="6"/>
      <c r="I75" s="32"/>
      <c r="K75" s="3"/>
      <c r="L75" s="7"/>
      <c r="M75" s="6"/>
      <c r="N75" s="6"/>
      <c r="O75" s="7"/>
      <c r="P75" s="6"/>
    </row>
    <row r="76" spans="2:19" x14ac:dyDescent="0.25">
      <c r="B76" s="13" t="s">
        <v>67</v>
      </c>
      <c r="C76" s="76" t="s">
        <v>35</v>
      </c>
      <c r="D76" s="76">
        <v>50</v>
      </c>
      <c r="E76" s="76">
        <v>6.75</v>
      </c>
      <c r="F76" s="76">
        <v>1.6</v>
      </c>
      <c r="G76" s="16"/>
      <c r="H76" s="78">
        <v>9190</v>
      </c>
      <c r="I76" s="79" t="s">
        <v>36</v>
      </c>
      <c r="J76" s="80"/>
      <c r="K76" s="81">
        <f>EXP(LN(H76)-0.525*(LN(F76)-LN('Summary Sheet'!$C$6))-11.282*(E76-'Summary Sheet'!$C$4)-2.201*(LN(D76)-LN('Summary Sheet'!$C$5))+0.663*(E76^2-'Summary Sheet'!$C$4^2)+0.264*((E76*LN(D76)-'Summary Sheet'!$C$4*LN('Summary Sheet'!$C$5))))</f>
        <v>20316.055364872027</v>
      </c>
      <c r="L76" s="82"/>
      <c r="M76" s="81">
        <f>K76</f>
        <v>20316.055364872027</v>
      </c>
      <c r="N76" s="81">
        <f>M76</f>
        <v>20316.055364872027</v>
      </c>
      <c r="O76" s="104"/>
      <c r="P76" s="13" t="s">
        <v>91</v>
      </c>
      <c r="Q76" s="83" t="s">
        <v>190</v>
      </c>
      <c r="R76" s="84" t="s">
        <v>197</v>
      </c>
      <c r="S76" s="84" t="s">
        <v>37</v>
      </c>
    </row>
    <row r="77" spans="2:19" x14ac:dyDescent="0.25">
      <c r="B77" s="6"/>
      <c r="C77" s="6"/>
      <c r="D77" s="6"/>
      <c r="E77" s="6"/>
      <c r="F77" s="6"/>
      <c r="G77" s="7"/>
      <c r="H77" s="6"/>
      <c r="I77" s="32"/>
      <c r="K77" s="3"/>
      <c r="L77" s="7"/>
      <c r="M77" s="6"/>
      <c r="N77" s="6"/>
      <c r="O77" s="7"/>
      <c r="P77" s="6"/>
    </row>
    <row r="78" spans="2:19" x14ac:dyDescent="0.25">
      <c r="B78" s="15" t="s">
        <v>68</v>
      </c>
      <c r="C78" s="76" t="s">
        <v>17</v>
      </c>
      <c r="D78" s="76">
        <v>105</v>
      </c>
      <c r="E78" s="76">
        <v>6.13</v>
      </c>
      <c r="F78" s="76">
        <v>0.48</v>
      </c>
      <c r="G78" s="80" t="s">
        <v>10</v>
      </c>
      <c r="H78" s="78">
        <v>5997</v>
      </c>
      <c r="I78" s="79" t="s">
        <v>193</v>
      </c>
      <c r="J78" s="80" t="s">
        <v>10</v>
      </c>
      <c r="K78" s="81">
        <f>EXP(LN(H78)-0.525*(LN(F78)-LN('Summary Sheet'!$C$6))-11.282*(E78-'Summary Sheet'!$C$4)-2.201*(LN(D78)-LN('Summary Sheet'!$C$5))+0.663*(E78^2-'Summary Sheet'!$C$4^2)+0.264*((E78*LN(D78)-'Summary Sheet'!$C$4*LN('Summary Sheet'!$C$5))))</f>
        <v>46730.442719459272</v>
      </c>
      <c r="L78" s="92" t="s">
        <v>10</v>
      </c>
      <c r="M78" s="93">
        <f>K78</f>
        <v>46730.442719459272</v>
      </c>
      <c r="N78" s="93">
        <f>M78</f>
        <v>46730.442719459272</v>
      </c>
      <c r="O78" s="106" t="s">
        <v>10</v>
      </c>
      <c r="P78" s="15" t="s">
        <v>92</v>
      </c>
      <c r="Q78" s="83" t="s">
        <v>190</v>
      </c>
      <c r="R78" s="84" t="s">
        <v>198</v>
      </c>
      <c r="S78" s="84"/>
    </row>
    <row r="79" spans="2:19" x14ac:dyDescent="0.25">
      <c r="B79" s="6"/>
      <c r="C79" s="6"/>
      <c r="D79" s="6"/>
      <c r="E79" s="50"/>
      <c r="F79" s="6"/>
      <c r="G79" s="7"/>
      <c r="H79" s="6"/>
      <c r="I79" s="32"/>
      <c r="K79" s="3"/>
      <c r="L79" s="7"/>
      <c r="M79" s="6"/>
      <c r="N79" s="6"/>
      <c r="O79" s="7"/>
      <c r="P79" s="6"/>
    </row>
    <row r="80" spans="2:19" x14ac:dyDescent="0.25">
      <c r="B80" s="13" t="s">
        <v>69</v>
      </c>
      <c r="C80" s="76" t="s">
        <v>12</v>
      </c>
      <c r="D80" s="76">
        <v>47.4</v>
      </c>
      <c r="E80" s="76">
        <v>7.46</v>
      </c>
      <c r="F80" s="76">
        <v>1.1000000000000001</v>
      </c>
      <c r="G80" s="14" t="s">
        <v>10</v>
      </c>
      <c r="H80" s="78">
        <v>22600</v>
      </c>
      <c r="I80" s="79" t="s">
        <v>38</v>
      </c>
      <c r="J80" s="80" t="s">
        <v>10</v>
      </c>
      <c r="K80" s="81">
        <f>EXP(LN(H80)-0.525*(LN(F80)-LN('Summary Sheet'!$C$6))-11.282*(E80-'Summary Sheet'!$C$4)-2.201*(LN(D80)-LN('Summary Sheet'!$C$5))+0.663*(E80^2-'Summary Sheet'!$C$4^2)+0.264*((E80*LN(D80)-'Summary Sheet'!$C$4*LN('Summary Sheet'!$C$5))))</f>
        <v>34207.601483982071</v>
      </c>
      <c r="L80" s="82" t="s">
        <v>10</v>
      </c>
      <c r="M80" s="81">
        <f>K80</f>
        <v>34207.601483982071</v>
      </c>
      <c r="N80" s="81">
        <f>M80</f>
        <v>34207.601483982071</v>
      </c>
      <c r="O80" s="104" t="s">
        <v>10</v>
      </c>
      <c r="P80" s="13" t="s">
        <v>93</v>
      </c>
      <c r="Q80" s="83" t="s">
        <v>190</v>
      </c>
      <c r="R80" s="84" t="s">
        <v>197</v>
      </c>
      <c r="S80" s="84" t="s">
        <v>15</v>
      </c>
    </row>
    <row r="81" spans="2:19" x14ac:dyDescent="0.25">
      <c r="B81" s="6"/>
      <c r="C81" s="6"/>
      <c r="D81" s="6"/>
      <c r="E81" s="6"/>
      <c r="F81" s="6"/>
      <c r="G81" s="7"/>
      <c r="H81" s="6"/>
      <c r="I81" s="32"/>
      <c r="K81" s="3"/>
      <c r="L81" s="7"/>
      <c r="M81" s="6"/>
      <c r="N81" s="6"/>
      <c r="O81" s="7"/>
      <c r="P81" s="6"/>
    </row>
    <row r="82" spans="2:19" x14ac:dyDescent="0.25">
      <c r="B82" s="13" t="s">
        <v>70</v>
      </c>
      <c r="C82" s="23" t="s">
        <v>9</v>
      </c>
      <c r="D82" s="23">
        <v>80</v>
      </c>
      <c r="E82" s="94">
        <v>7</v>
      </c>
      <c r="F82" s="76">
        <v>1.6</v>
      </c>
      <c r="G82" s="14"/>
      <c r="H82" s="78">
        <v>30000</v>
      </c>
      <c r="I82" s="95" t="s">
        <v>39</v>
      </c>
      <c r="J82" s="80"/>
      <c r="K82" s="81">
        <f>EXP(LN(H82)-0.525*(LN(F82)-LN('Summary Sheet'!$C$6))-11.282*(E82-'Summary Sheet'!$C$4)-2.201*(LN(D82)-LN('Summary Sheet'!$C$5))+0.663*(E82^2-'Summary Sheet'!$C$4^2)+0.264*((E82*LN(D82)-'Summary Sheet'!$C$4*LN('Summary Sheet'!$C$5))))</f>
        <v>42323.295717913614</v>
      </c>
      <c r="L82" s="82"/>
      <c r="M82" s="81">
        <f>K82</f>
        <v>42323.295717913614</v>
      </c>
      <c r="N82" s="81">
        <f>M82</f>
        <v>42323.295717913614</v>
      </c>
      <c r="O82" s="104"/>
      <c r="P82" s="13" t="s">
        <v>94</v>
      </c>
      <c r="Q82" s="83" t="s">
        <v>190</v>
      </c>
      <c r="R82" s="84" t="s">
        <v>197</v>
      </c>
      <c r="S82" s="84" t="s">
        <v>40</v>
      </c>
    </row>
    <row r="83" spans="2:19" x14ac:dyDescent="0.25">
      <c r="C83" s="31"/>
      <c r="D83" s="31"/>
      <c r="E83" s="31"/>
      <c r="F83" s="31"/>
      <c r="H83" s="31"/>
      <c r="K83" s="3"/>
      <c r="L83" s="35"/>
      <c r="M83" s="31"/>
      <c r="N83" s="31"/>
      <c r="O83" s="35"/>
    </row>
    <row r="84" spans="2:19" x14ac:dyDescent="0.25">
      <c r="B84" s="13" t="s">
        <v>71</v>
      </c>
      <c r="C84" s="23" t="s">
        <v>12</v>
      </c>
      <c r="D84" s="23">
        <v>17.43</v>
      </c>
      <c r="E84" s="23">
        <v>7.28</v>
      </c>
      <c r="F84" s="76">
        <v>2.8</v>
      </c>
      <c r="G84" s="14" t="s">
        <v>10</v>
      </c>
      <c r="H84" s="78">
        <v>77700</v>
      </c>
      <c r="I84" s="95" t="s">
        <v>41</v>
      </c>
      <c r="J84" s="80" t="s">
        <v>10</v>
      </c>
      <c r="K84" s="81">
        <f>EXP(LN(H84)-0.525*(LN(F84)-LN('Summary Sheet'!$C$6))-11.282*(E84-'Summary Sheet'!$C$4)-2.201*(LN(D84)-LN('Summary Sheet'!$C$5))+0.663*(E84^2-'Summary Sheet'!$C$4^2)+0.264*((E84*LN(D84)-'Summary Sheet'!$C$4*LN('Summary Sheet'!$C$5))))</f>
        <v>103997.55471374164</v>
      </c>
      <c r="L84" s="82" t="s">
        <v>10</v>
      </c>
      <c r="M84" s="81">
        <f>K84</f>
        <v>103997.55471374164</v>
      </c>
      <c r="N84" s="81">
        <f>M84</f>
        <v>103997.55471374164</v>
      </c>
      <c r="O84" s="104" t="s">
        <v>10</v>
      </c>
      <c r="P84" s="13" t="s">
        <v>95</v>
      </c>
      <c r="Q84" s="83" t="s">
        <v>190</v>
      </c>
      <c r="R84" s="84" t="s">
        <v>197</v>
      </c>
      <c r="S84" s="84" t="s">
        <v>42</v>
      </c>
    </row>
    <row r="85" spans="2:19" x14ac:dyDescent="0.25">
      <c r="C85" s="31"/>
      <c r="D85" s="31"/>
      <c r="E85" s="31"/>
      <c r="F85" s="31"/>
      <c r="H85" s="31"/>
      <c r="K85" s="3"/>
      <c r="L85" s="35"/>
      <c r="M85" s="31"/>
      <c r="N85" s="31"/>
      <c r="O85" s="35"/>
    </row>
    <row r="86" spans="2:19" x14ac:dyDescent="0.25">
      <c r="B86" s="4" t="s">
        <v>72</v>
      </c>
      <c r="C86" s="58" t="s">
        <v>17</v>
      </c>
      <c r="D86" s="58">
        <v>27.4</v>
      </c>
      <c r="E86" s="58">
        <v>7.58</v>
      </c>
      <c r="F86" s="58">
        <v>0.5</v>
      </c>
      <c r="G86" s="9" t="s">
        <v>10</v>
      </c>
      <c r="H86" s="59">
        <v>9840</v>
      </c>
      <c r="I86" s="60" t="s">
        <v>43</v>
      </c>
      <c r="J86" s="19" t="s">
        <v>10</v>
      </c>
      <c r="K86" s="61">
        <f>EXP(LN(H86)-0.503*(LN(F86)-LN('Summary Sheet'!$C$6))-3.131*(E86-'Summary Sheet'!$C$4)-3.443*(LN(D86)-LN('Summary Sheet'!$C$5))+0.494*(E86*LN(D86)-'Summary Sheet'!$C$4*LN('Summary Sheet'!$C$5)))</f>
        <v>34306.356575478138</v>
      </c>
      <c r="L86" s="62"/>
      <c r="M86" s="63" t="s">
        <v>13</v>
      </c>
      <c r="N86" s="63"/>
      <c r="O86" s="19"/>
      <c r="P86" s="4" t="s">
        <v>96</v>
      </c>
      <c r="Q86" s="64"/>
      <c r="R86" s="65" t="s">
        <v>197</v>
      </c>
      <c r="S86" s="65" t="s">
        <v>44</v>
      </c>
    </row>
    <row r="87" spans="2:19" x14ac:dyDescent="0.25">
      <c r="B87" s="6" t="s">
        <v>72</v>
      </c>
      <c r="C87" s="22" t="s">
        <v>17</v>
      </c>
      <c r="D87" s="22">
        <v>45.2</v>
      </c>
      <c r="E87" s="22">
        <v>7.62</v>
      </c>
      <c r="F87" s="22">
        <v>0.5</v>
      </c>
      <c r="G87" s="35" t="s">
        <v>10</v>
      </c>
      <c r="H87" s="24">
        <v>8070</v>
      </c>
      <c r="I87" s="38" t="s">
        <v>43</v>
      </c>
      <c r="J87" s="1" t="s">
        <v>10</v>
      </c>
      <c r="K87" s="3">
        <f>EXP(LN(H87)-0.503*(LN(F87)-LN('Summary Sheet'!$C$6))-3.131*(E87-'Summary Sheet'!$C$4)-3.443*(LN(D87)-LN('Summary Sheet'!$C$5))+0.494*(E87*LN(D87)-'Summary Sheet'!$C$4*LN('Summary Sheet'!$C$5)))</f>
        <v>31125.355418267056</v>
      </c>
      <c r="L87" s="43"/>
      <c r="M87" s="30" t="s">
        <v>13</v>
      </c>
      <c r="N87" s="30"/>
      <c r="O87" s="1"/>
      <c r="P87" s="6" t="s">
        <v>96</v>
      </c>
      <c r="R87" s="34" t="s">
        <v>197</v>
      </c>
      <c r="S87" s="34" t="s">
        <v>44</v>
      </c>
    </row>
    <row r="88" spans="2:19" x14ac:dyDescent="0.25">
      <c r="B88" s="6" t="s">
        <v>72</v>
      </c>
      <c r="C88" s="22" t="s">
        <v>17</v>
      </c>
      <c r="D88" s="22">
        <v>89.5</v>
      </c>
      <c r="E88" s="22">
        <v>7.58</v>
      </c>
      <c r="F88" s="22">
        <v>0.5</v>
      </c>
      <c r="G88" s="35" t="s">
        <v>10</v>
      </c>
      <c r="H88" s="24">
        <v>8160</v>
      </c>
      <c r="I88" s="38" t="s">
        <v>43</v>
      </c>
      <c r="J88" s="1" t="s">
        <v>10</v>
      </c>
      <c r="K88" s="3">
        <f>EXP(LN(H88)-0.503*(LN(F88)-LN('Summary Sheet'!$C$6))-3.131*(E88-'Summary Sheet'!$C$4)-3.443*(LN(D88)-LN('Summary Sheet'!$C$5))+0.494*(E88*LN(D88)-'Summary Sheet'!$C$4*LN('Summary Sheet'!$C$5)))</f>
        <v>40651.145643553005</v>
      </c>
      <c r="L88" s="43"/>
      <c r="M88" s="30" t="s">
        <v>13</v>
      </c>
      <c r="N88" s="30"/>
      <c r="O88" s="1"/>
      <c r="P88" s="6" t="s">
        <v>96</v>
      </c>
      <c r="R88" s="34" t="s">
        <v>197</v>
      </c>
      <c r="S88" s="34" t="s">
        <v>44</v>
      </c>
    </row>
    <row r="89" spans="2:19" x14ac:dyDescent="0.25">
      <c r="B89" s="6" t="s">
        <v>72</v>
      </c>
      <c r="C89" s="22" t="s">
        <v>17</v>
      </c>
      <c r="D89" s="22">
        <v>130.4</v>
      </c>
      <c r="E89" s="22">
        <v>7.58</v>
      </c>
      <c r="F89" s="22">
        <v>0.5</v>
      </c>
      <c r="G89" s="35" t="s">
        <v>10</v>
      </c>
      <c r="H89" s="24">
        <v>8200</v>
      </c>
      <c r="I89" s="38" t="s">
        <v>43</v>
      </c>
      <c r="J89" s="1" t="s">
        <v>10</v>
      </c>
      <c r="K89" s="3">
        <f>EXP(LN(H89)-0.503*(LN(F89)-LN('Summary Sheet'!$C$6))-3.131*(E89-'Summary Sheet'!$C$4)-3.443*(LN(D89)-LN('Summary Sheet'!$C$5))+0.494*(E89*LN(D89)-'Summary Sheet'!$C$4*LN('Summary Sheet'!$C$5)))</f>
        <v>45759.503213507523</v>
      </c>
      <c r="L89" s="43"/>
      <c r="M89" s="30" t="s">
        <v>13</v>
      </c>
      <c r="N89" s="30"/>
      <c r="O89" s="1"/>
      <c r="P89" s="6" t="s">
        <v>96</v>
      </c>
      <c r="R89" s="34" t="s">
        <v>197</v>
      </c>
      <c r="S89" s="34" t="s">
        <v>44</v>
      </c>
    </row>
    <row r="90" spans="2:19" x14ac:dyDescent="0.25">
      <c r="B90" s="6" t="s">
        <v>72</v>
      </c>
      <c r="C90" s="22" t="s">
        <v>17</v>
      </c>
      <c r="D90" s="29">
        <v>23.2</v>
      </c>
      <c r="E90" s="29">
        <v>8.25</v>
      </c>
      <c r="F90" s="22">
        <v>0.5</v>
      </c>
      <c r="G90" s="7"/>
      <c r="H90" s="26">
        <v>6170</v>
      </c>
      <c r="I90" s="38" t="s">
        <v>43</v>
      </c>
      <c r="K90" s="3">
        <f>EXP(LN(H90)-0.503*(LN(F90)-LN('Summary Sheet'!$C$6))-3.131*(E90-'Summary Sheet'!$C$4)-3.443*(LN(D90)-LN('Summary Sheet'!$C$5))+0.494*(E90*LN(D90)-'Summary Sheet'!$C$4*LN('Summary Sheet'!$C$5)))</f>
        <v>7108.456798386911</v>
      </c>
      <c r="L90" s="43"/>
      <c r="M90" s="30" t="s">
        <v>13</v>
      </c>
      <c r="N90" s="30"/>
      <c r="O90" s="1"/>
      <c r="P90" s="6" t="s">
        <v>96</v>
      </c>
      <c r="R90" s="34" t="s">
        <v>197</v>
      </c>
      <c r="S90" s="34" t="s">
        <v>44</v>
      </c>
    </row>
    <row r="91" spans="2:19" x14ac:dyDescent="0.25">
      <c r="B91" s="6" t="s">
        <v>72</v>
      </c>
      <c r="C91" s="22" t="s">
        <v>17</v>
      </c>
      <c r="D91" s="51">
        <v>35</v>
      </c>
      <c r="E91" s="29">
        <v>8.26</v>
      </c>
      <c r="F91" s="22">
        <v>0.5</v>
      </c>
      <c r="G91" s="7"/>
      <c r="H91" s="26">
        <v>6170</v>
      </c>
      <c r="I91" s="38" t="s">
        <v>43</v>
      </c>
      <c r="K91" s="3">
        <f>EXP(LN(H91)-0.503*(LN(F91)-LN('Summary Sheet'!$C$6))-3.131*(E91-'Summary Sheet'!$C$4)-3.443*(LN(D91)-LN('Summary Sheet'!$C$5))+0.494*(E91*LN(D91)-'Summary Sheet'!$C$4*LN('Summary Sheet'!$C$5)))</f>
        <v>9094.0461091479483</v>
      </c>
      <c r="L91" s="43"/>
      <c r="M91" s="30" t="s">
        <v>13</v>
      </c>
      <c r="N91" s="30"/>
      <c r="O91" s="1"/>
      <c r="P91" s="6" t="s">
        <v>96</v>
      </c>
      <c r="R91" s="34" t="s">
        <v>197</v>
      </c>
      <c r="S91" s="34" t="s">
        <v>44</v>
      </c>
    </row>
    <row r="92" spans="2:19" x14ac:dyDescent="0.25">
      <c r="B92" s="6" t="s">
        <v>72</v>
      </c>
      <c r="C92" s="22" t="s">
        <v>17</v>
      </c>
      <c r="D92" s="29">
        <v>83.6</v>
      </c>
      <c r="E92" s="29">
        <v>8.2899999999999991</v>
      </c>
      <c r="F92" s="22">
        <v>0.5</v>
      </c>
      <c r="G92" s="7"/>
      <c r="H92" s="26">
        <v>7670</v>
      </c>
      <c r="I92" s="38" t="s">
        <v>43</v>
      </c>
      <c r="K92" s="3">
        <f>EXP(LN(H92)-0.503*(LN(F92)-LN('Summary Sheet'!$C$6))-3.131*(E92-'Summary Sheet'!$C$4)-3.443*(LN(D92)-LN('Summary Sheet'!$C$5))+0.494*(E92*LN(D92)-'Summary Sheet'!$C$4*LN('Summary Sheet'!$C$5)))</f>
        <v>19142.629924945057</v>
      </c>
      <c r="L92" s="43"/>
      <c r="M92" s="30" t="s">
        <v>13</v>
      </c>
      <c r="N92" s="30"/>
      <c r="O92" s="1"/>
      <c r="P92" s="6" t="s">
        <v>96</v>
      </c>
      <c r="R92" s="34" t="s">
        <v>197</v>
      </c>
      <c r="S92" s="34" t="s">
        <v>44</v>
      </c>
    </row>
    <row r="93" spans="2:19" x14ac:dyDescent="0.25">
      <c r="B93" s="11" t="s">
        <v>72</v>
      </c>
      <c r="C93" s="66" t="s">
        <v>17</v>
      </c>
      <c r="D93" s="98">
        <v>115.8</v>
      </c>
      <c r="E93" s="203">
        <v>8.3000000000000007</v>
      </c>
      <c r="F93" s="66">
        <v>0.5</v>
      </c>
      <c r="G93" s="12"/>
      <c r="H93" s="204">
        <v>6930</v>
      </c>
      <c r="I93" s="85" t="s">
        <v>43</v>
      </c>
      <c r="J93" s="71"/>
      <c r="K93" s="72">
        <f>EXP(LN(H93)-0.503*(LN(F93)-LN('Summary Sheet'!$C$6))-3.131*(E93-'Summary Sheet'!$C$4)-3.443*(LN(D93)-LN('Summary Sheet'!$C$5))+0.494*(E93*LN(D93)-'Summary Sheet'!$C$4*LN('Summary Sheet'!$C$5)))</f>
        <v>21224.26759419496</v>
      </c>
      <c r="L93" s="73"/>
      <c r="M93" s="72">
        <f>GEOMEAN(K86:K93)</f>
        <v>21861.312148831548</v>
      </c>
      <c r="N93" s="72">
        <f>M93</f>
        <v>21861.312148831548</v>
      </c>
      <c r="O93" s="105"/>
      <c r="P93" s="11" t="s">
        <v>96</v>
      </c>
      <c r="Q93" s="74" t="s">
        <v>192</v>
      </c>
      <c r="R93" s="75" t="s">
        <v>197</v>
      </c>
      <c r="S93" s="75" t="s">
        <v>44</v>
      </c>
    </row>
    <row r="94" spans="2:19" x14ac:dyDescent="0.25">
      <c r="C94" s="31"/>
      <c r="D94" s="31"/>
      <c r="E94" s="31"/>
      <c r="F94" s="31"/>
      <c r="H94" s="31"/>
      <c r="K94" s="3"/>
      <c r="L94" s="35"/>
      <c r="M94" s="31"/>
      <c r="N94" s="31"/>
      <c r="O94" s="35"/>
    </row>
    <row r="95" spans="2:19" x14ac:dyDescent="0.25">
      <c r="B95" s="8" t="s">
        <v>73</v>
      </c>
      <c r="C95" s="58" t="s">
        <v>9</v>
      </c>
      <c r="D95" s="58">
        <v>6.8</v>
      </c>
      <c r="E95" s="58">
        <v>5.5</v>
      </c>
      <c r="F95" s="58">
        <v>0.5</v>
      </c>
      <c r="G95" s="9"/>
      <c r="H95" s="59">
        <v>584</v>
      </c>
      <c r="I95" s="60" t="s">
        <v>45</v>
      </c>
      <c r="J95" s="19"/>
      <c r="K95" s="61">
        <f>EXP(LN(H95)-0.503*(LN(F95)-LN('Summary Sheet'!$C$6))-3.131*(E95-'Summary Sheet'!$C$4)-3.443*(LN(D95)-LN('Summary Sheet'!$C$5))+0.494*(E95*LN(D95)-'Summary Sheet'!$C$4*LN('Summary Sheet'!$C$5)))</f>
        <v>125665.03402363569</v>
      </c>
      <c r="L95" s="62"/>
      <c r="M95" s="63" t="s">
        <v>13</v>
      </c>
      <c r="N95" s="63"/>
      <c r="O95" s="19"/>
      <c r="P95" s="102" t="s">
        <v>97</v>
      </c>
      <c r="Q95" s="64"/>
      <c r="R95" s="65" t="s">
        <v>197</v>
      </c>
      <c r="S95" s="65" t="s">
        <v>46</v>
      </c>
    </row>
    <row r="96" spans="2:19" x14ac:dyDescent="0.25">
      <c r="B96" s="17" t="s">
        <v>73</v>
      </c>
      <c r="C96" s="66" t="s">
        <v>9</v>
      </c>
      <c r="D96" s="66">
        <v>6.8</v>
      </c>
      <c r="E96" s="66">
        <v>6.5</v>
      </c>
      <c r="F96" s="66">
        <v>0.5</v>
      </c>
      <c r="G96" s="18"/>
      <c r="H96" s="69">
        <v>599</v>
      </c>
      <c r="I96" s="85" t="s">
        <v>45</v>
      </c>
      <c r="J96" s="71"/>
      <c r="K96" s="72">
        <f>EXP(LN(H96)-0.503*(LN(F96)-LN('Summary Sheet'!$C$6))-3.131*(E96-'Summary Sheet'!$C$4)-3.443*(LN(D96)-LN('Summary Sheet'!$C$5))+0.494*(E96*LN(D96)-'Summary Sheet'!$C$4*LN('Summary Sheet'!$C$5)))</f>
        <v>14511.483370002512</v>
      </c>
      <c r="L96" s="73"/>
      <c r="M96" s="72">
        <f>GEOMEAN(K95:K96)</f>
        <v>42703.466503608222</v>
      </c>
      <c r="N96" s="72">
        <f>M96</f>
        <v>42703.466503608222</v>
      </c>
      <c r="O96" s="105"/>
      <c r="P96" s="17" t="s">
        <v>97</v>
      </c>
      <c r="Q96" s="74" t="s">
        <v>192</v>
      </c>
      <c r="R96" s="75" t="s">
        <v>197</v>
      </c>
      <c r="S96" s="75" t="s">
        <v>46</v>
      </c>
    </row>
    <row r="97" spans="2:19" x14ac:dyDescent="0.25">
      <c r="C97" s="31"/>
      <c r="D97" s="31"/>
      <c r="E97" s="31"/>
      <c r="F97" s="31"/>
      <c r="H97" s="31"/>
      <c r="K97" s="3"/>
      <c r="L97" s="35"/>
      <c r="M97" s="31"/>
      <c r="N97" s="31"/>
      <c r="O97" s="35"/>
    </row>
    <row r="98" spans="2:19" x14ac:dyDescent="0.25">
      <c r="B98" s="8" t="s">
        <v>74</v>
      </c>
      <c r="C98" s="96" t="s">
        <v>9</v>
      </c>
      <c r="D98" s="97">
        <v>40</v>
      </c>
      <c r="E98" s="86">
        <v>5.6</v>
      </c>
      <c r="F98" s="58">
        <v>1.6</v>
      </c>
      <c r="G98" s="5"/>
      <c r="H98" s="59">
        <v>6530</v>
      </c>
      <c r="I98" s="10" t="s">
        <v>47</v>
      </c>
      <c r="J98" s="19"/>
      <c r="K98" s="61">
        <f>EXP(LN(H98)-0.503*(LN(F98)-LN('Summary Sheet'!$C$6))-3.131*(E98-'Summary Sheet'!$C$4)-3.443*(LN(D98)-LN('Summary Sheet'!$C$5))+0.494*(E98*LN(D98)-'Summary Sheet'!$C$4*LN('Summary Sheet'!$C$5)))</f>
        <v>189711.83571443334</v>
      </c>
      <c r="L98" s="62"/>
      <c r="M98" s="63" t="s">
        <v>13</v>
      </c>
      <c r="N98" s="63"/>
      <c r="O98" s="19"/>
      <c r="P98" s="102" t="s">
        <v>98</v>
      </c>
      <c r="Q98" s="64"/>
      <c r="R98" s="65" t="s">
        <v>197</v>
      </c>
      <c r="S98" s="65" t="s">
        <v>48</v>
      </c>
    </row>
    <row r="99" spans="2:19" x14ac:dyDescent="0.25">
      <c r="B99" s="31" t="s">
        <v>74</v>
      </c>
      <c r="C99" s="29" t="s">
        <v>9</v>
      </c>
      <c r="D99" s="45">
        <v>18</v>
      </c>
      <c r="E99" s="42">
        <v>5.6</v>
      </c>
      <c r="F99" s="22">
        <v>1.6</v>
      </c>
      <c r="G99" s="7"/>
      <c r="H99" s="24">
        <v>3400</v>
      </c>
      <c r="I99" s="32" t="s">
        <v>47</v>
      </c>
      <c r="K99" s="3">
        <f>EXP(LN(H99)-0.503*(LN(F99)-LN('Summary Sheet'!$C$6))-3.131*(E99-'Summary Sheet'!$C$4)-3.443*(LN(D99)-LN('Summary Sheet'!$C$5))+0.494*(E99*LN(D99)-'Summary Sheet'!$C$4*LN('Summary Sheet'!$C$5)))</f>
        <v>169549.52420350662</v>
      </c>
      <c r="L99" s="43"/>
      <c r="M99" s="30" t="s">
        <v>13</v>
      </c>
      <c r="N99" s="30"/>
      <c r="O99" s="1"/>
      <c r="P99" s="31" t="s">
        <v>98</v>
      </c>
      <c r="R99" s="34" t="s">
        <v>197</v>
      </c>
      <c r="S99" s="34" t="s">
        <v>48</v>
      </c>
    </row>
    <row r="100" spans="2:19" x14ac:dyDescent="0.25">
      <c r="B100" s="17" t="s">
        <v>74</v>
      </c>
      <c r="C100" s="98" t="s">
        <v>9</v>
      </c>
      <c r="D100" s="88">
        <v>2</v>
      </c>
      <c r="E100" s="67">
        <v>5.6</v>
      </c>
      <c r="F100" s="66">
        <v>1.6</v>
      </c>
      <c r="G100" s="12"/>
      <c r="H100" s="69">
        <v>370</v>
      </c>
      <c r="I100" s="70" t="s">
        <v>47</v>
      </c>
      <c r="J100" s="71"/>
      <c r="K100" s="72">
        <f>EXP(LN(H100)-0.503*(LN(F100)-LN('Summary Sheet'!$C$6))-3.131*(E100-'Summary Sheet'!$C$4)-3.443*(LN(D100)-LN('Summary Sheet'!$C$5))+0.494*(E100*LN(D100)-'Summary Sheet'!$C$4*LN('Summary Sheet'!$C$5)))</f>
        <v>81594.308143698596</v>
      </c>
      <c r="L100" s="73"/>
      <c r="M100" s="72">
        <f>GEOMEAN(K98:K100)</f>
        <v>137937.90385509626</v>
      </c>
      <c r="N100" s="72">
        <f>M100</f>
        <v>137937.90385509626</v>
      </c>
      <c r="O100" s="105"/>
      <c r="P100" s="17" t="s">
        <v>98</v>
      </c>
      <c r="Q100" s="74" t="s">
        <v>192</v>
      </c>
      <c r="R100" s="75" t="s">
        <v>197</v>
      </c>
      <c r="S100" s="75" t="s">
        <v>48</v>
      </c>
    </row>
    <row r="101" spans="2:19" x14ac:dyDescent="0.25">
      <c r="C101" s="31"/>
      <c r="D101" s="31"/>
      <c r="E101" s="31"/>
      <c r="F101" s="31"/>
      <c r="H101" s="31"/>
      <c r="K101" s="3"/>
      <c r="L101" s="35"/>
      <c r="M101" s="31"/>
      <c r="N101" s="31"/>
      <c r="O101" s="35"/>
    </row>
    <row r="102" spans="2:19" x14ac:dyDescent="0.25">
      <c r="B102" s="13" t="s">
        <v>75</v>
      </c>
      <c r="C102" s="76" t="s">
        <v>12</v>
      </c>
      <c r="D102" s="76">
        <v>47.4</v>
      </c>
      <c r="E102" s="76">
        <v>7.55</v>
      </c>
      <c r="F102" s="76">
        <v>1.1000000000000001</v>
      </c>
      <c r="G102" s="14" t="s">
        <v>10</v>
      </c>
      <c r="H102" s="78">
        <v>50000</v>
      </c>
      <c r="I102" s="95" t="s">
        <v>38</v>
      </c>
      <c r="J102" s="80" t="s">
        <v>10</v>
      </c>
      <c r="K102" s="81">
        <f>EXP(LN(H102)-0.503*(LN(F102)-LN('Summary Sheet'!$C$6))-3.131*(E102-'Summary Sheet'!$C$4)-3.443*(LN(D102)-LN('Summary Sheet'!$C$5))+0.494*(E102*LN(D102)-'Summary Sheet'!$C$4*LN('Summary Sheet'!$C$5)))</f>
        <v>143495.82856916595</v>
      </c>
      <c r="L102" s="82" t="s">
        <v>10</v>
      </c>
      <c r="M102" s="81">
        <f>K102</f>
        <v>143495.82856916595</v>
      </c>
      <c r="N102" s="81">
        <f>M102</f>
        <v>143495.82856916595</v>
      </c>
      <c r="O102" s="104" t="s">
        <v>10</v>
      </c>
      <c r="P102" s="13" t="s">
        <v>99</v>
      </c>
      <c r="Q102" s="83" t="s">
        <v>192</v>
      </c>
      <c r="R102" s="84" t="s">
        <v>197</v>
      </c>
      <c r="S102" s="84" t="s">
        <v>15</v>
      </c>
    </row>
    <row r="103" spans="2:19" x14ac:dyDescent="0.25">
      <c r="B103" s="6"/>
      <c r="C103" s="6"/>
      <c r="D103" s="6"/>
      <c r="E103" s="6"/>
      <c r="F103" s="6"/>
      <c r="G103" s="7"/>
      <c r="H103" s="6"/>
      <c r="I103" s="32"/>
      <c r="K103" s="3"/>
      <c r="L103" s="7"/>
      <c r="M103" s="6"/>
      <c r="N103" s="6"/>
      <c r="O103" s="7"/>
      <c r="P103" s="6"/>
    </row>
    <row r="104" spans="2:19" x14ac:dyDescent="0.25">
      <c r="B104" s="13" t="s">
        <v>76</v>
      </c>
      <c r="C104" s="23" t="s">
        <v>16</v>
      </c>
      <c r="D104" s="99">
        <v>140</v>
      </c>
      <c r="E104" s="77">
        <v>8.1</v>
      </c>
      <c r="F104" s="76">
        <v>0.5</v>
      </c>
      <c r="G104" s="14" t="s">
        <v>10</v>
      </c>
      <c r="H104" s="78">
        <v>59100</v>
      </c>
      <c r="I104" s="95" t="s">
        <v>49</v>
      </c>
      <c r="J104" s="80" t="s">
        <v>10</v>
      </c>
      <c r="K104" s="81">
        <f>EXP(LN(H104)-0.503*(LN(F104)-LN('Summary Sheet'!$C$6))-3.131*(E104-'Summary Sheet'!$C$4)-3.443*(LN(D104)-LN('Summary Sheet'!$C$5))+0.494*(E104*LN(D104)-'Summary Sheet'!$C$4*LN('Summary Sheet'!$C$5)))</f>
        <v>235380.66923026214</v>
      </c>
      <c r="L104" s="82" t="s">
        <v>10</v>
      </c>
      <c r="M104" s="81">
        <f>K104</f>
        <v>235380.66923026214</v>
      </c>
      <c r="N104" s="81">
        <f>M104</f>
        <v>235380.66923026214</v>
      </c>
      <c r="O104" s="104" t="s">
        <v>10</v>
      </c>
      <c r="P104" s="13" t="s">
        <v>100</v>
      </c>
      <c r="Q104" s="83" t="s">
        <v>192</v>
      </c>
      <c r="R104" s="84" t="s">
        <v>197</v>
      </c>
      <c r="S104" s="84" t="s">
        <v>50</v>
      </c>
    </row>
    <row r="105" spans="2:19" x14ac:dyDescent="0.25">
      <c r="B105" s="6"/>
      <c r="C105" s="6"/>
      <c r="D105" s="6"/>
      <c r="E105" s="6"/>
      <c r="F105" s="6"/>
      <c r="G105" s="7"/>
      <c r="H105" s="6"/>
      <c r="I105" s="32"/>
      <c r="K105" s="3"/>
      <c r="L105" s="7"/>
      <c r="M105" s="6"/>
      <c r="N105" s="6"/>
      <c r="O105" s="7"/>
      <c r="P105" s="6"/>
    </row>
    <row r="106" spans="2:19" x14ac:dyDescent="0.25">
      <c r="B106" s="4" t="s">
        <v>77</v>
      </c>
      <c r="C106" s="96" t="s">
        <v>12</v>
      </c>
      <c r="D106" s="58">
        <v>47.4</v>
      </c>
      <c r="E106" s="58">
        <v>7.61</v>
      </c>
      <c r="F106" s="58">
        <v>1.1000000000000001</v>
      </c>
      <c r="G106" s="5" t="s">
        <v>10</v>
      </c>
      <c r="H106" s="59">
        <v>48200</v>
      </c>
      <c r="I106" s="10" t="s">
        <v>38</v>
      </c>
      <c r="J106" s="19" t="s">
        <v>10</v>
      </c>
      <c r="K106" s="61">
        <f>EXP(LN(H106)-0.503*(LN(F106)-LN('Summary Sheet'!$C$6))-3.131*(E106-'Summary Sheet'!$C$4)-3.443*(LN(D106)-LN('Summary Sheet'!$C$5))+0.494*(E106*LN(D106)-'Summary Sheet'!$C$4*LN('Summary Sheet'!$C$5)))</f>
        <v>128528.61238961635</v>
      </c>
      <c r="L106" s="62"/>
      <c r="M106" s="63" t="s">
        <v>13</v>
      </c>
      <c r="N106" s="63"/>
      <c r="O106" s="19"/>
      <c r="P106" s="4" t="s">
        <v>101</v>
      </c>
      <c r="Q106" s="64"/>
      <c r="R106" s="65" t="s">
        <v>197</v>
      </c>
      <c r="S106" s="65" t="s">
        <v>15</v>
      </c>
    </row>
    <row r="107" spans="2:19" x14ac:dyDescent="0.25">
      <c r="B107" s="6" t="s">
        <v>77</v>
      </c>
      <c r="C107" s="29" t="s">
        <v>12</v>
      </c>
      <c r="D107" s="22">
        <v>47.4</v>
      </c>
      <c r="E107" s="22">
        <v>8.0500000000000007</v>
      </c>
      <c r="F107" s="22">
        <v>1.1000000000000001</v>
      </c>
      <c r="G107" s="7" t="s">
        <v>10</v>
      </c>
      <c r="H107" s="24">
        <v>49800</v>
      </c>
      <c r="I107" s="32" t="s">
        <v>38</v>
      </c>
      <c r="J107" s="1" t="s">
        <v>10</v>
      </c>
      <c r="K107" s="3">
        <f>EXP(LN(H107)-0.503*(LN(F107)-LN('Summary Sheet'!$C$6))-3.131*(E107-'Summary Sheet'!$C$4)-3.443*(LN(D107)-LN('Summary Sheet'!$C$5))+0.494*(E107*LN(D107)-'Summary Sheet'!$C$4*LN('Summary Sheet'!$C$5)))</f>
        <v>77468.982827169195</v>
      </c>
      <c r="L107" s="43"/>
      <c r="M107" s="30" t="s">
        <v>13</v>
      </c>
      <c r="N107" s="30"/>
      <c r="O107" s="1"/>
      <c r="P107" s="6" t="s">
        <v>101</v>
      </c>
      <c r="R107" s="34" t="s">
        <v>197</v>
      </c>
      <c r="S107" s="34" t="s">
        <v>15</v>
      </c>
    </row>
    <row r="108" spans="2:19" x14ac:dyDescent="0.25">
      <c r="B108" s="6" t="s">
        <v>77</v>
      </c>
      <c r="C108" s="29" t="s">
        <v>16</v>
      </c>
      <c r="D108" s="22">
        <v>26</v>
      </c>
      <c r="E108" s="22">
        <v>7.8</v>
      </c>
      <c r="F108" s="22">
        <v>0.5</v>
      </c>
      <c r="G108" s="7"/>
      <c r="H108" s="24">
        <v>1160</v>
      </c>
      <c r="I108" s="32" t="s">
        <v>51</v>
      </c>
      <c r="K108" s="3">
        <f>EXP(LN(H108)-0.503*(LN(F108)-LN('Summary Sheet'!$C$6))-3.131*(E108-'Summary Sheet'!$C$4)-3.443*(LN(D108)-LN('Summary Sheet'!$C$5))+0.494*(E108*LN(D108)-'Summary Sheet'!$C$4*LN('Summary Sheet'!$C$5)))</f>
        <v>2848.382315273825</v>
      </c>
      <c r="L108" s="48"/>
      <c r="M108" s="30" t="s">
        <v>13</v>
      </c>
      <c r="N108" s="30"/>
      <c r="O108" s="1"/>
      <c r="P108" s="6" t="s">
        <v>101</v>
      </c>
      <c r="R108" s="34" t="s">
        <v>197</v>
      </c>
      <c r="S108" s="34" t="s">
        <v>22</v>
      </c>
    </row>
    <row r="109" spans="2:19" x14ac:dyDescent="0.25">
      <c r="B109" s="6" t="s">
        <v>77</v>
      </c>
      <c r="C109" s="29" t="s">
        <v>16</v>
      </c>
      <c r="D109" s="22">
        <v>46</v>
      </c>
      <c r="E109" s="22">
        <v>7.6</v>
      </c>
      <c r="F109" s="22">
        <v>0.5</v>
      </c>
      <c r="G109" s="7"/>
      <c r="H109" s="24">
        <v>8180</v>
      </c>
      <c r="I109" s="32" t="s">
        <v>51</v>
      </c>
      <c r="K109" s="3">
        <f>EXP(LN(H109)-0.503*(LN(F109)-LN('Summary Sheet'!$C$6))-3.131*(E109-'Summary Sheet'!$C$4)-3.443*(LN(D109)-LN('Summary Sheet'!$C$5))+0.494*(E109*LN(D109)-'Summary Sheet'!$C$4*LN('Summary Sheet'!$C$5)))</f>
        <v>32524.417044103269</v>
      </c>
      <c r="L109" s="43"/>
      <c r="M109" s="30" t="s">
        <v>13</v>
      </c>
      <c r="N109" s="30"/>
      <c r="O109" s="1"/>
      <c r="P109" s="6" t="s">
        <v>101</v>
      </c>
      <c r="R109" s="34" t="s">
        <v>197</v>
      </c>
      <c r="S109" s="34" t="s">
        <v>22</v>
      </c>
    </row>
    <row r="110" spans="2:19" x14ac:dyDescent="0.25">
      <c r="B110" s="6" t="s">
        <v>77</v>
      </c>
      <c r="C110" s="29" t="s">
        <v>16</v>
      </c>
      <c r="D110" s="22">
        <v>96</v>
      </c>
      <c r="E110" s="22">
        <v>8.1</v>
      </c>
      <c r="F110" s="22">
        <v>0.5</v>
      </c>
      <c r="G110" s="7"/>
      <c r="H110" s="24">
        <v>20300</v>
      </c>
      <c r="I110" s="32" t="s">
        <v>51</v>
      </c>
      <c r="K110" s="3">
        <f>EXP(LN(H110)-0.503*(LN(F110)-LN('Summary Sheet'!$C$6))-3.131*(E110-'Summary Sheet'!$C$4)-3.443*(LN(D110)-LN('Summary Sheet'!$C$5))+0.494*(E110*LN(D110)-'Summary Sheet'!$C$4*LN('Summary Sheet'!$C$5)))</f>
        <v>65491.013555488047</v>
      </c>
      <c r="L110" s="43"/>
      <c r="M110" s="30" t="s">
        <v>13</v>
      </c>
      <c r="N110" s="30"/>
      <c r="O110" s="1"/>
      <c r="P110" s="6" t="s">
        <v>101</v>
      </c>
      <c r="R110" s="34" t="s">
        <v>197</v>
      </c>
      <c r="S110" s="34" t="s">
        <v>22</v>
      </c>
    </row>
    <row r="111" spans="2:19" x14ac:dyDescent="0.25">
      <c r="B111" s="6" t="s">
        <v>77</v>
      </c>
      <c r="C111" s="29" t="s">
        <v>16</v>
      </c>
      <c r="D111" s="22">
        <v>194</v>
      </c>
      <c r="E111" s="22">
        <v>8.1</v>
      </c>
      <c r="F111" s="22">
        <v>0.5</v>
      </c>
      <c r="G111" s="7"/>
      <c r="H111" s="24">
        <v>44800</v>
      </c>
      <c r="I111" s="32" t="s">
        <v>51</v>
      </c>
      <c r="K111" s="3">
        <f>EXP(LN(H111)-0.503*(LN(F111)-LN('Summary Sheet'!$C$6))-3.131*(E111-'Summary Sheet'!$C$4)-3.443*(LN(D111)-LN('Summary Sheet'!$C$5))+0.494*(E111*LN(D111)-'Summary Sheet'!$C$4*LN('Summary Sheet'!$C$5)))</f>
        <v>214077.94011957743</v>
      </c>
      <c r="L111" s="43"/>
      <c r="M111" s="30" t="s">
        <v>13</v>
      </c>
      <c r="N111" s="30"/>
      <c r="O111" s="1"/>
      <c r="P111" s="6" t="s">
        <v>101</v>
      </c>
      <c r="R111" s="34" t="s">
        <v>197</v>
      </c>
      <c r="S111" s="34" t="s">
        <v>22</v>
      </c>
    </row>
    <row r="112" spans="2:19" x14ac:dyDescent="0.25">
      <c r="B112" s="11" t="s">
        <v>77</v>
      </c>
      <c r="C112" s="98" t="s">
        <v>16</v>
      </c>
      <c r="D112" s="88">
        <v>140</v>
      </c>
      <c r="E112" s="67">
        <v>8.1</v>
      </c>
      <c r="F112" s="66">
        <v>0.5</v>
      </c>
      <c r="G112" s="12" t="s">
        <v>10</v>
      </c>
      <c r="H112" s="69">
        <v>59100</v>
      </c>
      <c r="I112" s="70" t="s">
        <v>49</v>
      </c>
      <c r="J112" s="71" t="s">
        <v>10</v>
      </c>
      <c r="K112" s="72">
        <f>EXP(LN(H112)-0.503*(LN(F112)-LN('Summary Sheet'!$C$6))-3.131*(E112-'Summary Sheet'!$C$4)-3.443*(LN(D112)-LN('Summary Sheet'!$C$5))+0.494*(E112*LN(D112)-'Summary Sheet'!$C$4*LN('Summary Sheet'!$C$5)))</f>
        <v>235380.66923026214</v>
      </c>
      <c r="L112" s="73"/>
      <c r="M112" s="72">
        <f>GEOMEAN(K106:K112)</f>
        <v>60722.747517311742</v>
      </c>
      <c r="N112" s="72">
        <f>M112</f>
        <v>60722.747517311742</v>
      </c>
      <c r="O112" s="105"/>
      <c r="P112" s="11" t="s">
        <v>101</v>
      </c>
      <c r="Q112" s="74" t="s">
        <v>192</v>
      </c>
      <c r="R112" s="75" t="s">
        <v>197</v>
      </c>
      <c r="S112" s="75" t="s">
        <v>50</v>
      </c>
    </row>
    <row r="113" spans="2:19" x14ac:dyDescent="0.25">
      <c r="B113" s="15"/>
      <c r="C113" s="15"/>
      <c r="D113" s="15"/>
      <c r="E113" s="15"/>
      <c r="F113" s="15"/>
      <c r="G113" s="16"/>
      <c r="H113" s="15"/>
      <c r="I113" s="79"/>
      <c r="J113" s="80"/>
      <c r="K113" s="81"/>
      <c r="L113" s="16"/>
      <c r="M113" s="15"/>
      <c r="N113" s="15"/>
      <c r="O113" s="16"/>
      <c r="P113" s="15"/>
      <c r="Q113" s="83"/>
      <c r="R113" s="84"/>
      <c r="S113" s="84"/>
    </row>
    <row r="114" spans="2:19" x14ac:dyDescent="0.25">
      <c r="B114" s="17" t="s">
        <v>78</v>
      </c>
      <c r="C114" s="66" t="s">
        <v>12</v>
      </c>
      <c r="D114" s="66">
        <v>12.45</v>
      </c>
      <c r="E114" s="66">
        <v>5.05</v>
      </c>
      <c r="F114" s="66">
        <v>1.6</v>
      </c>
      <c r="G114" s="18"/>
      <c r="H114" s="69">
        <v>130</v>
      </c>
      <c r="I114" s="85" t="s">
        <v>52</v>
      </c>
      <c r="J114" s="71"/>
      <c r="K114" s="72">
        <f>EXP(LN(H114)-0.503*(LN(F114)-LN('Summary Sheet'!$C$6))-3.131*(E114-'Summary Sheet'!$C$4)-3.443*(LN(D114)-LN('Summary Sheet'!$C$5))+0.494*(E114*LN(D114)-'Summary Sheet'!$C$4*LN('Summary Sheet'!$C$5)))</f>
        <v>23464.219042132667</v>
      </c>
      <c r="L114" s="100"/>
      <c r="M114" s="72">
        <f>GEOMEAN(K114:K114)</f>
        <v>23464.219042132667</v>
      </c>
      <c r="N114" s="72">
        <f>M114</f>
        <v>23464.219042132667</v>
      </c>
      <c r="O114" s="105"/>
      <c r="P114" s="17" t="s">
        <v>102</v>
      </c>
      <c r="Q114" s="74" t="s">
        <v>192</v>
      </c>
      <c r="R114" s="75" t="s">
        <v>197</v>
      </c>
      <c r="S114" s="75" t="s">
        <v>48</v>
      </c>
    </row>
    <row r="115" spans="2:19" x14ac:dyDescent="0.25">
      <c r="C115" s="31"/>
      <c r="D115" s="31"/>
      <c r="E115" s="31"/>
      <c r="F115" s="31"/>
      <c r="H115" s="31"/>
      <c r="K115" s="3"/>
      <c r="L115" s="35"/>
      <c r="M115" s="31"/>
      <c r="N115" s="31"/>
      <c r="O115" s="35"/>
    </row>
    <row r="116" spans="2:19" x14ac:dyDescent="0.25">
      <c r="B116" s="15" t="s">
        <v>79</v>
      </c>
      <c r="C116" s="76" t="s">
        <v>16</v>
      </c>
      <c r="D116" s="76">
        <v>4.55</v>
      </c>
      <c r="E116" s="76">
        <v>5.49</v>
      </c>
      <c r="F116" s="76">
        <v>0.5</v>
      </c>
      <c r="G116" s="16" t="s">
        <v>10</v>
      </c>
      <c r="H116" s="101">
        <v>405.2</v>
      </c>
      <c r="I116" s="79" t="s">
        <v>53</v>
      </c>
      <c r="J116" s="80" t="s">
        <v>10</v>
      </c>
      <c r="K116" s="81">
        <f>EXP(LN(H116)-0.503*(LN(F116)-LN('Summary Sheet'!$C$6))-3.131*(E116-'Summary Sheet'!$C$4)-3.443*(LN(D116)-LN('Summary Sheet'!$C$5))+0.494*(E116*LN(D116)-'Summary Sheet'!$C$4*LN('Summary Sheet'!$C$5)))</f>
        <v>119537.29481335128</v>
      </c>
      <c r="L116" s="82" t="s">
        <v>10</v>
      </c>
      <c r="M116" s="81">
        <f>K116</f>
        <v>119537.29481335128</v>
      </c>
      <c r="N116" s="81">
        <f>M116</f>
        <v>119537.29481335128</v>
      </c>
      <c r="O116" s="104" t="s">
        <v>10</v>
      </c>
      <c r="P116" s="103" t="s">
        <v>103</v>
      </c>
      <c r="Q116" s="83" t="s">
        <v>194</v>
      </c>
      <c r="R116" s="84" t="s">
        <v>197</v>
      </c>
      <c r="S116" s="84" t="s">
        <v>54</v>
      </c>
    </row>
    <row r="117" spans="2:19" ht="18" x14ac:dyDescent="0.25">
      <c r="B117" s="54"/>
      <c r="C117" s="54"/>
      <c r="D117" s="54"/>
      <c r="E117" s="54"/>
      <c r="F117" s="54"/>
      <c r="H117" s="52"/>
      <c r="I117" s="27"/>
      <c r="P117" s="54"/>
      <c r="R117" s="54"/>
      <c r="S117" s="54"/>
    </row>
    <row r="118" spans="2:19" ht="18" x14ac:dyDescent="0.25">
      <c r="B118" s="54"/>
      <c r="C118" s="54"/>
      <c r="D118" s="54"/>
      <c r="E118" s="54"/>
      <c r="F118" s="54"/>
      <c r="H118" s="52"/>
      <c r="I118" s="27"/>
      <c r="P118" s="54"/>
      <c r="R118" s="54"/>
      <c r="S118" s="54"/>
    </row>
    <row r="119" spans="2:19" ht="18" x14ac:dyDescent="0.25">
      <c r="B119" s="54"/>
      <c r="C119" s="54"/>
      <c r="D119" s="54"/>
      <c r="E119" s="54"/>
      <c r="F119" s="54"/>
      <c r="H119" s="52"/>
      <c r="I119" s="27"/>
      <c r="P119" s="54"/>
      <c r="R119" s="54"/>
      <c r="S119" s="54"/>
    </row>
    <row r="120" spans="2:19" ht="18" x14ac:dyDescent="0.25">
      <c r="B120" s="54"/>
      <c r="C120" s="54"/>
      <c r="D120" s="54"/>
      <c r="E120" s="54"/>
      <c r="F120" s="54"/>
      <c r="H120" s="52"/>
      <c r="I120" s="27"/>
      <c r="P120" s="54"/>
      <c r="R120" s="54"/>
      <c r="S120" s="54"/>
    </row>
    <row r="121" spans="2:19" x14ac:dyDescent="0.25">
      <c r="B121" s="27"/>
      <c r="P121" s="27"/>
    </row>
    <row r="122" spans="2:19" x14ac:dyDescent="0.25">
      <c r="B122" s="38"/>
      <c r="K122" s="20" t="s">
        <v>55</v>
      </c>
      <c r="P122" s="38"/>
    </row>
    <row r="123" spans="2:19" x14ac:dyDescent="0.25">
      <c r="B123" s="38"/>
      <c r="P123" s="38"/>
    </row>
  </sheetData>
  <sheetProtection password="8B69" sheet="1" objects="1" scenarios="1"/>
  <customSheetViews>
    <customSheetView guid="{08FB27BF-4D9B-4966-8486-12381E101C6E}">
      <pane ySplit="3" topLeftCell="A4" activePane="bottomLeft" state="frozen"/>
      <selection pane="bottomLeft" activeCell="Q122" sqref="Q122"/>
      <pageMargins left="0.7" right="0.7" top="0.75" bottom="0.75" header="0.3" footer="0.3"/>
      <pageSetup orientation="portrait" r:id="rId1"/>
    </customSheetView>
  </customSheetViews>
  <pageMargins left="0.7" right="0.7" top="0.75" bottom="0.75" header="0.3" footer="0.3"/>
  <pageSetup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1:R44"/>
  <sheetViews>
    <sheetView tabSelected="1" workbookViewId="0">
      <pane ySplit="3" topLeftCell="A4" activePane="bottomLeft" state="frozen"/>
      <selection pane="bottomLeft" activeCell="E45" sqref="E45"/>
    </sheetView>
  </sheetViews>
  <sheetFormatPr defaultRowHeight="15" x14ac:dyDescent="0.25"/>
  <cols>
    <col min="1" max="1" width="0.7109375" style="37" customWidth="1"/>
    <col min="2" max="2" width="36.28515625" style="52" customWidth="1"/>
    <col min="3" max="3" width="10" style="22" bestFit="1" customWidth="1"/>
    <col min="4" max="4" width="10.28515625" style="22" bestFit="1" customWidth="1"/>
    <col min="5" max="5" width="7.28515625" style="22" bestFit="1" customWidth="1"/>
    <col min="6" max="6" width="31" style="24" bestFit="1" customWidth="1"/>
    <col min="7" max="7" width="2.140625" style="24" bestFit="1" customWidth="1"/>
    <col min="8" max="8" width="10.85546875" style="24" customWidth="1"/>
    <col min="9" max="9" width="2.140625" style="24" bestFit="1" customWidth="1"/>
    <col min="10" max="10" width="13.140625" style="37" customWidth="1"/>
    <col min="11" max="11" width="2.140625" style="24" bestFit="1" customWidth="1"/>
    <col min="12" max="12" width="10.42578125" style="37" customWidth="1"/>
    <col min="13" max="13" width="13.85546875" style="20" bestFit="1" customWidth="1"/>
    <col min="14" max="14" width="2.140625" style="24" bestFit="1" customWidth="1"/>
    <col min="15" max="15" width="12" style="52" bestFit="1" customWidth="1"/>
    <col min="16" max="16" width="19.28515625" style="52" bestFit="1" customWidth="1"/>
    <col min="17" max="17" width="57.42578125" style="37" bestFit="1" customWidth="1"/>
    <col min="18" max="18" width="18.5703125" style="37" bestFit="1" customWidth="1"/>
    <col min="19" max="16384" width="9.140625" style="37"/>
  </cols>
  <sheetData>
    <row r="1" spans="2:18" x14ac:dyDescent="0.25">
      <c r="B1" s="38" t="s">
        <v>120</v>
      </c>
      <c r="O1" s="38"/>
      <c r="P1" s="38"/>
    </row>
    <row r="2" spans="2:18" ht="30" customHeight="1" x14ac:dyDescent="0.25">
      <c r="B2" s="37"/>
      <c r="F2" s="148"/>
      <c r="G2" s="148"/>
      <c r="I2" s="148"/>
      <c r="J2" s="37" t="s">
        <v>2</v>
      </c>
      <c r="K2" s="148"/>
      <c r="N2" s="148"/>
      <c r="O2" s="37"/>
      <c r="P2" s="37"/>
    </row>
    <row r="3" spans="2:18" ht="45.75" x14ac:dyDescent="0.3">
      <c r="B3" s="149" t="s">
        <v>3</v>
      </c>
      <c r="C3" s="2" t="s">
        <v>8</v>
      </c>
      <c r="D3" s="2" t="s">
        <v>0</v>
      </c>
      <c r="E3" s="2" t="s">
        <v>5</v>
      </c>
      <c r="F3" s="41" t="s">
        <v>121</v>
      </c>
      <c r="G3" s="41"/>
      <c r="H3" s="41" t="s">
        <v>122</v>
      </c>
      <c r="I3" s="41"/>
      <c r="J3" s="2" t="s">
        <v>142</v>
      </c>
      <c r="K3" s="41"/>
      <c r="L3" s="2" t="s">
        <v>143</v>
      </c>
      <c r="M3" s="2" t="s">
        <v>144</v>
      </c>
      <c r="N3" s="41"/>
      <c r="O3" s="149" t="s">
        <v>84</v>
      </c>
      <c r="P3" s="149"/>
      <c r="Q3" s="28" t="s">
        <v>145</v>
      </c>
      <c r="R3" s="28" t="s">
        <v>57</v>
      </c>
    </row>
    <row r="4" spans="2:18" ht="15" customHeight="1" x14ac:dyDescent="0.25">
      <c r="B4" s="146"/>
      <c r="C4" s="37"/>
      <c r="D4" s="37"/>
      <c r="E4" s="37"/>
      <c r="F4" s="146"/>
      <c r="G4" s="146"/>
      <c r="H4" s="146"/>
      <c r="I4" s="146"/>
      <c r="K4" s="146"/>
      <c r="N4" s="146"/>
      <c r="O4" s="146"/>
      <c r="P4" s="146"/>
    </row>
    <row r="5" spans="2:18" x14ac:dyDescent="0.25">
      <c r="B5" s="15" t="s">
        <v>134</v>
      </c>
      <c r="C5" s="151">
        <v>48</v>
      </c>
      <c r="D5" s="76">
        <v>6</v>
      </c>
      <c r="E5" s="205">
        <v>0.25</v>
      </c>
      <c r="F5" s="76" t="s">
        <v>136</v>
      </c>
      <c r="G5" s="76"/>
      <c r="H5" s="78">
        <v>1235</v>
      </c>
      <c r="I5" s="76"/>
      <c r="J5" s="81">
        <f>EXP(LN(H5)-0.525*(LN(E5)-LN('Summary Sheet'!$C$6))-11.282*(D5-'Summary Sheet'!$C$4)-2.201*(LN(C5)-LN('Summary Sheet'!$C$5))+0.663*(D5^2-'Summary Sheet'!$C$4^2)+0.264*(D5*LN(C5)-'Summary Sheet'!$C$4*LN('Summary Sheet'!$C$5)))</f>
        <v>28533.87769289091</v>
      </c>
      <c r="K5" s="76"/>
      <c r="L5" s="81">
        <f>J5</f>
        <v>28533.87769289091</v>
      </c>
      <c r="M5" s="153">
        <f>L5</f>
        <v>28533.87769289091</v>
      </c>
      <c r="N5" s="76"/>
      <c r="O5" s="15" t="s">
        <v>150</v>
      </c>
      <c r="P5" s="15" t="s">
        <v>190</v>
      </c>
      <c r="Q5" s="84" t="s">
        <v>200</v>
      </c>
      <c r="R5" s="83"/>
    </row>
    <row r="6" spans="2:18" x14ac:dyDescent="0.25">
      <c r="B6" s="28"/>
      <c r="C6" s="28"/>
      <c r="D6" s="28"/>
      <c r="E6" s="28"/>
      <c r="F6" s="28"/>
      <c r="G6" s="28"/>
      <c r="H6" s="28"/>
      <c r="I6" s="28"/>
      <c r="J6" s="3"/>
      <c r="K6" s="28"/>
      <c r="L6" s="3"/>
      <c r="N6" s="28"/>
      <c r="O6" s="28"/>
      <c r="P6" s="28"/>
    </row>
    <row r="7" spans="2:18" s="31" customFormat="1" x14ac:dyDescent="0.25">
      <c r="B7" s="15" t="s">
        <v>135</v>
      </c>
      <c r="C7" s="76">
        <v>100</v>
      </c>
      <c r="D7" s="76">
        <v>6.2</v>
      </c>
      <c r="E7" s="205">
        <v>0.25</v>
      </c>
      <c r="F7" s="76" t="s">
        <v>136</v>
      </c>
      <c r="G7" s="76"/>
      <c r="H7" s="76">
        <v>431</v>
      </c>
      <c r="I7" s="76"/>
      <c r="J7" s="81">
        <f>EXP(LN(H7)-0.525*(LN(E7)-LN('Summary Sheet'!$C$6))-11.282*(D7-'Summary Sheet'!$C$4)-2.201*(LN(C7)-LN('Summary Sheet'!$C$5))+0.663*(D7^2-'Summary Sheet'!$C$4^2)+0.264*(D7*LN(C7)-'Summary Sheet'!$C$4*LN('Summary Sheet'!$C$5)))</f>
        <v>4263.0630091989906</v>
      </c>
      <c r="K7" s="76"/>
      <c r="L7" s="81">
        <f>J7</f>
        <v>4263.0630091989906</v>
      </c>
      <c r="M7" s="78">
        <f>L7</f>
        <v>4263.0630091989906</v>
      </c>
      <c r="N7" s="76"/>
      <c r="O7" s="15" t="s">
        <v>85</v>
      </c>
      <c r="P7" s="15" t="s">
        <v>190</v>
      </c>
      <c r="Q7" s="84" t="s">
        <v>200</v>
      </c>
      <c r="R7" s="15"/>
    </row>
    <row r="8" spans="2:18" s="31" customFormat="1" x14ac:dyDescent="0.25">
      <c r="J8" s="3"/>
      <c r="L8" s="3"/>
      <c r="M8" s="22"/>
    </row>
    <row r="9" spans="2:18" s="38" customFormat="1" x14ac:dyDescent="0.25">
      <c r="B9" s="15" t="s">
        <v>141</v>
      </c>
      <c r="C9" s="151">
        <v>117</v>
      </c>
      <c r="D9" s="76">
        <v>6.1</v>
      </c>
      <c r="E9" s="205">
        <v>0.25</v>
      </c>
      <c r="F9" s="78" t="s">
        <v>140</v>
      </c>
      <c r="G9" s="78"/>
      <c r="H9" s="81">
        <v>745.7</v>
      </c>
      <c r="I9" s="78"/>
      <c r="J9" s="81">
        <f>EXP(LN(H9)-0.525*(LN(E9)-LN('Summary Sheet'!$C$6))-11.282*(D9-'Summary Sheet'!$C$4)-2.201*(LN(C9)-LN('Summary Sheet'!$C$5))+0.663*(D9^2-'Summary Sheet'!$C$4^2)+0.264*(D9*LN(C9)-'Summary Sheet'!$C$4*LN('Summary Sheet'!$C$5)))</f>
        <v>8138.5358729295795</v>
      </c>
      <c r="K9" s="78"/>
      <c r="L9" s="81">
        <f>J9</f>
        <v>8138.5358729295795</v>
      </c>
      <c r="M9" s="81">
        <f>L9</f>
        <v>8138.5358729295795</v>
      </c>
      <c r="N9" s="78"/>
      <c r="O9" s="15" t="s">
        <v>151</v>
      </c>
      <c r="P9" s="15" t="s">
        <v>191</v>
      </c>
      <c r="Q9" s="84" t="s">
        <v>200</v>
      </c>
      <c r="R9" s="79"/>
    </row>
    <row r="10" spans="2:18" s="38" customFormat="1" x14ac:dyDescent="0.25">
      <c r="B10" s="31"/>
      <c r="C10" s="31"/>
      <c r="D10" s="31"/>
      <c r="E10" s="31"/>
      <c r="F10" s="31"/>
      <c r="G10" s="31"/>
      <c r="H10" s="31"/>
      <c r="I10" s="31"/>
      <c r="J10" s="3"/>
      <c r="K10" s="31"/>
      <c r="L10" s="3"/>
      <c r="M10" s="30"/>
      <c r="N10" s="31"/>
      <c r="O10" s="31"/>
      <c r="P10" s="31"/>
    </row>
    <row r="11" spans="2:18" x14ac:dyDescent="0.25">
      <c r="B11" s="154" t="s">
        <v>60</v>
      </c>
      <c r="C11" s="76">
        <v>105.5</v>
      </c>
      <c r="D11" s="76">
        <v>6.04</v>
      </c>
      <c r="E11" s="155">
        <f>AVERAGE(0.34,0.45)</f>
        <v>0.39500000000000002</v>
      </c>
      <c r="F11" s="78" t="s">
        <v>140</v>
      </c>
      <c r="G11" s="78"/>
      <c r="H11" s="78">
        <v>169</v>
      </c>
      <c r="I11" s="78"/>
      <c r="J11" s="81">
        <f>EXP(LN(H11)-0.525*(LN(E11)-LN('Summary Sheet'!$C$6))-11.282*(D11-'Summary Sheet'!$C$4)-2.201*(LN(C11)-LN('Summary Sheet'!$C$5))+0.663*(D11^2-'Summary Sheet'!$C$4^2)+0.264*(D11*LN(C11)-'Summary Sheet'!$C$4*LN('Summary Sheet'!$C$5)))</f>
        <v>1739.0511474491395</v>
      </c>
      <c r="K11" s="78"/>
      <c r="L11" s="81">
        <f>J11</f>
        <v>1739.0511474491395</v>
      </c>
      <c r="M11" s="153">
        <f>L11</f>
        <v>1739.0511474491395</v>
      </c>
      <c r="N11" s="78"/>
      <c r="O11" s="154" t="s">
        <v>87</v>
      </c>
      <c r="P11" s="154" t="s">
        <v>191</v>
      </c>
      <c r="Q11" s="83" t="s">
        <v>198</v>
      </c>
      <c r="R11" s="83"/>
    </row>
    <row r="12" spans="2:18" s="38" customFormat="1" x14ac:dyDescent="0.25">
      <c r="B12" s="31"/>
      <c r="C12" s="31"/>
      <c r="D12" s="31"/>
      <c r="E12" s="31"/>
      <c r="F12" s="31"/>
      <c r="G12" s="31"/>
      <c r="H12" s="31"/>
      <c r="I12" s="31"/>
      <c r="J12" s="3"/>
      <c r="K12" s="31"/>
      <c r="L12" s="3"/>
      <c r="M12" s="30"/>
      <c r="N12" s="31"/>
      <c r="O12" s="31"/>
      <c r="P12" s="31"/>
    </row>
    <row r="13" spans="2:18" x14ac:dyDescent="0.25">
      <c r="B13" s="156" t="s">
        <v>61</v>
      </c>
      <c r="C13" s="58">
        <v>50</v>
      </c>
      <c r="D13" s="58">
        <v>7.15</v>
      </c>
      <c r="E13" s="58">
        <v>1.1000000000000001</v>
      </c>
      <c r="F13" s="59" t="s">
        <v>123</v>
      </c>
      <c r="G13" s="59"/>
      <c r="H13" s="59">
        <v>1779.6</v>
      </c>
      <c r="I13" s="59"/>
      <c r="J13" s="61">
        <f>EXP(LN(H13)-0.525*(LN(E13)-LN('Summary Sheet'!$C$6))-11.282*(D13-'Summary Sheet'!$C$4)-2.201*(LN(C13)-LN('Summary Sheet'!$C$5))+0.663*(D13^2-'Summary Sheet'!$C$4^2)+0.264*(D13*LN(C13)-'Summary Sheet'!$C$4*LN('Summary Sheet'!$C$5)))</f>
        <v>3167.6432338504519</v>
      </c>
      <c r="K13" s="59"/>
      <c r="L13" s="61"/>
      <c r="M13" s="157"/>
      <c r="N13" s="59"/>
      <c r="O13" s="156" t="s">
        <v>88</v>
      </c>
      <c r="P13" s="156"/>
      <c r="Q13" s="65" t="s">
        <v>197</v>
      </c>
      <c r="R13" s="65" t="s">
        <v>15</v>
      </c>
    </row>
    <row r="14" spans="2:18" x14ac:dyDescent="0.25">
      <c r="B14" s="150" t="s">
        <v>61</v>
      </c>
      <c r="C14" s="22">
        <v>26</v>
      </c>
      <c r="D14" s="22">
        <v>7.3</v>
      </c>
      <c r="E14" s="22">
        <v>0.5</v>
      </c>
      <c r="F14" s="24" t="s">
        <v>124</v>
      </c>
      <c r="H14" s="24">
        <v>1557</v>
      </c>
      <c r="J14" s="3">
        <f>EXP(LN(H14)-0.525*(LN(E14)-LN('Summary Sheet'!$C$6))-11.282*(D14-'Summary Sheet'!$C$4)-2.201*(LN(C14)-LN('Summary Sheet'!$C$5))+0.663*(D14^2-'Summary Sheet'!$C$4^2)+0.264*(D14*LN(C14)-'Summary Sheet'!$C$4*LN('Summary Sheet'!$C$5)))</f>
        <v>4535.856440102898</v>
      </c>
      <c r="L14" s="3"/>
      <c r="O14" s="150" t="s">
        <v>88</v>
      </c>
      <c r="P14" s="150"/>
      <c r="Q14" s="37" t="s">
        <v>197</v>
      </c>
      <c r="R14" s="34" t="s">
        <v>125</v>
      </c>
    </row>
    <row r="15" spans="2:18" x14ac:dyDescent="0.25">
      <c r="B15" s="150" t="s">
        <v>61</v>
      </c>
      <c r="C15" s="22">
        <v>46</v>
      </c>
      <c r="D15" s="22">
        <v>7.5</v>
      </c>
      <c r="E15" s="22">
        <v>0.5</v>
      </c>
      <c r="F15" s="24" t="s">
        <v>124</v>
      </c>
      <c r="H15" s="46">
        <v>808.73</v>
      </c>
      <c r="J15" s="3">
        <f>EXP(LN(H15)-0.525*(LN(E15)-LN('Summary Sheet'!$C$6))-11.282*(D15-'Summary Sheet'!$C$4)-2.201*(LN(C15)-LN('Summary Sheet'!$C$5))+0.663*(D15^2-'Summary Sheet'!$C$4^2)+0.264*(D15*LN(C15)-'Summary Sheet'!$C$4*LN('Summary Sheet'!$C$5)))</f>
        <v>1838.5550138886465</v>
      </c>
      <c r="L15" s="3"/>
      <c r="O15" s="150" t="s">
        <v>88</v>
      </c>
      <c r="P15" s="150"/>
      <c r="Q15" s="37" t="s">
        <v>197</v>
      </c>
      <c r="R15" s="34" t="s">
        <v>125</v>
      </c>
    </row>
    <row r="16" spans="2:18" x14ac:dyDescent="0.25">
      <c r="B16" s="150" t="s">
        <v>61</v>
      </c>
      <c r="C16" s="22">
        <v>96</v>
      </c>
      <c r="D16" s="22">
        <v>7.9</v>
      </c>
      <c r="E16" s="22">
        <v>0.5</v>
      </c>
      <c r="F16" s="24" t="s">
        <v>124</v>
      </c>
      <c r="H16" s="46">
        <v>651.9</v>
      </c>
      <c r="J16" s="3">
        <f>EXP(LN(H16)-0.525*(LN(E16)-LN('Summary Sheet'!$C$6))-11.282*(D16-'Summary Sheet'!$C$4)-2.201*(LN(C16)-LN('Summary Sheet'!$C$5))+0.663*(D16^2-'Summary Sheet'!$C$4^2)+0.264*(D16*LN(C16)-'Summary Sheet'!$C$4*LN('Summary Sheet'!$C$5)))</f>
        <v>1328.5524576698278</v>
      </c>
      <c r="L16" s="3"/>
      <c r="O16" s="150" t="s">
        <v>88</v>
      </c>
      <c r="P16" s="150"/>
      <c r="Q16" s="37" t="s">
        <v>197</v>
      </c>
      <c r="R16" s="34" t="s">
        <v>125</v>
      </c>
    </row>
    <row r="17" spans="2:18" x14ac:dyDescent="0.25">
      <c r="B17" s="150" t="s">
        <v>61</v>
      </c>
      <c r="C17" s="22">
        <v>194</v>
      </c>
      <c r="D17" s="22">
        <v>8.1</v>
      </c>
      <c r="E17" s="22">
        <v>0.5</v>
      </c>
      <c r="F17" s="24" t="s">
        <v>124</v>
      </c>
      <c r="H17" s="46">
        <v>683.62</v>
      </c>
      <c r="J17" s="3">
        <f>EXP(LN(H17)-0.525*(LN(E17)-LN('Summary Sheet'!$C$6))-11.282*(D17-'Summary Sheet'!$C$4)-2.201*(LN(C17)-LN('Summary Sheet'!$C$5))+0.663*(D17^2-'Summary Sheet'!$C$4^2)+0.264*(D17*LN(C17)-'Summary Sheet'!$C$4*LN('Summary Sheet'!$C$5)))</f>
        <v>1482.5430112627844</v>
      </c>
      <c r="L17" s="3"/>
      <c r="O17" s="150" t="s">
        <v>88</v>
      </c>
      <c r="P17" s="150"/>
      <c r="Q17" s="37" t="s">
        <v>197</v>
      </c>
      <c r="R17" s="34" t="s">
        <v>125</v>
      </c>
    </row>
    <row r="18" spans="2:18" x14ac:dyDescent="0.25">
      <c r="B18" s="150" t="s">
        <v>61</v>
      </c>
      <c r="C18" s="22">
        <v>25.5</v>
      </c>
      <c r="D18" s="22">
        <v>7.03</v>
      </c>
      <c r="E18" s="22">
        <v>0.5</v>
      </c>
      <c r="F18" s="22" t="s">
        <v>137</v>
      </c>
      <c r="G18" s="22"/>
      <c r="H18" s="24">
        <v>250</v>
      </c>
      <c r="I18" s="22"/>
      <c r="J18" s="3">
        <f>EXP(LN(H18)-0.525*(LN(E18)-LN('Summary Sheet'!$C$6))-11.282*(D18-'Summary Sheet'!$C$4)-2.201*(LN(C18)-LN('Summary Sheet'!$C$5))+0.663*(D18^2-'Summary Sheet'!$C$4^2)+0.264*(D18*LN(C18)-'Summary Sheet'!$C$4*LN('Summary Sheet'!$C$5)))</f>
        <v>940.21099586789455</v>
      </c>
      <c r="K18" s="22"/>
      <c r="L18" s="3"/>
      <c r="N18" s="22"/>
      <c r="O18" s="150" t="s">
        <v>88</v>
      </c>
      <c r="P18" s="150"/>
      <c r="Q18" s="37" t="s">
        <v>198</v>
      </c>
    </row>
    <row r="19" spans="2:18" x14ac:dyDescent="0.25">
      <c r="B19" s="150" t="s">
        <v>61</v>
      </c>
      <c r="C19" s="22">
        <v>122</v>
      </c>
      <c r="D19" s="22">
        <v>7.13</v>
      </c>
      <c r="E19" s="22">
        <v>0.5</v>
      </c>
      <c r="F19" s="22" t="s">
        <v>137</v>
      </c>
      <c r="G19" s="22"/>
      <c r="H19" s="24">
        <v>860</v>
      </c>
      <c r="I19" s="22"/>
      <c r="J19" s="3">
        <f>EXP(LN(H19)-0.525*(LN(E19)-LN('Summary Sheet'!$C$6))-11.282*(D19-'Summary Sheet'!$C$4)-2.201*(LN(C19)-LN('Summary Sheet'!$C$5))+0.663*(D19^2-'Summary Sheet'!$C$4^2)+0.264*(D19*LN(C19)-'Summary Sheet'!$C$4*LN('Summary Sheet'!$C$5)))</f>
        <v>1770.1888572507992</v>
      </c>
      <c r="K19" s="22"/>
      <c r="L19" s="3"/>
      <c r="N19" s="22"/>
      <c r="O19" s="150" t="s">
        <v>88</v>
      </c>
      <c r="P19" s="150"/>
      <c r="Q19" s="37" t="s">
        <v>198</v>
      </c>
    </row>
    <row r="20" spans="2:18" x14ac:dyDescent="0.25">
      <c r="B20" s="150" t="s">
        <v>61</v>
      </c>
      <c r="C20" s="22">
        <v>25</v>
      </c>
      <c r="D20" s="22">
        <v>7.98</v>
      </c>
      <c r="E20" s="22">
        <v>0.5</v>
      </c>
      <c r="F20" s="22" t="s">
        <v>137</v>
      </c>
      <c r="G20" s="22"/>
      <c r="H20" s="24">
        <v>700</v>
      </c>
      <c r="I20" s="22"/>
      <c r="J20" s="3">
        <f>EXP(LN(H20)-0.525*(LN(E20)-LN('Summary Sheet'!$C$6))-11.282*(D20-'Summary Sheet'!$C$4)-2.201*(LN(C20)-LN('Summary Sheet'!$C$5))+0.663*(D20^2-'Summary Sheet'!$C$4^2)+0.264*(D20*LN(C20)-'Summary Sheet'!$C$4*LN('Summary Sheet'!$C$5)))</f>
        <v>1679.0774395711012</v>
      </c>
      <c r="K20" s="22"/>
      <c r="L20" s="3"/>
      <c r="N20" s="22"/>
      <c r="O20" s="150" t="s">
        <v>88</v>
      </c>
      <c r="P20" s="150"/>
      <c r="Q20" s="37" t="s">
        <v>198</v>
      </c>
    </row>
    <row r="21" spans="2:18" x14ac:dyDescent="0.25">
      <c r="B21" s="150" t="s">
        <v>61</v>
      </c>
      <c r="C21" s="22">
        <v>61</v>
      </c>
      <c r="D21" s="22">
        <v>8.0299999999999994</v>
      </c>
      <c r="E21" s="22">
        <v>0.5</v>
      </c>
      <c r="F21" s="22" t="s">
        <v>137</v>
      </c>
      <c r="G21" s="22"/>
      <c r="H21" s="24">
        <v>1010</v>
      </c>
      <c r="I21" s="22"/>
      <c r="J21" s="3">
        <f>EXP(LN(H21)-0.525*(LN(E21)-LN('Summary Sheet'!$C$6))-11.282*(D21-'Summary Sheet'!$C$4)-2.201*(LN(C21)-LN('Summary Sheet'!$C$5))+0.663*(D21^2-'Summary Sheet'!$C$4^2)+0.264*(D21*LN(C21)-'Summary Sheet'!$C$4*LN('Summary Sheet'!$C$5)))</f>
        <v>2274.2884497090777</v>
      </c>
      <c r="K21" s="22"/>
      <c r="L21" s="3"/>
      <c r="N21" s="22"/>
      <c r="O21" s="150" t="s">
        <v>88</v>
      </c>
      <c r="P21" s="150"/>
      <c r="Q21" s="37" t="s">
        <v>198</v>
      </c>
    </row>
    <row r="22" spans="2:18" x14ac:dyDescent="0.25">
      <c r="B22" s="150" t="s">
        <v>61</v>
      </c>
      <c r="C22" s="22">
        <v>122</v>
      </c>
      <c r="D22" s="44">
        <v>8.1</v>
      </c>
      <c r="E22" s="22">
        <v>0.5</v>
      </c>
      <c r="F22" s="22" t="s">
        <v>137</v>
      </c>
      <c r="G22" s="22"/>
      <c r="H22" s="24">
        <v>870</v>
      </c>
      <c r="I22" s="22"/>
      <c r="J22" s="3">
        <f>EXP(LN(H22)-0.525*(LN(E22)-LN('Summary Sheet'!$C$6))-11.282*(D22-'Summary Sheet'!$C$4)-2.201*(LN(C22)-LN('Summary Sheet'!$C$5))+0.663*(D22^2-'Summary Sheet'!$C$4^2)+0.264*(D22*LN(C22)-'Summary Sheet'!$C$4*LN('Summary Sheet'!$C$5)))</f>
        <v>1942.3257037641199</v>
      </c>
      <c r="K22" s="22"/>
      <c r="L22" s="3"/>
      <c r="N22" s="22"/>
      <c r="O22" s="150" t="s">
        <v>88</v>
      </c>
      <c r="P22" s="150"/>
      <c r="Q22" s="37" t="s">
        <v>198</v>
      </c>
    </row>
    <row r="23" spans="2:18" x14ac:dyDescent="0.25">
      <c r="B23" s="150" t="s">
        <v>61</v>
      </c>
      <c r="C23" s="22">
        <v>25.5</v>
      </c>
      <c r="D23" s="22">
        <v>6.33</v>
      </c>
      <c r="E23" s="22">
        <v>0.5</v>
      </c>
      <c r="F23" s="22" t="s">
        <v>137</v>
      </c>
      <c r="G23" s="22"/>
      <c r="H23" s="24">
        <v>260</v>
      </c>
      <c r="I23" s="22"/>
      <c r="J23" s="3">
        <f>EXP(LN(H23)-0.525*(LN(E23)-LN('Summary Sheet'!$C$6))-11.282*(D23-'Summary Sheet'!$C$4)-2.201*(LN(C23)-LN('Summary Sheet'!$C$5))+0.663*(D23^2-'Summary Sheet'!$C$4^2)+0.264*(D23*LN(C23)-'Summary Sheet'!$C$4*LN('Summary Sheet'!$C$5)))</f>
        <v>2933.1765131953339</v>
      </c>
      <c r="K23" s="22"/>
      <c r="L23" s="3"/>
      <c r="N23" s="22"/>
      <c r="O23" s="150" t="s">
        <v>88</v>
      </c>
      <c r="P23" s="150"/>
      <c r="Q23" s="37" t="s">
        <v>198</v>
      </c>
    </row>
    <row r="24" spans="2:18" x14ac:dyDescent="0.25">
      <c r="B24" s="158" t="s">
        <v>61</v>
      </c>
      <c r="C24" s="66">
        <v>121</v>
      </c>
      <c r="D24" s="66">
        <v>6.36</v>
      </c>
      <c r="E24" s="66">
        <v>0.5</v>
      </c>
      <c r="F24" s="66" t="s">
        <v>137</v>
      </c>
      <c r="G24" s="66"/>
      <c r="H24" s="69">
        <v>390</v>
      </c>
      <c r="I24" s="66"/>
      <c r="J24" s="72">
        <f>EXP(LN(H24)-0.525*(LN(E24)-LN('Summary Sheet'!$C$6))-11.282*(D24-'Summary Sheet'!$C$4)-2.201*(LN(C24)-LN('Summary Sheet'!$C$5))+0.663*(D24^2-'Summary Sheet'!$C$4^2)+0.264*(D24*LN(C24)-'Summary Sheet'!$C$4*LN('Summary Sheet'!$C$5)))</f>
        <v>1837.480395877272</v>
      </c>
      <c r="K24" s="66"/>
      <c r="L24" s="72">
        <f>GEOMEAN(J13:J24)</f>
        <v>1972.1587208567291</v>
      </c>
      <c r="M24" s="159">
        <f>L24</f>
        <v>1972.1587208567291</v>
      </c>
      <c r="N24" s="66"/>
      <c r="O24" s="158" t="s">
        <v>88</v>
      </c>
      <c r="P24" s="158" t="s">
        <v>190</v>
      </c>
      <c r="Q24" s="74" t="s">
        <v>198</v>
      </c>
      <c r="R24" s="74"/>
    </row>
    <row r="25" spans="2:18" x14ac:dyDescent="0.25">
      <c r="B25" s="31"/>
      <c r="C25" s="31"/>
      <c r="D25" s="31"/>
      <c r="E25" s="31"/>
      <c r="F25" s="31"/>
      <c r="G25" s="31"/>
      <c r="H25" s="31"/>
      <c r="I25" s="31"/>
      <c r="J25" s="3"/>
      <c r="K25" s="31"/>
      <c r="L25" s="3"/>
      <c r="N25" s="31"/>
      <c r="O25" s="31"/>
      <c r="P25" s="31"/>
    </row>
    <row r="26" spans="2:18" x14ac:dyDescent="0.25">
      <c r="B26" s="8" t="s">
        <v>68</v>
      </c>
      <c r="C26" s="63">
        <v>95</v>
      </c>
      <c r="D26" s="58">
        <v>6.1</v>
      </c>
      <c r="E26" s="63">
        <v>0.51</v>
      </c>
      <c r="F26" s="59" t="s">
        <v>138</v>
      </c>
      <c r="G26" s="59"/>
      <c r="H26" s="160">
        <v>199.3</v>
      </c>
      <c r="I26" s="59"/>
      <c r="J26" s="61">
        <f>EXP(LN(H26)-0.525*(LN(E26)-LN('Summary Sheet'!$C$6))-11.282*(D26-'Summary Sheet'!$C$4)-2.201*(LN(C26)-LN('Summary Sheet'!$C$5))+0.663*(D26^2-'Summary Sheet'!$C$4^2)+0.264*(D26*LN(C26)-'Summary Sheet'!$C$4*LN('Summary Sheet'!$C$5)))</f>
        <v>1691.8451412348516</v>
      </c>
      <c r="K26" s="59"/>
      <c r="L26" s="61"/>
      <c r="M26" s="157"/>
      <c r="N26" s="59"/>
      <c r="O26" s="8" t="s">
        <v>92</v>
      </c>
      <c r="P26" s="8"/>
      <c r="Q26" s="64" t="s">
        <v>198</v>
      </c>
      <c r="R26" s="64"/>
    </row>
    <row r="27" spans="2:18" x14ac:dyDescent="0.25">
      <c r="B27" s="17" t="s">
        <v>68</v>
      </c>
      <c r="C27" s="66">
        <v>106</v>
      </c>
      <c r="D27" s="66">
        <v>6.04</v>
      </c>
      <c r="E27" s="68">
        <f>AVERAGE(0.26,0.39)</f>
        <v>0.32500000000000001</v>
      </c>
      <c r="F27" s="66" t="s">
        <v>138</v>
      </c>
      <c r="G27" s="66"/>
      <c r="H27" s="161">
        <v>425</v>
      </c>
      <c r="I27" s="66"/>
      <c r="J27" s="72">
        <f>EXP(LN(H27)-0.525*(LN(E27)-LN('Summary Sheet'!$C$6))-11.282*(D27-'Summary Sheet'!$C$4)-2.201*(LN(C27)-LN('Summary Sheet'!$C$5))+0.663*(D27^2-'Summary Sheet'!$C$4^2)+0.264*(D27*LN(C27)-'Summary Sheet'!$C$4*LN('Summary Sheet'!$C$5)))</f>
        <v>4831.077718182828</v>
      </c>
      <c r="K27" s="66"/>
      <c r="L27" s="72">
        <f>GEOMEAN(J26:J27)</f>
        <v>2858.9220633720624</v>
      </c>
      <c r="M27" s="159">
        <f>L27</f>
        <v>2858.9220633720624</v>
      </c>
      <c r="N27" s="66"/>
      <c r="O27" s="17" t="s">
        <v>92</v>
      </c>
      <c r="P27" s="17" t="s">
        <v>190</v>
      </c>
      <c r="Q27" s="74" t="s">
        <v>198</v>
      </c>
      <c r="R27" s="74"/>
    </row>
    <row r="28" spans="2:18" x14ac:dyDescent="0.25">
      <c r="B28" s="31"/>
      <c r="C28" s="31"/>
      <c r="D28" s="31"/>
      <c r="E28" s="31"/>
      <c r="F28" s="31"/>
      <c r="G28" s="31"/>
      <c r="H28" s="31"/>
      <c r="I28" s="31"/>
      <c r="J28" s="3"/>
      <c r="K28" s="31"/>
      <c r="L28" s="3"/>
      <c r="N28" s="31"/>
      <c r="O28" s="31"/>
      <c r="P28" s="31"/>
    </row>
    <row r="29" spans="2:18" x14ac:dyDescent="0.25">
      <c r="B29" s="33" t="s">
        <v>146</v>
      </c>
      <c r="C29" s="58">
        <v>11.8</v>
      </c>
      <c r="D29" s="87">
        <v>5.58</v>
      </c>
      <c r="E29" s="58">
        <v>1.8</v>
      </c>
      <c r="F29" s="58" t="s">
        <v>126</v>
      </c>
      <c r="G29" s="58"/>
      <c r="H29" s="162">
        <v>29.547000000000001</v>
      </c>
      <c r="I29" s="58"/>
      <c r="J29" s="61">
        <f>EXP(LN(H29)-0.525*(LN(E29)-LN('Summary Sheet'!$C$6))-11.282*(D29-'Summary Sheet'!$C$4)-2.201*(LN(C29)-LN('Summary Sheet'!$C$5))+0.663*(D29^2-'Summary Sheet'!$C$4^2)+0.264*(D29*LN(C29)-'Summary Sheet'!$C$4*LN('Summary Sheet'!$C$5)))</f>
        <v>1989.2932744930927</v>
      </c>
      <c r="K29" s="58"/>
      <c r="L29" s="61"/>
      <c r="M29" s="157"/>
      <c r="N29" s="58"/>
      <c r="O29" s="163" t="s">
        <v>94</v>
      </c>
      <c r="P29" s="163"/>
      <c r="Q29" s="64" t="s">
        <v>201</v>
      </c>
      <c r="R29" s="65" t="s">
        <v>127</v>
      </c>
    </row>
    <row r="30" spans="2:18" x14ac:dyDescent="0.25">
      <c r="B30" s="52" t="s">
        <v>146</v>
      </c>
      <c r="C30" s="22">
        <v>11.9</v>
      </c>
      <c r="D30" s="44">
        <v>5.05</v>
      </c>
      <c r="E30" s="22">
        <v>1.8</v>
      </c>
      <c r="F30" s="22" t="s">
        <v>126</v>
      </c>
      <c r="G30" s="22"/>
      <c r="H30" s="25">
        <v>84.415999999999997</v>
      </c>
      <c r="I30" s="22"/>
      <c r="J30" s="3">
        <f>EXP(LN(H30)-0.525*(LN(E30)-LN('Summary Sheet'!$C$6))-11.282*(D30-'Summary Sheet'!$C$4)-2.201*(LN(C30)-LN('Summary Sheet'!$C$5))+0.663*(D30^2-'Summary Sheet'!$C$4^2)+0.264*(D30*LN(C30)-'Summary Sheet'!$C$4*LN('Summary Sheet'!$C$5)))</f>
        <v>37678.089374421688</v>
      </c>
      <c r="K30" s="22"/>
      <c r="L30" s="3"/>
      <c r="N30" s="22"/>
      <c r="O30" s="21" t="s">
        <v>94</v>
      </c>
      <c r="P30" s="21"/>
      <c r="Q30" s="37" t="s">
        <v>201</v>
      </c>
      <c r="R30" s="34" t="s">
        <v>127</v>
      </c>
    </row>
    <row r="31" spans="2:18" x14ac:dyDescent="0.25">
      <c r="B31" s="164" t="s">
        <v>146</v>
      </c>
      <c r="C31" s="90">
        <v>91</v>
      </c>
      <c r="D31" s="66">
        <v>6.6</v>
      </c>
      <c r="E31" s="90">
        <v>0.51</v>
      </c>
      <c r="F31" s="66" t="s">
        <v>139</v>
      </c>
      <c r="G31" s="66"/>
      <c r="H31" s="72">
        <v>3387</v>
      </c>
      <c r="I31" s="66"/>
      <c r="J31" s="72">
        <f>EXP(LN(H31)-0.525*(LN(E31)-LN('Summary Sheet'!$C$6))-11.282*(D31-'Summary Sheet'!$C$4)-2.201*(LN(C31)-LN('Summary Sheet'!$C$5))+0.663*(D31^2-'Summary Sheet'!$C$4^2)+0.264*(D31*LN(C31)-'Summary Sheet'!$C$4*LN('Summary Sheet'!$C$5)))</f>
        <v>12789.159282117558</v>
      </c>
      <c r="K31" s="66"/>
      <c r="L31" s="72">
        <f>GEOMEAN(J29:J31)</f>
        <v>9859.9919613479033</v>
      </c>
      <c r="M31" s="159">
        <f>L31</f>
        <v>9859.9919613479033</v>
      </c>
      <c r="N31" s="66"/>
      <c r="O31" s="165" t="s">
        <v>94</v>
      </c>
      <c r="P31" s="165" t="s">
        <v>190</v>
      </c>
      <c r="Q31" s="74" t="s">
        <v>198</v>
      </c>
      <c r="R31" s="74"/>
    </row>
    <row r="32" spans="2:18" x14ac:dyDescent="0.25"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N32" s="31"/>
      <c r="O32" s="31"/>
      <c r="P32" s="31"/>
    </row>
    <row r="33" spans="2:18" x14ac:dyDescent="0.25">
      <c r="B33" s="154" t="s">
        <v>147</v>
      </c>
      <c r="C33" s="151">
        <v>12.7</v>
      </c>
      <c r="D33" s="166">
        <v>5.7</v>
      </c>
      <c r="E33" s="76">
        <v>1.8</v>
      </c>
      <c r="F33" s="101" t="s">
        <v>140</v>
      </c>
      <c r="G33" s="101"/>
      <c r="H33" s="91">
        <v>61.564</v>
      </c>
      <c r="I33" s="101"/>
      <c r="J33" s="206">
        <f>EXP(LN(H33)-0.503*(LN(E33)-LN('Summary Sheet'!$C$6))-3.131*(D33-'Summary Sheet'!$C$4)-3.443*(LN(C33)-LN('Summary Sheet'!$C$5))+0.494*(D33*LN(C33)-'Summary Sheet'!$C$4*LN('Summary Sheet'!$C$5)))</f>
        <v>3037.0283776868923</v>
      </c>
      <c r="K33" s="101"/>
      <c r="L33" s="206">
        <f>J33</f>
        <v>3037.0283776868923</v>
      </c>
      <c r="M33" s="207">
        <f>L33</f>
        <v>3037.0283776868923</v>
      </c>
      <c r="N33" s="101"/>
      <c r="O33" s="154" t="s">
        <v>97</v>
      </c>
      <c r="P33" s="154" t="s">
        <v>192</v>
      </c>
      <c r="Q33" s="83" t="s">
        <v>201</v>
      </c>
      <c r="R33" s="84" t="s">
        <v>127</v>
      </c>
    </row>
    <row r="34" spans="2:18" x14ac:dyDescent="0.25">
      <c r="B34" s="6"/>
      <c r="C34" s="6"/>
      <c r="D34" s="6"/>
      <c r="E34" s="6"/>
      <c r="F34" s="6"/>
      <c r="G34" s="6"/>
      <c r="H34" s="6"/>
      <c r="I34" s="6"/>
      <c r="J34" s="3"/>
      <c r="K34" s="6"/>
      <c r="L34" s="3"/>
      <c r="N34" s="6"/>
      <c r="O34" s="6"/>
      <c r="P34" s="6"/>
      <c r="R34" s="34"/>
    </row>
    <row r="35" spans="2:18" x14ac:dyDescent="0.25">
      <c r="B35" s="33" t="s">
        <v>74</v>
      </c>
      <c r="C35" s="58">
        <v>12.3</v>
      </c>
      <c r="D35" s="58">
        <v>6.55</v>
      </c>
      <c r="E35" s="58">
        <v>1.9</v>
      </c>
      <c r="F35" s="167" t="s">
        <v>140</v>
      </c>
      <c r="G35" s="167"/>
      <c r="H35" s="167">
        <v>164.35</v>
      </c>
      <c r="I35" s="167"/>
      <c r="J35" s="61">
        <f>EXP(LN(H35)-0.503*(LN(E35)-LN('Summary Sheet'!$C$6))-3.131*(D35-'Summary Sheet'!$C$4)-3.443*(LN(C35)-LN('Summary Sheet'!$C$5))+0.494*(D35*LN(C35)-'Summary Sheet'!$C$4*LN('Summary Sheet'!$C$5)))</f>
        <v>1613.0189976498095</v>
      </c>
      <c r="K35" s="167"/>
      <c r="L35" s="61"/>
      <c r="M35" s="157"/>
      <c r="N35" s="167"/>
      <c r="O35" s="163" t="s">
        <v>98</v>
      </c>
      <c r="P35" s="163"/>
      <c r="Q35" s="65" t="s">
        <v>198</v>
      </c>
      <c r="R35" s="65" t="s">
        <v>127</v>
      </c>
    </row>
    <row r="36" spans="2:18" s="31" customFormat="1" x14ac:dyDescent="0.25">
      <c r="B36" s="164" t="s">
        <v>74</v>
      </c>
      <c r="C36" s="66">
        <v>12.8</v>
      </c>
      <c r="D36" s="66">
        <v>5.65</v>
      </c>
      <c r="E36" s="66">
        <v>1.8</v>
      </c>
      <c r="F36" s="89" t="s">
        <v>140</v>
      </c>
      <c r="G36" s="89"/>
      <c r="H36" s="89">
        <v>143.47</v>
      </c>
      <c r="I36" s="89"/>
      <c r="J36" s="72">
        <f>EXP(LN(H36)-0.503*(LN(E36)-LN('Summary Sheet'!$C$6))-3.131*(D36-'Summary Sheet'!$C$4)-3.443*(LN(C36)-LN('Summary Sheet'!$C$5))+0.494*(D36*LN(C36)-'Summary Sheet'!$C$4*LN('Summary Sheet'!$C$5)))</f>
        <v>7733.702016178434</v>
      </c>
      <c r="K36" s="89"/>
      <c r="L36" s="225">
        <f>GEOMEAN(J35:J36)</f>
        <v>3531.9411481872753</v>
      </c>
      <c r="M36" s="89">
        <f>L36</f>
        <v>3531.9411481872753</v>
      </c>
      <c r="N36" s="89"/>
      <c r="O36" s="165" t="s">
        <v>98</v>
      </c>
      <c r="P36" s="165" t="s">
        <v>192</v>
      </c>
      <c r="Q36" s="75" t="s">
        <v>198</v>
      </c>
      <c r="R36" s="85" t="s">
        <v>127</v>
      </c>
    </row>
    <row r="37" spans="2:18" x14ac:dyDescent="0.25">
      <c r="B37" s="31"/>
      <c r="C37" s="31"/>
      <c r="D37" s="31"/>
      <c r="E37" s="31"/>
      <c r="F37" s="31"/>
      <c r="G37" s="31"/>
      <c r="H37" s="31"/>
      <c r="I37" s="31"/>
      <c r="J37" s="3"/>
      <c r="K37" s="31"/>
      <c r="L37" s="3"/>
      <c r="N37" s="31"/>
      <c r="O37" s="31"/>
      <c r="P37" s="31"/>
      <c r="R37" s="34"/>
    </row>
    <row r="38" spans="2:18" x14ac:dyDescent="0.25">
      <c r="B38" s="156" t="s">
        <v>77</v>
      </c>
      <c r="C38" s="58">
        <v>220</v>
      </c>
      <c r="D38" s="87">
        <v>7.7</v>
      </c>
      <c r="E38" s="58">
        <v>1.6</v>
      </c>
      <c r="F38" s="59" t="s">
        <v>140</v>
      </c>
      <c r="G38" s="59"/>
      <c r="H38" s="59">
        <v>6193.6</v>
      </c>
      <c r="I38" s="59"/>
      <c r="J38" s="61">
        <f>EXP(LN(H38)-0.503*(LN(E38)-LN('Summary Sheet'!$C$6))-3.131*(D38-'Summary Sheet'!$C$4)-3.443*(LN(C38)-LN('Summary Sheet'!$C$5))+0.494*(D38*LN(C38)-'Summary Sheet'!$C$4*LN('Summary Sheet'!$C$5)))</f>
        <v>21315.456816358077</v>
      </c>
      <c r="K38" s="59"/>
      <c r="L38" s="61"/>
      <c r="M38" s="157"/>
      <c r="N38" s="59"/>
      <c r="O38" s="156" t="s">
        <v>101</v>
      </c>
      <c r="P38" s="156"/>
      <c r="Q38" s="64" t="s">
        <v>197</v>
      </c>
      <c r="R38" s="65" t="s">
        <v>128</v>
      </c>
    </row>
    <row r="39" spans="2:18" x14ac:dyDescent="0.25">
      <c r="B39" s="158" t="s">
        <v>77</v>
      </c>
      <c r="C39" s="90">
        <v>96</v>
      </c>
      <c r="D39" s="68">
        <v>6.2</v>
      </c>
      <c r="E39" s="208">
        <v>0.25</v>
      </c>
      <c r="F39" s="67" t="s">
        <v>129</v>
      </c>
      <c r="G39" s="67"/>
      <c r="H39" s="168">
        <v>428.6</v>
      </c>
      <c r="I39" s="67"/>
      <c r="J39" s="72">
        <f>EXP(LN(H39)-0.503*(LN(E39)-LN('Summary Sheet'!$C$6))-3.131*(D39-'Summary Sheet'!$C$4)-3.443*(LN(C39)-LN('Summary Sheet'!$C$5))+0.494*(D39*LN(C39)-'Summary Sheet'!$C$4*LN('Summary Sheet'!$C$5)))</f>
        <v>10355.48854048668</v>
      </c>
      <c r="K39" s="67"/>
      <c r="L39" s="72">
        <f>GEOMEAN(J38:J39)</f>
        <v>14857.051147419355</v>
      </c>
      <c r="M39" s="159">
        <f>L39</f>
        <v>14857.051147419355</v>
      </c>
      <c r="N39" s="67"/>
      <c r="O39" s="158" t="s">
        <v>101</v>
      </c>
      <c r="P39" s="158" t="s">
        <v>192</v>
      </c>
      <c r="Q39" s="75" t="s">
        <v>200</v>
      </c>
      <c r="R39" s="74"/>
    </row>
    <row r="40" spans="2:18" x14ac:dyDescent="0.25">
      <c r="B40" s="31"/>
      <c r="C40" s="31"/>
      <c r="D40" s="31"/>
      <c r="E40" s="31"/>
      <c r="F40" s="31"/>
      <c r="G40" s="31"/>
      <c r="H40" s="31"/>
      <c r="I40" s="31"/>
      <c r="J40" s="3"/>
      <c r="K40" s="31"/>
      <c r="L40" s="3"/>
      <c r="N40" s="31"/>
      <c r="O40" s="31"/>
      <c r="P40" s="31"/>
    </row>
    <row r="41" spans="2:18" x14ac:dyDescent="0.25">
      <c r="B41" s="15" t="s">
        <v>148</v>
      </c>
      <c r="C41" s="151">
        <v>83</v>
      </c>
      <c r="D41" s="76">
        <v>6.1</v>
      </c>
      <c r="E41" s="205">
        <v>0.25</v>
      </c>
      <c r="F41" s="77" t="s">
        <v>140</v>
      </c>
      <c r="G41" s="77"/>
      <c r="H41" s="152">
        <v>234.4</v>
      </c>
      <c r="I41" s="77"/>
      <c r="J41" s="81">
        <f>EXP(LN(H41)-0.503*(LN(E41)-LN('Summary Sheet'!$C$6))-3.131*(D41-'Summary Sheet'!$C$4)-3.443*(LN(C41)-LN('Summary Sheet'!$C$5))+0.494*(D41*LN(C41)-'Summary Sheet'!$C$4*LN('Summary Sheet'!$C$5)))</f>
        <v>6580.7775356757729</v>
      </c>
      <c r="K41" s="77"/>
      <c r="L41" s="81">
        <f>J41</f>
        <v>6580.7775356757729</v>
      </c>
      <c r="M41" s="153">
        <f>L41</f>
        <v>6580.7775356757729</v>
      </c>
      <c r="N41" s="77"/>
      <c r="O41" s="15" t="s">
        <v>152</v>
      </c>
      <c r="P41" s="15" t="s">
        <v>192</v>
      </c>
      <c r="Q41" s="84" t="s">
        <v>200</v>
      </c>
      <c r="R41" s="83"/>
    </row>
    <row r="42" spans="2:18" x14ac:dyDescent="0.25">
      <c r="B42" s="31"/>
      <c r="C42" s="30"/>
      <c r="E42" s="147"/>
      <c r="F42" s="42"/>
      <c r="G42" s="42"/>
      <c r="H42" s="147"/>
      <c r="I42" s="42"/>
      <c r="J42" s="3"/>
      <c r="K42" s="42"/>
      <c r="L42" s="3"/>
      <c r="N42" s="42"/>
      <c r="O42" s="31"/>
      <c r="P42" s="31"/>
      <c r="Q42" s="34"/>
    </row>
    <row r="43" spans="2:18" x14ac:dyDescent="0.25">
      <c r="B43" s="169" t="s">
        <v>149</v>
      </c>
      <c r="C43" s="170">
        <v>115</v>
      </c>
      <c r="D43" s="170">
        <v>4.6900000000000004</v>
      </c>
      <c r="E43" s="76">
        <v>1.6</v>
      </c>
      <c r="F43" s="171" t="s">
        <v>133</v>
      </c>
      <c r="G43" s="171" t="s">
        <v>10</v>
      </c>
      <c r="H43" s="172">
        <v>2000</v>
      </c>
      <c r="I43" s="171" t="s">
        <v>10</v>
      </c>
      <c r="J43" s="81">
        <f>EXP(LN(H43)-0.503*(LN(E43)-LN('Summary Sheet'!$C$6))-3.131*(D43-'Summary Sheet'!$C$4)-3.443*(LN(C43)-LN('Summary Sheet'!$C$5))+0.494*(D43*LN(C43)-'Summary Sheet'!$C$4*LN('Summary Sheet'!$C$5)))</f>
        <v>58200.530838483137</v>
      </c>
      <c r="K43" s="171" t="s">
        <v>10</v>
      </c>
      <c r="L43" s="81">
        <f>J43</f>
        <v>58200.530838483137</v>
      </c>
      <c r="M43" s="153">
        <f>L43</f>
        <v>58200.530838483137</v>
      </c>
      <c r="N43" s="171" t="s">
        <v>10</v>
      </c>
      <c r="O43" s="169" t="s">
        <v>153</v>
      </c>
      <c r="P43" s="198" t="s">
        <v>195</v>
      </c>
      <c r="Q43" s="83" t="s">
        <v>197</v>
      </c>
      <c r="R43" s="84" t="s">
        <v>130</v>
      </c>
    </row>
    <row r="44" spans="2:18" x14ac:dyDescent="0.25">
      <c r="B44" s="109"/>
      <c r="O44" s="109"/>
      <c r="P44" s="109"/>
    </row>
  </sheetData>
  <sheetProtection password="8B69" sheet="1" objects="1" scenarios="1"/>
  <customSheetViews>
    <customSheetView guid="{08FB27BF-4D9B-4966-8486-12381E101C6E}">
      <pane ySplit="3" topLeftCell="A4" activePane="bottomLeft" state="frozen"/>
      <selection pane="bottomLeft" activeCell="P44" sqref="P44"/>
      <pageMargins left="0.7" right="0.7" top="0.75" bottom="0.75" header="0.3" footer="0.3"/>
    </customSheetView>
  </customSheetView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45B88506141446A301884C97DF15F9" ma:contentTypeVersion="8" ma:contentTypeDescription="Create a new document." ma:contentTypeScope="" ma:versionID="c4c991b2133b2c5f77ceb77f39c3ce85">
  <xsd:schema xmlns:xsd="http://www.w3.org/2001/XMLSchema" xmlns:xs="http://www.w3.org/2001/XMLSchema" xmlns:p="http://schemas.microsoft.com/office/2006/metadata/properties" xmlns:ns1="http://schemas.microsoft.com/sharepoint/v3" xmlns:ns2="4ffa91fb-a0ff-4ac5-b2db-65c790d184a4" xmlns:ns3="http://schemas.microsoft.com/sharepoint.v3" xmlns:ns4="http://schemas.microsoft.com/sharepoint/v3/fields" xmlns:ns5="1ad0269c-2511-4159-98ac-392385d4262d" xmlns:ns6="dc152ce7-db92-4469-9038-13edce6c8d8c" targetNamespace="http://schemas.microsoft.com/office/2006/metadata/properties" ma:root="true" ma:fieldsID="d92b0267a6403b1f14ddd7fbfd88e184" ns1:_="" ns2:_="" ns3:_="" ns4:_="" ns5:_="" ns6:_="">
    <xsd:import namespace="http://schemas.microsoft.com/sharepoint/v3"/>
    <xsd:import namespace="4ffa91fb-a0ff-4ac5-b2db-65c790d184a4"/>
    <xsd:import namespace="http://schemas.microsoft.com/sharepoint.v3"/>
    <xsd:import namespace="http://schemas.microsoft.com/sharepoint/v3/fields"/>
    <xsd:import namespace="1ad0269c-2511-4159-98ac-392385d4262d"/>
    <xsd:import namespace="dc152ce7-db92-4469-9038-13edce6c8d8c"/>
    <xsd:element name="properties">
      <xsd:complexType>
        <xsd:sequence>
          <xsd:element name="documentManagement">
            <xsd:complexType>
              <xsd:all>
                <xsd:element ref="ns2:Document_x0020_Creation_x0020_Date" minOccurs="0"/>
                <xsd:element ref="ns2:Creator" minOccurs="0"/>
                <xsd:element ref="ns2:EPA_x0020_Office" minOccurs="0"/>
                <xsd:element ref="ns2:Record" minOccurs="0"/>
                <xsd:element ref="ns3:CategoryDescription" minOccurs="0"/>
                <xsd:element ref="ns2:Identifier" minOccurs="0"/>
                <xsd:element ref="ns2:EPA_x0020_Contributor" minOccurs="0"/>
                <xsd:element ref="ns2:External_x0020_Contributor" minOccurs="0"/>
                <xsd:element ref="ns4:_Coverage" minOccurs="0"/>
                <xsd:element ref="ns2:EPA_x0020_Related_x0020_Documents" minOccurs="0"/>
                <xsd:element ref="ns4:_Source" minOccurs="0"/>
                <xsd:element ref="ns2:Rights" minOccurs="0"/>
                <xsd:element ref="ns1:Language" minOccurs="0"/>
                <xsd:element ref="ns2:j747ac98061d40f0aa7bd47e1db5675d" minOccurs="0"/>
                <xsd:element ref="ns2:TaxKeywordTaxHTField" minOccurs="0"/>
                <xsd:element ref="ns2:TaxCatchAllLabel" minOccurs="0"/>
                <xsd:element ref="ns2:TaxCatchAll" minOccurs="0"/>
                <xsd:element ref="ns2:e3f09c3df709400db2417a7161762d62" minOccurs="0"/>
                <xsd:element ref="ns5:SharedWithUsers" minOccurs="0"/>
                <xsd:element ref="ns5:SharedWithDetails" minOccurs="0"/>
                <xsd:element ref="ns6:MediaServiceMetadata" minOccurs="0"/>
                <xsd:element ref="ns6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Language" ma:index="17" nillable="true" ma:displayName="Language" ma:default="English" ma:description="Select the document language from the drop down." ma:format="Dropdown" ma:internalName="Language" ma:readOnly="false">
      <xsd:simpleType>
        <xsd:restriction base="dms:Choice">
          <xsd:enumeration value="Arabic (Saudi Arabia)"/>
          <xsd:enumeration value="Bulgarian (Bulgaria)"/>
          <xsd:enumeration value="Chinese (Hong Kong S.A.R.)"/>
          <xsd:enumeration value="Chinese (People's Republic of China)"/>
          <xsd:enumeration value="Chinese (Taiwan)"/>
          <xsd:enumeration value="Croatian (Croatia)"/>
          <xsd:enumeration value="Czech (Czech Republic)"/>
          <xsd:enumeration value="Danish (Denmark)"/>
          <xsd:enumeration value="Dutch (Netherlands)"/>
          <xsd:enumeration value="English"/>
          <xsd:enumeration value="Estonian (Estonia)"/>
          <xsd:enumeration value="Finnish (Finland)"/>
          <xsd:enumeration value="French (France)"/>
          <xsd:enumeration value="German (Germany)"/>
          <xsd:enumeration value="Greek (Greece)"/>
          <xsd:enumeration value="Hebrew (Israel)"/>
          <xsd:enumeration value="Hindi (India)"/>
          <xsd:enumeration value="Hungarian (Hungary)"/>
          <xsd:enumeration value="Indonesian (Indonesia)"/>
          <xsd:enumeration value="Italian (Italy)"/>
          <xsd:enumeration value="Japanese (Japan)"/>
          <xsd:enumeration value="Korean (Korea)"/>
          <xsd:enumeration value="Latvian (Latvia)"/>
          <xsd:enumeration value="Lithuanian (Lithuania)"/>
          <xsd:enumeration value="Malay (Malaysia)"/>
          <xsd:enumeration value="Norwegian (Bokmal) (Norway)"/>
          <xsd:enumeration value="Polish (Poland)"/>
          <xsd:enumeration value="Portuguese (Brazil)"/>
          <xsd:enumeration value="Portuguese (Portugal)"/>
          <xsd:enumeration value="Romanian (Romania)"/>
          <xsd:enumeration value="Russian (Russia)"/>
          <xsd:enumeration value="Serbian (Latin) (Serbia)"/>
          <xsd:enumeration value="Slovak (Slovakia)"/>
          <xsd:enumeration value="Slovenian (Slovenia)"/>
          <xsd:enumeration value="Spanish (Spain)"/>
          <xsd:enumeration value="Swedish (Sweden)"/>
          <xsd:enumeration value="Thai (Thailand)"/>
          <xsd:enumeration value="Turkish (Turkey)"/>
          <xsd:enumeration value="Ukrainian (Ukraine)"/>
          <xsd:enumeration value="Urdu (Islamic Republic of Pakistan)"/>
          <xsd:enumeration value="Vietnamese (Vietnam)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fa91fb-a0ff-4ac5-b2db-65c790d184a4" elementFormDefault="qualified">
    <xsd:import namespace="http://schemas.microsoft.com/office/2006/documentManagement/types"/>
    <xsd:import namespace="http://schemas.microsoft.com/office/infopath/2007/PartnerControls"/>
    <xsd:element name="Document_x0020_Creation_x0020_Date" ma:index="2" nillable="true" ma:displayName="Document Date" ma:default="[today]" ma:description="Enter the date this document was last modified. The upload date has been entered by default." ma:format="DateOnly" ma:internalName="Document_x0020_Creation_x0020_Date" ma:readOnly="false">
      <xsd:simpleType>
        <xsd:restriction base="dms:DateTime"/>
      </xsd:simpleType>
    </xsd:element>
    <xsd:element name="Creator" ma:index="3" nillable="true" ma:displayName="Creator" ma:description="Enter the person primarily responsible for the document. The name of the person uploading the document has been entered by default." ma:list="UserInfo" ma:SharePointGroup="0" ma:internalName="Crea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PA_x0020_Office" ma:index="4" nillable="true" ma:displayName="EPA Office" ma:description="Enter the EPA organization primarily responsible for the document. The office of the person uploading the document has been entered by default." ma:internalName="EPA_x0020_Office" ma:readOnly="false">
      <xsd:simpleType>
        <xsd:restriction base="dms:Text">
          <xsd:maxLength value="255"/>
        </xsd:restriction>
      </xsd:simpleType>
    </xsd:element>
    <xsd:element name="Record" ma:index="5" nillable="true" ma:displayName="Record" ma:default="Shared" ma:description="For documents that provide evidence of EPA decisions and actions, select &quot;Shared&quot; (open access) or &quot;Private&quot; (restricted access)." ma:format="Dropdown" ma:internalName="Record" ma:readOnly="false">
      <xsd:simpleType>
        <xsd:restriction base="dms:Choice">
          <xsd:enumeration value="None"/>
          <xsd:enumeration value="Shared"/>
          <xsd:enumeration value="Private"/>
        </xsd:restriction>
      </xsd:simpleType>
    </xsd:element>
    <xsd:element name="Identifier" ma:index="9" nillable="true" ma:displayName="Identifier" ma:description="Enter all EPA identification numbers applicable to this document, one on each line." ma:internalName="Identifier" ma:readOnly="false">
      <xsd:simpleType>
        <xsd:restriction base="dms:Note">
          <xsd:maxLength value="255"/>
        </xsd:restriction>
      </xsd:simpleType>
    </xsd:element>
    <xsd:element name="EPA_x0020_Contributor" ma:index="11" nillable="true" ma:displayName="EPA Contributor" ma:description="Enter an EPA person who contributed to the creation of the document but is not the primary author." ma:list="UserInfo" ma:SharePointGroup="0" ma:internalName="EPA_x0020_Contribu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xternal_x0020_Contributor" ma:index="12" nillable="true" ma:displayName="External Contributor" ma:description="Enter a non-EPA person who contributed to the creation of the document but is not the primary author." ma:internalName="External_x0020_Contributor" ma:readOnly="false">
      <xsd:simpleType>
        <xsd:restriction base="dms:Note">
          <xsd:maxLength value="255"/>
        </xsd:restriction>
      </xsd:simpleType>
    </xsd:element>
    <xsd:element name="EPA_x0020_Related_x0020_Documents" ma:index="14" nillable="true" ma:displayName="Other Related Documents" ma:description="Enter any related document." ma:internalName="EPA_x0020_Related_x0020_Documents" ma:readOnly="false">
      <xsd:simpleType>
        <xsd:restriction base="dms:Note">
          <xsd:maxLength value="255"/>
        </xsd:restriction>
      </xsd:simpleType>
    </xsd:element>
    <xsd:element name="Rights" ma:index="16" nillable="true" ma:displayName="Rights" ma:description="Enter information about intellectual property rights held over the document (e.g. copyright, patent, trademark)." ma:internalName="Rights" ma:readOnly="false">
      <xsd:simpleType>
        <xsd:restriction base="dms:Note">
          <xsd:maxLength value="255"/>
        </xsd:restriction>
      </xsd:simpleType>
    </xsd:element>
    <xsd:element name="j747ac98061d40f0aa7bd47e1db5675d" ma:index="19" nillable="true" ma:taxonomy="true" ma:internalName="j747ac98061d40f0aa7bd47e1db5675d" ma:taxonomyFieldName="Document_x0020_Type" ma:displayName="Document Type" ma:readOnly="false" ma:default="" ma:fieldId="{3747ac98-061d-40f0-aa7b-d47e1db5675d}" ma:sspId="29f62856-1543-49d4-a736-4569d363f533" ma:termSetId="e06cd6a9-a175-4da0-81cb-8dba7aa394a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KeywordTaxHTField" ma:index="21" nillable="true" ma:taxonomy="true" ma:internalName="TaxKeywordTaxHTField" ma:taxonomyFieldName="TaxKeyword" ma:displayName="Enterprise Keywords" ma:readOnly="false" ma:fieldId="{23f27201-bee3-471e-b2e7-b64fd8b7ca38}" ma:taxonomyMulti="true" ma:sspId="29f62856-1543-49d4-a736-4569d363f533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Label" ma:index="23" nillable="true" ma:displayName="Taxonomy Catch All Column1" ma:description="" ma:hidden="true" ma:list="{8c9e5fc3-0796-456f-a58e-d4ef9f2e0eb8}" ma:internalName="TaxCatchAllLabel" ma:readOnly="true" ma:showField="CatchAllDataLabel" ma:web="1ad0269c-2511-4159-98ac-392385d4262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" ma:index="24" nillable="true" ma:displayName="Taxonomy Catch All Column" ma:description="" ma:hidden="true" ma:list="{8c9e5fc3-0796-456f-a58e-d4ef9f2e0eb8}" ma:internalName="TaxCatchAll" ma:showField="CatchAllData" ma:web="1ad0269c-2511-4159-98ac-392385d4262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3f09c3df709400db2417a7161762d62" ma:index="28" nillable="true" ma:taxonomy="true" ma:internalName="e3f09c3df709400db2417a7161762d62" ma:taxonomyFieldName="EPA_x0020_Subject" ma:displayName="EPA Subject" ma:readOnly="false" ma:default="" ma:fieldId="{e3f09c3d-f709-400d-b241-7a7161762d62}" ma:taxonomyMulti="true" ma:sspId="29f62856-1543-49d4-a736-4569d363f533" ma:termSetId="7a3d4ae0-7e62-45a2-a406-c6a8a6a8eee3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.v3" elementFormDefault="qualified">
    <xsd:import namespace="http://schemas.microsoft.com/office/2006/documentManagement/types"/>
    <xsd:import namespace="http://schemas.microsoft.com/office/infopath/2007/PartnerControls"/>
    <xsd:element name="CategoryDescription" ma:index="6" nillable="true" ma:displayName="Description" ma:description="Enter a brief description." ma:internalName="CategoryDescription" ma:readOnly="fals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Coverage" ma:index="13" nillable="true" ma:displayName="Coverage" ma:description="Enter the geographic location, jurisdiction, or time period for which the document is relevant." ma:internalName="_Coverage" ma:readOnly="false">
      <xsd:simpleType>
        <xsd:restriction base="dms:Text">
          <xsd:maxLength value="255"/>
        </xsd:restriction>
      </xsd:simpleType>
    </xsd:element>
    <xsd:element name="_Source" ma:index="15" nillable="true" ma:displayName="Source" ma:description="Enter a source from which the document is derived." ma:internalName="_Source" ma:readOnly="fals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d0269c-2511-4159-98ac-392385d4262d" elementFormDefault="qualified">
    <xsd:import namespace="http://schemas.microsoft.com/office/2006/documentManagement/types"/>
    <xsd:import namespace="http://schemas.microsoft.com/office/infopath/2007/PartnerControls"/>
    <xsd:element name="SharedWithUsers" ma:index="29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30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152ce7-db92-4469-9038-13edce6c8d8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3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32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5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29f62856-1543-49d4-a736-4569d363f533" ContentTypeId="0x0101" PreviousValue="fals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Source xmlns="http://schemas.microsoft.com/sharepoint/v3/fields" xsi:nil="true"/>
    <Language xmlns="http://schemas.microsoft.com/sharepoint/v3">English</Language>
    <j747ac98061d40f0aa7bd47e1db5675d xmlns="4ffa91fb-a0ff-4ac5-b2db-65c790d184a4">
      <Terms xmlns="http://schemas.microsoft.com/office/infopath/2007/PartnerControls"/>
    </j747ac98061d40f0aa7bd47e1db5675d>
    <e3f09c3df709400db2417a7161762d62 xmlns="4ffa91fb-a0ff-4ac5-b2db-65c790d184a4">
      <Terms xmlns="http://schemas.microsoft.com/office/infopath/2007/PartnerControls"/>
    </e3f09c3df709400db2417a7161762d62>
    <External_x0020_Contributor xmlns="4ffa91fb-a0ff-4ac5-b2db-65c790d184a4" xsi:nil="true"/>
    <TaxKeywordTaxHTField xmlns="4ffa91fb-a0ff-4ac5-b2db-65c790d184a4">
      <Terms xmlns="http://schemas.microsoft.com/office/infopath/2007/PartnerControls"/>
    </TaxKeywordTaxHTField>
    <Record xmlns="4ffa91fb-a0ff-4ac5-b2db-65c790d184a4">Shared</Record>
    <Rights xmlns="4ffa91fb-a0ff-4ac5-b2db-65c790d184a4" xsi:nil="true"/>
    <Document_x0020_Creation_x0020_Date xmlns="4ffa91fb-a0ff-4ac5-b2db-65c790d184a4">2017-05-30T15:13:35+00:00</Document_x0020_Creation_x0020_Date>
    <EPA_x0020_Office xmlns="4ffa91fb-a0ff-4ac5-b2db-65c790d184a4" xsi:nil="true"/>
    <CategoryDescription xmlns="http://schemas.microsoft.com/sharepoint.v3" xsi:nil="true"/>
    <Identifier xmlns="4ffa91fb-a0ff-4ac5-b2db-65c790d184a4" xsi:nil="true"/>
    <_Coverage xmlns="http://schemas.microsoft.com/sharepoint/v3/fields" xsi:nil="true"/>
    <Creator xmlns="4ffa91fb-a0ff-4ac5-b2db-65c790d184a4">
      <UserInfo>
        <DisplayName/>
        <AccountId xsi:nil="true"/>
        <AccountType/>
      </UserInfo>
    </Creator>
    <EPA_x0020_Related_x0020_Documents xmlns="4ffa91fb-a0ff-4ac5-b2db-65c790d184a4" xsi:nil="true"/>
    <EPA_x0020_Contributor xmlns="4ffa91fb-a0ff-4ac5-b2db-65c790d184a4">
      <UserInfo>
        <DisplayName/>
        <AccountId xsi:nil="true"/>
        <AccountType/>
      </UserInfo>
    </EPA_x0020_Contributor>
    <TaxCatchAll xmlns="4ffa91fb-a0ff-4ac5-b2db-65c790d184a4"/>
  </documentManagement>
</p:properties>
</file>

<file path=customXml/itemProps1.xml><?xml version="1.0" encoding="utf-8"?>
<ds:datastoreItem xmlns:ds="http://schemas.openxmlformats.org/officeDocument/2006/customXml" ds:itemID="{8C118356-7FFA-48B2-9100-0E0598767551}"/>
</file>

<file path=customXml/itemProps2.xml><?xml version="1.0" encoding="utf-8"?>
<ds:datastoreItem xmlns:ds="http://schemas.openxmlformats.org/officeDocument/2006/customXml" ds:itemID="{253A22ED-AC86-44B9-88C0-5BB199BF9476}"/>
</file>

<file path=customXml/itemProps3.xml><?xml version="1.0" encoding="utf-8"?>
<ds:datastoreItem xmlns:ds="http://schemas.openxmlformats.org/officeDocument/2006/customXml" ds:itemID="{D484BC60-54CD-4823-92E1-C8CE15BAEAC4}"/>
</file>

<file path=customXml/itemProps4.xml><?xml version="1.0" encoding="utf-8"?>
<ds:datastoreItem xmlns:ds="http://schemas.openxmlformats.org/officeDocument/2006/customXml" ds:itemID="{585DCB0B-23B2-449D-BBF8-2E329532A14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Multiple Scenarios</vt:lpstr>
      <vt:lpstr>Summary Sheet</vt:lpstr>
      <vt:lpstr>Acute Dataset</vt:lpstr>
      <vt:lpstr>Chronic Dataset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Craig V</dc:creator>
  <cp:lastModifiedBy>Craig V</cp:lastModifiedBy>
  <dcterms:created xsi:type="dcterms:W3CDTF">2017-02-03T16:29:52Z</dcterms:created>
  <dcterms:modified xsi:type="dcterms:W3CDTF">2017-05-30T15:10:26Z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0x0101003545B88506141446A301884C97DF15F9</vt:lpwstr>
  </property>
  <property fmtid="{D5CDD505-2E9C-101B-9397-08002B2CF9AE}" pid="3" name="TaxKeyword">
    <vt:lpwstr/>
  </property>
  <property fmtid="{D5CDD505-2E9C-101B-9397-08002B2CF9AE}" pid="4" name="Document Type">
    <vt:lpwstr/>
  </property>
  <property fmtid="{D5CDD505-2E9C-101B-9397-08002B2CF9AE}" pid="5" name="EPA Subject">
    <vt:lpwstr/>
  </property>
</Properties>
</file>