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2\final for web\"/>
    </mc:Choice>
  </mc:AlternateContent>
  <bookViews>
    <workbookView xWindow="17115" yWindow="1605" windowWidth="25605" windowHeight="14505" tabRatio="852"/>
  </bookViews>
  <sheets>
    <sheet name="5222018" sheetId="8" r:id="rId1"/>
    <sheet name="Output" sheetId="13" r:id="rId2"/>
    <sheet name="DV-IDENTITY-0" sheetId="20" state="veryHidden" r:id="rId3"/>
    <sheet name="Batch Mix Oper." sheetId="44" r:id="rId4"/>
    <sheet name="Auxiliary Heater" sheetId="4" r:id="rId5"/>
    <sheet name="Non-Emergency Engine" sheetId="47" r:id="rId6"/>
    <sheet name="Emergency Generator" sheetId="27" r:id="rId7"/>
    <sheet name="Vehicle Traffic" sheetId="41" r:id="rId8"/>
    <sheet name="Storage Piles" sheetId="42" r:id="rId9"/>
    <sheet name="Solvent Degreaser" sheetId="46" r:id="rId10"/>
  </sheets>
  <definedNames>
    <definedName name="_xlnm.Print_Area" localSheetId="0">'5222018'!$A$1:$L$42</definedName>
    <definedName name="_xlnm.Print_Area" localSheetId="3">#REF!</definedName>
    <definedName name="_xlnm.Print_Area" localSheetId="5">#REF!</definedName>
    <definedName name="_xlnm.Print_Area" localSheetId="9">#REF!</definedName>
    <definedName name="_xlnm.Print_Area" localSheetId="8">#REF!</definedName>
    <definedName name="_xlnm.Print_Area" localSheetId="7">#REF!</definedName>
    <definedName name="_xlnm.Print_Area">#REF!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6" i="27" l="1"/>
  <c r="E44" i="27" s="1"/>
  <c r="D5" i="47"/>
  <c r="E28" i="47" s="1"/>
  <c r="E33" i="47" s="1"/>
  <c r="L31" i="47"/>
  <c r="D5" i="27"/>
  <c r="E28" i="27" s="1"/>
  <c r="L31" i="27"/>
  <c r="D6" i="4"/>
  <c r="E42" i="4" s="1"/>
  <c r="L47" i="4" s="1"/>
  <c r="D4" i="4"/>
  <c r="E12" i="4"/>
  <c r="F17" i="4" s="1"/>
  <c r="D5" i="4"/>
  <c r="E27" i="4" s="1"/>
  <c r="D10" i="46"/>
  <c r="F19" i="46" s="1"/>
  <c r="F20" i="46" s="1"/>
  <c r="J15" i="13" s="1"/>
  <c r="D11" i="46"/>
  <c r="D13" i="46"/>
  <c r="K33" i="47"/>
  <c r="D12" i="46"/>
  <c r="I28" i="47"/>
  <c r="H31" i="47" s="1"/>
  <c r="L15" i="47"/>
  <c r="A1" i="47"/>
  <c r="E15" i="46"/>
  <c r="A1" i="46"/>
  <c r="E14" i="44"/>
  <c r="G14" i="44"/>
  <c r="H23" i="44"/>
  <c r="H37" i="44"/>
  <c r="E23" i="44"/>
  <c r="L23" i="44" s="1"/>
  <c r="G15" i="44"/>
  <c r="G16" i="44"/>
  <c r="H17" i="44"/>
  <c r="F18" i="44"/>
  <c r="H18" i="44" s="1"/>
  <c r="I18" i="44" s="1"/>
  <c r="G19" i="44"/>
  <c r="H21" i="44"/>
  <c r="G22" i="44"/>
  <c r="G36" i="44" s="1"/>
  <c r="A1" i="44"/>
  <c r="I24" i="8"/>
  <c r="E26" i="44"/>
  <c r="E27" i="44" s="1"/>
  <c r="E28" i="44" s="1"/>
  <c r="E22" i="44"/>
  <c r="E21" i="44"/>
  <c r="L21" i="44" s="1"/>
  <c r="E20" i="44"/>
  <c r="E19" i="44"/>
  <c r="L19" i="44" s="1"/>
  <c r="E18" i="44"/>
  <c r="E17" i="44"/>
  <c r="E16" i="44"/>
  <c r="E15" i="44"/>
  <c r="E13" i="44"/>
  <c r="I17" i="13"/>
  <c r="F62" i="41"/>
  <c r="G62" i="41"/>
  <c r="F63" i="41"/>
  <c r="G63" i="41"/>
  <c r="F61" i="41"/>
  <c r="G61" i="41"/>
  <c r="G58" i="41"/>
  <c r="G59" i="41"/>
  <c r="G57" i="41"/>
  <c r="F58" i="41"/>
  <c r="F59" i="41"/>
  <c r="F57" i="41"/>
  <c r="E62" i="41"/>
  <c r="E63" i="41"/>
  <c r="E58" i="41"/>
  <c r="E19" i="41" s="1"/>
  <c r="E59" i="41"/>
  <c r="E20" i="41" s="1"/>
  <c r="E61" i="41"/>
  <c r="E57" i="41"/>
  <c r="E18" i="41" s="1"/>
  <c r="C62" i="41"/>
  <c r="C63" i="41"/>
  <c r="C61" i="41"/>
  <c r="C58" i="41"/>
  <c r="B19" i="41" s="1"/>
  <c r="B41" i="41" s="1"/>
  <c r="F50" i="41" s="1"/>
  <c r="C59" i="41"/>
  <c r="B20" i="41" s="1"/>
  <c r="B42" i="41" s="1"/>
  <c r="F51" i="41" s="1"/>
  <c r="C57" i="41"/>
  <c r="B18" i="41" s="1"/>
  <c r="F24" i="41" s="1"/>
  <c r="E46" i="41"/>
  <c r="E21" i="41"/>
  <c r="C7" i="42"/>
  <c r="C6" i="42"/>
  <c r="C5" i="42"/>
  <c r="H26" i="8"/>
  <c r="G18" i="42"/>
  <c r="G17" i="42"/>
  <c r="A1" i="42"/>
  <c r="A1" i="41"/>
  <c r="E14" i="46"/>
  <c r="H16" i="44"/>
  <c r="H22" i="44"/>
  <c r="H36" i="44"/>
  <c r="G20" i="44"/>
  <c r="H19" i="44"/>
  <c r="I19" i="44" s="1"/>
  <c r="M19" i="44" s="1"/>
  <c r="H20" i="44"/>
  <c r="L20" i="44" s="1"/>
  <c r="G21" i="44"/>
  <c r="G17" i="44"/>
  <c r="H14" i="44"/>
  <c r="I14" i="44" s="1"/>
  <c r="M14" i="44" s="1"/>
  <c r="G13" i="44"/>
  <c r="H13" i="44"/>
  <c r="L13" i="44"/>
  <c r="G23" i="44"/>
  <c r="G37" i="44" s="1"/>
  <c r="F37" i="44"/>
  <c r="H15" i="44"/>
  <c r="K13" i="44"/>
  <c r="F32" i="44"/>
  <c r="G32" i="44" s="1"/>
  <c r="I22" i="44"/>
  <c r="I23" i="44"/>
  <c r="I21" i="44"/>
  <c r="I17" i="44"/>
  <c r="K16" i="44"/>
  <c r="I27" i="4"/>
  <c r="H30" i="4"/>
  <c r="I42" i="4"/>
  <c r="H45" i="4" s="1"/>
  <c r="I28" i="27"/>
  <c r="H31" i="27"/>
  <c r="L15" i="27"/>
  <c r="K47" i="27"/>
  <c r="F32" i="8"/>
  <c r="A1" i="27"/>
  <c r="A1" i="4"/>
  <c r="A1" i="13"/>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HV42" i="20"/>
  <c r="AA32" i="20"/>
  <c r="AL34" i="20"/>
  <c r="HU42" i="20"/>
  <c r="M76" i="20"/>
  <c r="AM34" i="20"/>
  <c r="AS25" i="20"/>
  <c r="HW42" i="20"/>
  <c r="GI68" i="20"/>
  <c r="GC68" i="20"/>
  <c r="GB68" i="20"/>
  <c r="FY68" i="20"/>
  <c r="O17" i="20"/>
  <c r="AT25" i="20"/>
  <c r="FZ68" i="20"/>
  <c r="GE68" i="20"/>
  <c r="GD68" i="20"/>
  <c r="J10" i="20"/>
  <c r="F40" i="20"/>
  <c r="K18" i="20"/>
  <c r="J11" i="20"/>
  <c r="J12" i="20"/>
  <c r="BY18" i="20"/>
  <c r="BZ18" i="20"/>
  <c r="J13" i="20"/>
  <c r="CC18" i="20"/>
  <c r="CB18" i="20"/>
  <c r="CD18" i="20"/>
  <c r="Q32" i="20"/>
  <c r="L27" i="20"/>
  <c r="CA18" i="20"/>
  <c r="AQ25" i="20"/>
  <c r="AR25" i="20"/>
  <c r="FI13" i="20"/>
  <c r="FE13" i="20"/>
  <c r="HR42" i="20"/>
  <c r="HQ42" i="20"/>
  <c r="FH13" i="20"/>
  <c r="HS42" i="20"/>
  <c r="HT42" i="20"/>
  <c r="AG34" i="20"/>
  <c r="AH34" i="20"/>
  <c r="AI34" i="20"/>
  <c r="I13" i="44"/>
  <c r="M13" i="44" s="1"/>
  <c r="I16" i="44"/>
  <c r="I15" i="44"/>
  <c r="H33" i="44"/>
  <c r="I33" i="44" s="1"/>
  <c r="G33" i="44"/>
  <c r="L22" i="44"/>
  <c r="I20" i="44"/>
  <c r="M20" i="44" s="1"/>
  <c r="G30" i="44"/>
  <c r="H30" i="44"/>
  <c r="H34" i="44"/>
  <c r="I34" i="44" s="1"/>
  <c r="G34" i="44"/>
  <c r="G29" i="44"/>
  <c r="H29" i="44"/>
  <c r="G35" i="44"/>
  <c r="H35" i="44"/>
  <c r="H32" i="44"/>
  <c r="I32" i="44" s="1"/>
  <c r="G31" i="44"/>
  <c r="H31" i="44"/>
  <c r="I31" i="44" s="1"/>
  <c r="G28" i="44"/>
  <c r="H28" i="44"/>
  <c r="I28" i="44" s="1"/>
  <c r="H27" i="44"/>
  <c r="G27" i="44"/>
  <c r="K23" i="44"/>
  <c r="E47" i="4"/>
  <c r="I17" i="4"/>
  <c r="G32" i="4"/>
  <c r="U32" i="20" s="1"/>
  <c r="E32" i="4"/>
  <c r="S32" i="20" s="1"/>
  <c r="I27" i="44"/>
  <c r="IU8" i="20"/>
  <c r="IV8" i="20"/>
  <c r="I29" i="44"/>
  <c r="B9" i="20"/>
  <c r="D9" i="20"/>
  <c r="F9" i="20"/>
  <c r="C9" i="20"/>
  <c r="E9" i="20"/>
  <c r="I30" i="44"/>
  <c r="I35" i="44"/>
  <c r="I36" i="44"/>
  <c r="I37" i="44"/>
  <c r="H49" i="27" l="1"/>
  <c r="G49" i="27"/>
  <c r="I49" i="27"/>
  <c r="M15" i="44"/>
  <c r="H26" i="41"/>
  <c r="I59" i="41" s="1"/>
  <c r="L16" i="44"/>
  <c r="K20" i="44"/>
  <c r="M17" i="44"/>
  <c r="K15" i="44"/>
  <c r="M22" i="44"/>
  <c r="L14" i="44"/>
  <c r="I24" i="41"/>
  <c r="H33" i="27"/>
  <c r="J33" i="27"/>
  <c r="G17" i="4"/>
  <c r="G9" i="4" s="1"/>
  <c r="D10" i="13" s="1"/>
  <c r="L27" i="44"/>
  <c r="K17" i="4"/>
  <c r="K9" i="4" s="1"/>
  <c r="H10" i="13" s="1"/>
  <c r="M16" i="44"/>
  <c r="F25" i="41"/>
  <c r="L17" i="44"/>
  <c r="M27" i="44"/>
  <c r="E17" i="4"/>
  <c r="G47" i="4"/>
  <c r="K27" i="44"/>
  <c r="K22" i="44"/>
  <c r="E20" i="42"/>
  <c r="J57" i="41"/>
  <c r="M18" i="44"/>
  <c r="K49" i="27"/>
  <c r="G25" i="41"/>
  <c r="H58" i="41" s="1"/>
  <c r="I25" i="41"/>
  <c r="J58" i="41" s="1"/>
  <c r="H25" i="41"/>
  <c r="I58" i="41" s="1"/>
  <c r="E29" i="44"/>
  <c r="K28" i="44"/>
  <c r="L28" i="44"/>
  <c r="M28" i="44"/>
  <c r="E9" i="4"/>
  <c r="B10" i="13" s="1"/>
  <c r="I47" i="4"/>
  <c r="B40" i="41"/>
  <c r="F49" i="41" s="1"/>
  <c r="F26" i="41"/>
  <c r="L18" i="44"/>
  <c r="K32" i="4"/>
  <c r="Y32" i="20" s="1"/>
  <c r="H32" i="4"/>
  <c r="V32" i="20" s="1"/>
  <c r="L32" i="4"/>
  <c r="Z32" i="20" s="1"/>
  <c r="F32" i="4"/>
  <c r="T32" i="20" s="1"/>
  <c r="J32" i="4"/>
  <c r="X32" i="20" s="1"/>
  <c r="H47" i="4"/>
  <c r="K47" i="4"/>
  <c r="F47" i="4"/>
  <c r="J47" i="4"/>
  <c r="I33" i="27"/>
  <c r="L33" i="27"/>
  <c r="G33" i="27"/>
  <c r="F33" i="27"/>
  <c r="F33" i="47"/>
  <c r="G33" i="47"/>
  <c r="H33" i="47"/>
  <c r="I33" i="47"/>
  <c r="L33" i="47"/>
  <c r="J33" i="47"/>
  <c r="E33" i="27"/>
  <c r="I32" i="4"/>
  <c r="W32" i="20" s="1"/>
  <c r="K19" i="44"/>
  <c r="L15" i="44"/>
  <c r="E41" i="41"/>
  <c r="K33" i="27"/>
  <c r="E19" i="46"/>
  <c r="E20" i="46" s="1"/>
  <c r="H15" i="13" s="1"/>
  <c r="H17" i="4"/>
  <c r="H9" i="4" s="1"/>
  <c r="E10" i="13" s="1"/>
  <c r="K17" i="44"/>
  <c r="I26" i="41"/>
  <c r="J59" i="41" s="1"/>
  <c r="H24" i="41"/>
  <c r="I57" i="41" s="1"/>
  <c r="M23" i="44"/>
  <c r="K14" i="44"/>
  <c r="E42" i="41"/>
  <c r="G18" i="44"/>
  <c r="K18" i="44" s="1"/>
  <c r="L17" i="4"/>
  <c r="L9" i="4" s="1"/>
  <c r="J10" i="13" s="1"/>
  <c r="E12" i="27"/>
  <c r="E12" i="47"/>
  <c r="J49" i="27"/>
  <c r="F49" i="27"/>
  <c r="J17" i="4"/>
  <c r="K21" i="44"/>
  <c r="E40" i="41"/>
  <c r="G26" i="41"/>
  <c r="H59" i="41" s="1"/>
  <c r="G24" i="41"/>
  <c r="H57" i="41" s="1"/>
  <c r="M21" i="44"/>
  <c r="E49" i="27"/>
  <c r="F9" i="4" l="1"/>
  <c r="C10" i="13" s="1"/>
  <c r="E22" i="42"/>
  <c r="E26" i="42" s="1"/>
  <c r="E29" i="42" s="1"/>
  <c r="C26" i="42"/>
  <c r="C29" i="42" s="1"/>
  <c r="I41" i="42" s="1"/>
  <c r="B14" i="13" s="1"/>
  <c r="E21" i="42"/>
  <c r="D26" i="42" s="1"/>
  <c r="D29" i="42" s="1"/>
  <c r="I42" i="42" s="1"/>
  <c r="C14" i="13" s="1"/>
  <c r="J9" i="4"/>
  <c r="G10" i="13" s="1"/>
  <c r="J17" i="47"/>
  <c r="J9" i="47" s="1"/>
  <c r="G11" i="13" s="1"/>
  <c r="I17" i="47"/>
  <c r="I9" i="47" s="1"/>
  <c r="F11" i="13" s="1"/>
  <c r="H17" i="47"/>
  <c r="H9" i="47" s="1"/>
  <c r="E11" i="13" s="1"/>
  <c r="K17" i="47"/>
  <c r="K9" i="47" s="1"/>
  <c r="H11" i="13" s="1"/>
  <c r="G17" i="47"/>
  <c r="G9" i="47" s="1"/>
  <c r="D11" i="13" s="1"/>
  <c r="F17" i="47"/>
  <c r="F9" i="47" s="1"/>
  <c r="C11" i="13" s="1"/>
  <c r="L17" i="47"/>
  <c r="L9" i="47" s="1"/>
  <c r="J11" i="13" s="1"/>
  <c r="E17" i="47"/>
  <c r="E9" i="47" s="1"/>
  <c r="B11" i="13" s="1"/>
  <c r="H51" i="41"/>
  <c r="I63" i="41" s="1"/>
  <c r="I51" i="41"/>
  <c r="J63" i="41" s="1"/>
  <c r="G51" i="41"/>
  <c r="H63" i="41" s="1"/>
  <c r="E30" i="44"/>
  <c r="L29" i="44"/>
  <c r="K29" i="44"/>
  <c r="M29" i="44"/>
  <c r="F17" i="27"/>
  <c r="F9" i="27" s="1"/>
  <c r="C12" i="13" s="1"/>
  <c r="I17" i="27"/>
  <c r="I9" i="27" s="1"/>
  <c r="F12" i="13" s="1"/>
  <c r="K17" i="27"/>
  <c r="K9" i="27" s="1"/>
  <c r="H12" i="13" s="1"/>
  <c r="G17" i="27"/>
  <c r="G9" i="27" s="1"/>
  <c r="D12" i="13" s="1"/>
  <c r="J17" i="27"/>
  <c r="J9" i="27" s="1"/>
  <c r="G12" i="13" s="1"/>
  <c r="L17" i="27"/>
  <c r="L9" i="27" s="1"/>
  <c r="J12" i="13" s="1"/>
  <c r="E17" i="27"/>
  <c r="E9" i="27" s="1"/>
  <c r="B12" i="13" s="1"/>
  <c r="H17" i="27"/>
  <c r="H9" i="27" s="1"/>
  <c r="E12" i="13" s="1"/>
  <c r="J17" i="13"/>
  <c r="H49" i="41"/>
  <c r="I61" i="41" s="1"/>
  <c r="G49" i="41"/>
  <c r="H61" i="41" s="1"/>
  <c r="I49" i="41"/>
  <c r="J61" i="41" s="1"/>
  <c r="I50" i="41"/>
  <c r="J62" i="41" s="1"/>
  <c r="G50" i="41"/>
  <c r="H62" i="41" s="1"/>
  <c r="H66" i="41" s="1"/>
  <c r="J77" i="41" s="1"/>
  <c r="B13" i="13" s="1"/>
  <c r="H50" i="41"/>
  <c r="I62" i="41" s="1"/>
  <c r="I9" i="4"/>
  <c r="F10" i="13" s="1"/>
  <c r="F17" i="13" s="1"/>
  <c r="E17" i="13" l="1"/>
  <c r="I66" i="41"/>
  <c r="J78" i="41" s="1"/>
  <c r="C13" i="13" s="1"/>
  <c r="H17" i="13"/>
  <c r="J66" i="41"/>
  <c r="G17" i="13"/>
  <c r="E31" i="44"/>
  <c r="K30" i="44"/>
  <c r="L30" i="44"/>
  <c r="M30" i="44"/>
  <c r="K31" i="44" l="1"/>
  <c r="L31" i="44"/>
  <c r="E32" i="44"/>
  <c r="M31" i="44"/>
  <c r="E33" i="44" l="1"/>
  <c r="L32" i="44"/>
  <c r="K32" i="44"/>
  <c r="M32" i="44"/>
  <c r="E34" i="44" l="1"/>
  <c r="M33" i="44"/>
  <c r="K33" i="44"/>
  <c r="L33" i="44"/>
  <c r="K34" i="44" l="1"/>
  <c r="E35" i="44"/>
  <c r="M34" i="44"/>
  <c r="L34" i="44"/>
  <c r="K35" i="44" l="1"/>
  <c r="M35" i="44"/>
  <c r="E36" i="44"/>
  <c r="L35" i="44"/>
  <c r="K36" i="44" l="1"/>
  <c r="L36" i="44"/>
  <c r="M36" i="44"/>
  <c r="E37" i="44"/>
  <c r="K37" i="44" l="1"/>
  <c r="K40" i="44" s="1"/>
  <c r="B9" i="13" s="1"/>
  <c r="B17" i="13" s="1"/>
  <c r="M37" i="44"/>
  <c r="M40" i="44" s="1"/>
  <c r="D9" i="13" s="1"/>
  <c r="L37" i="44"/>
  <c r="L40" i="44" s="1"/>
  <c r="C9" i="13" s="1"/>
  <c r="C17" i="13" s="1"/>
  <c r="A9" i="20" l="1"/>
  <c r="D17" i="13"/>
</calcChain>
</file>

<file path=xl/sharedStrings.xml><?xml version="1.0" encoding="utf-8"?>
<sst xmlns="http://schemas.openxmlformats.org/spreadsheetml/2006/main" count="644" uniqueCount="250">
  <si>
    <t>%</t>
  </si>
  <si>
    <t>Purple values are pulled from other worksheet</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</si>
  <si>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</si>
  <si>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</si>
  <si>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</si>
  <si>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</si>
  <si>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</si>
  <si>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</si>
  <si>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</si>
  <si>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</si>
  <si>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</si>
  <si>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</si>
  <si>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</si>
  <si>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</si>
  <si>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</si>
  <si>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</si>
  <si>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</si>
  <si>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</si>
  <si>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</si>
  <si>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</si>
  <si>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</si>
  <si>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Total</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</si>
  <si>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</si>
  <si>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</si>
  <si>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</si>
  <si>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</si>
  <si>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</si>
  <si>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</si>
  <si>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</si>
  <si>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</si>
  <si>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</si>
  <si>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</si>
  <si>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</si>
  <si>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</si>
  <si>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</si>
  <si>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</si>
  <si>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</si>
  <si>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</si>
  <si>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</si>
  <si>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</si>
  <si>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</si>
  <si>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r>
      <t>Emission Factor</t>
    </r>
    <r>
      <rPr>
        <vertAlign val="superscript"/>
        <sz val="10"/>
        <rFont val="Arial"/>
        <family val="2"/>
      </rPr>
      <t>1</t>
    </r>
    <r>
      <rPr>
        <sz val="10"/>
        <rFont val="Arial"/>
        <family val="2"/>
      </rPr>
      <t xml:space="preserve"> (lbs/hp-hr)</t>
    </r>
  </si>
  <si>
    <t>Default = 0.0015</t>
    <phoneticPr fontId="2" type="noConversion"/>
  </si>
  <si>
    <t>Process</t>
  </si>
  <si>
    <t>2. Assume PM emissions are equal to PM10 emissions</t>
  </si>
  <si>
    <t>4. Assume 500 hours/yr of operation for an emergency engine</t>
  </si>
  <si>
    <t>MMBtu = million British thermal units</t>
  </si>
  <si>
    <t>Default = 0.0015</t>
  </si>
  <si>
    <t>Fuel Sulfur %</t>
  </si>
  <si>
    <t>Natural Gas-fired Auxiliary Heater(s) Capacity -</t>
  </si>
  <si>
    <t>Propane-fired Auxiliary Heater(s) Capacity -</t>
  </si>
  <si>
    <t>Distillate/Diesel-fired Auxiliary Heater(s) Capacity -</t>
  </si>
  <si>
    <t>The potential emissions of criteria pollutants and hazardous air pollutants for the facility will be displayed under the "Output" tab.</t>
  </si>
  <si>
    <t>This calculator does not calculate non-emergency engines. Contact your reviewing authority if you use non-emergency engines to power your operations.</t>
  </si>
  <si>
    <t>Diesel-fired Emergency Generator Engine Size:</t>
  </si>
  <si>
    <t>Gasoline-fired Emergency Generator Engine Size:</t>
  </si>
  <si>
    <t>Diesel-fired Emergency Generator(s) Size -</t>
  </si>
  <si>
    <t>Gasoline-fired Emergency Generator(s) Size -</t>
  </si>
  <si>
    <t>Single HAP</t>
  </si>
  <si>
    <t>Total HAPs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</si>
  <si>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</si>
  <si>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</si>
  <si>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</si>
  <si>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</si>
  <si>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</si>
  <si>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</si>
  <si>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Emissions from Emergency Generator Engine - Criteria Pollutants and Hazardous Air Pollutants</t>
  </si>
  <si>
    <t>If the throughput capacity of a piece of equipment limits (or bottlenecks) the maximum throughput of other equipment, then input the bottlenecked capacity of that other equipment, but only if it impacts output of product.</t>
  </si>
  <si>
    <t>Liquid Fuel</t>
  </si>
  <si>
    <r>
      <t>Emission Factor</t>
    </r>
    <r>
      <rPr>
        <vertAlign val="superscript"/>
        <sz val="10"/>
        <rFont val="Arial"/>
        <family val="2"/>
      </rPr>
      <t>1</t>
    </r>
    <r>
      <rPr>
        <sz val="10"/>
        <rFont val="Arial"/>
        <family val="2"/>
      </rPr>
      <t xml:space="preserve"> (lb/MMSCF)</t>
    </r>
  </si>
  <si>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</si>
  <si>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</si>
  <si>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</si>
  <si>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Used</t>
  </si>
  <si>
    <t>-</t>
  </si>
  <si>
    <t>1. Emission factors are from AP-42, Chapter 1.3, Tables 1.3-1, 1.3-2, 1.3-3, 1.3-9, and 1.3-10 for Fuel Oil Combustion (updated 05/10).</t>
  </si>
  <si>
    <t>1. Emission factors are from AP-42, Chapter 1.4, Tables 1.4-1, 1.4-2, 1.4-3, and 1.4-4 (updated 07/98).</t>
  </si>
  <si>
    <t>Emissions from Auxiliary Heaters - Criteria Pollutants and Hazardous Air Pollutants</t>
  </si>
  <si>
    <t>Summary - Total Potential to Emit</t>
  </si>
  <si>
    <t>If you operate multiple facilities of the same type (more than one aggregate conveyor, more than one generator), enter the total rated capacity.</t>
  </si>
  <si>
    <t>hp = horsepower</t>
  </si>
  <si>
    <t>Sand - Transfer to Conveyor</t>
  </si>
  <si>
    <t>Aggregate - Transfer to Conveyor</t>
  </si>
  <si>
    <t>Cement -  Unloading to Elevated Storage</t>
  </si>
  <si>
    <t>Sand - Transfer to Elevated Storage</t>
  </si>
  <si>
    <t>Aggregate - Transfer to Elevated Storage</t>
  </si>
  <si>
    <t>Weigh Hopper Loading</t>
  </si>
  <si>
    <t>Mixer Loading</t>
  </si>
  <si>
    <t>Emissions from Vehicle Traffic - Criteria Pollutants</t>
  </si>
  <si>
    <t>Emissions from Storage Piles - Criteria Pollutants</t>
  </si>
  <si>
    <t>where:</t>
  </si>
  <si>
    <t>w = mean vehicle weight (tons) =</t>
  </si>
  <si>
    <t xml:space="preserve">tons </t>
  </si>
  <si>
    <t>k = empirical constant =</t>
  </si>
  <si>
    <t>for PM</t>
  </si>
  <si>
    <t>for PM10</t>
  </si>
  <si>
    <t>a = empirical constant =</t>
  </si>
  <si>
    <t>b = empirical constant =</t>
  </si>
  <si>
    <t>p = number of days per year with 0.01 inches precipitation =</t>
  </si>
  <si>
    <t>Vehicle Type</t>
  </si>
  <si>
    <t xml:space="preserve">The source will use periodic sweeping to control the fugitive dust emissions. </t>
  </si>
  <si>
    <t>Control Efficiency From Sweeping (%):</t>
  </si>
  <si>
    <t>Where:</t>
  </si>
  <si>
    <t>k = particle size multiplier =</t>
  </si>
  <si>
    <t>s = surface material silt content (%) =</t>
  </si>
  <si>
    <t>W = mean vehicle weight =</t>
  </si>
  <si>
    <t>tons</t>
  </si>
  <si>
    <t>PM10</t>
  </si>
  <si>
    <t>According to AP-42, Chapter 13.2.4 - Aggregate Handling and Storage Piles, the PM/PM10 emission factors for storage piles</t>
  </si>
  <si>
    <t>can be estimated from the following equation:</t>
  </si>
  <si>
    <t>Ef =</t>
  </si>
  <si>
    <r>
      <t>(0.0032 x (U/5)</t>
    </r>
    <r>
      <rPr>
        <vertAlign val="superscript"/>
        <sz val="10"/>
        <rFont val="Arial"/>
        <family val="2"/>
      </rPr>
      <t xml:space="preserve">1.3 </t>
    </r>
    <r>
      <rPr>
        <sz val="10"/>
        <rFont val="Arial"/>
        <family val="2"/>
      </rPr>
      <t>x k)/(M/2)</t>
    </r>
    <r>
      <rPr>
        <vertAlign val="superscript"/>
        <sz val="10"/>
        <rFont val="Arial"/>
        <family val="2"/>
      </rPr>
      <t>1.4</t>
    </r>
  </si>
  <si>
    <t xml:space="preserve">           </t>
  </si>
  <si>
    <t>Ef = Emission Factor (lbs/ton)</t>
  </si>
  <si>
    <t>k = Particle size multiplier =</t>
  </si>
  <si>
    <t>1 for PM and 0.35 for PM10</t>
  </si>
  <si>
    <t>U = Mean wind speed (mph) =</t>
  </si>
  <si>
    <t>M = Moisture content (%) =</t>
  </si>
  <si>
    <t>PM Emission Factor =</t>
  </si>
  <si>
    <t>lbs/ton process</t>
  </si>
  <si>
    <t>PM10 Emission Factor =</t>
  </si>
  <si>
    <t>Site Parameters</t>
  </si>
  <si>
    <t xml:space="preserve">Average Wind Speed </t>
  </si>
  <si>
    <t>(mph)</t>
  </si>
  <si>
    <t xml:space="preserve">Moisture Content of Storage Piles </t>
  </si>
  <si>
    <t>(%)</t>
  </si>
  <si>
    <t>Roadway Traffic - Paved Roads</t>
  </si>
  <si>
    <t>Average Weight of Vehicles (tons)*</t>
  </si>
  <si>
    <t>Roadway Traffic - Unpaved Roads</t>
  </si>
  <si>
    <t>* Average weight = (Tare wt. + Gross (Loaded) Weight) / 2</t>
  </si>
  <si>
    <t>Trip Number
(trips/yr)</t>
  </si>
  <si>
    <t>Round Trip Distance
(mile/trip)</t>
  </si>
  <si>
    <t>Transit Mix Truck</t>
  </si>
  <si>
    <t>Gravel/Sand Delivery Truck</t>
  </si>
  <si>
    <t>Emission factors are from AP-42, Chapter 11.12, Concrete Batching, Tables 11.12-2, 11.12-3, 11.12-4, and 11.12-6. (June 2006)</t>
  </si>
  <si>
    <t>Yards Mix/yr</t>
  </si>
  <si>
    <t>Plant Maximum Production Capacity</t>
  </si>
  <si>
    <t>Cement Supplement -  Unloading to Elevated Storage</t>
  </si>
  <si>
    <t>Plant Equipment Maximum Throughput Capacity</t>
  </si>
  <si>
    <t>Engines and Heaters</t>
  </si>
  <si>
    <r>
      <t xml:space="preserve">Enter the facility's information below in the cells with </t>
    </r>
    <r>
      <rPr>
        <b/>
        <sz val="10"/>
        <color rgb="FFFF0000"/>
        <rFont val="Arial"/>
        <family val="2"/>
      </rPr>
      <t>red text</t>
    </r>
    <r>
      <rPr>
        <sz val="10"/>
        <rFont val="Arial"/>
        <family val="2"/>
      </rPr>
      <t xml:space="preserve">. 
Write the letter "Y" or "N" next to each fuel type to indicate that the facility does or does not burn that type of fuel. </t>
    </r>
  </si>
  <si>
    <t>(tons/hr)</t>
  </si>
  <si>
    <t xml:space="preserve">Maximum Throughput Rate </t>
  </si>
  <si>
    <t>tons/hr</t>
  </si>
  <si>
    <t>Emission Factors:</t>
  </si>
  <si>
    <t>Uncontrolled PM/PM10 (tons/yr) = Maximum Throughput Rate (tons/hr) x Emission Factor (lbs/ton) x 8,760 hr/yr x 1 ton/2,000 lbs</t>
  </si>
  <si>
    <t>PM2.5 Emission Factor =</t>
  </si>
  <si>
    <t>Emission Factor (lbs/ton)</t>
  </si>
  <si>
    <t>Vehicle Traffic</t>
  </si>
  <si>
    <t>Number of days with &gt;0.01 inches precipitation</t>
  </si>
  <si>
    <t>days/yr</t>
  </si>
  <si>
    <t>MMBtu/hr</t>
  </si>
  <si>
    <t>mph</t>
  </si>
  <si>
    <t>units</t>
  </si>
  <si>
    <r>
      <t>E</t>
    </r>
    <r>
      <rPr>
        <vertAlign val="subscript"/>
        <sz val="10"/>
        <rFont val="Arial"/>
        <family val="2"/>
      </rPr>
      <t>ext</t>
    </r>
    <r>
      <rPr>
        <sz val="10"/>
        <rFont val="Arial"/>
        <family val="2"/>
      </rPr>
      <t xml:space="preserve"> = emission factor (lb/vehicle mile traveled)</t>
    </r>
  </si>
  <si>
    <t>According to AP 42, Chapter 13.2.1 - Paved Roads (01/2011), the PM/PM10/PM2.5 emission factors for paved roads can be estimated from the following equation:</t>
  </si>
  <si>
    <t>for PM2.5</t>
  </si>
  <si>
    <t>Reference:</t>
  </si>
  <si>
    <r>
      <t xml:space="preserve"> (g/m</t>
    </r>
    <r>
      <rPr>
        <vertAlign val="superscript"/>
        <sz val="10"/>
        <rFont val="Arial"/>
        <family val="2"/>
      </rPr>
      <t>2</t>
    </r>
    <r>
      <rPr>
        <sz val="10"/>
        <rFont val="Arial"/>
        <family val="2"/>
      </rPr>
      <t>)</t>
    </r>
  </si>
  <si>
    <t>AP 42, Table 13.2.1-3</t>
  </si>
  <si>
    <t>AP-42, Table 13.2.1-1</t>
  </si>
  <si>
    <r>
      <t>sL = road surface silt loading (g/m</t>
    </r>
    <r>
      <rPr>
        <vertAlign val="superscript"/>
        <sz val="10"/>
        <rFont val="Arial"/>
        <family val="2"/>
      </rPr>
      <t>2</t>
    </r>
    <r>
      <rPr>
        <sz val="10"/>
        <rFont val="Arial"/>
        <family val="2"/>
      </rPr>
      <t>) =</t>
    </r>
  </si>
  <si>
    <t xml:space="preserve"> AP 42 Emission Factors - Paved Roads</t>
  </si>
  <si>
    <t>Provided by Applicant</t>
  </si>
  <si>
    <t xml:space="preserve"> AP 42 Emission Factors - Unpaved Roads</t>
  </si>
  <si>
    <t>According to AP 42, Section 13.2.2 Unpaved Roads (11/2006), the PM/PM10/PM2.5 emission factors for unpaved roads can be estimated from the following equation:</t>
  </si>
  <si>
    <t>days</t>
  </si>
  <si>
    <t>AP 42, Table 13.2.2-1</t>
  </si>
  <si>
    <r>
      <t>E</t>
    </r>
    <r>
      <rPr>
        <vertAlign val="subscript"/>
        <sz val="10"/>
        <rFont val="Arial"/>
        <family val="2"/>
      </rPr>
      <t>ext</t>
    </r>
    <r>
      <rPr>
        <sz val="10"/>
        <rFont val="Arial"/>
        <family val="2"/>
      </rPr>
      <t xml:space="preserve"> = (k (sL)</t>
    </r>
    <r>
      <rPr>
        <vertAlign val="superscript"/>
        <sz val="10"/>
        <rFont val="Arial"/>
        <family val="2"/>
      </rPr>
      <t xml:space="preserve">0.91 </t>
    </r>
    <r>
      <rPr>
        <sz val="10"/>
        <rFont val="Arial"/>
        <family val="2"/>
      </rPr>
      <t>(W)</t>
    </r>
    <r>
      <rPr>
        <vertAlign val="superscript"/>
        <sz val="10"/>
        <rFont val="Arial"/>
        <family val="2"/>
      </rPr>
      <t>1.02</t>
    </r>
    <r>
      <rPr>
        <sz val="10"/>
        <rFont val="Arial"/>
        <family val="2"/>
      </rPr>
      <t>) (1 - p/(4 x 365))</t>
    </r>
  </si>
  <si>
    <r>
      <t>E</t>
    </r>
    <r>
      <rPr>
        <vertAlign val="subscript"/>
        <sz val="10"/>
        <rFont val="Arial"/>
        <family val="2"/>
      </rPr>
      <t>ext</t>
    </r>
    <r>
      <rPr>
        <sz val="10"/>
        <rFont val="Arial"/>
        <family val="2"/>
      </rPr>
      <t xml:space="preserve"> = k (s/12)</t>
    </r>
    <r>
      <rPr>
        <vertAlign val="superscript"/>
        <sz val="10"/>
        <rFont val="Arial"/>
        <family val="2"/>
      </rPr>
      <t>a</t>
    </r>
    <r>
      <rPr>
        <sz val="10"/>
        <rFont val="Arial"/>
        <family val="2"/>
      </rPr>
      <t xml:space="preserve"> (W/3)</t>
    </r>
    <r>
      <rPr>
        <vertAlign val="superscript"/>
        <sz val="10"/>
        <rFont val="Arial"/>
        <family val="2"/>
      </rPr>
      <t xml:space="preserve">b </t>
    </r>
    <r>
      <rPr>
        <sz val="10"/>
        <rFont val="Arial"/>
        <family val="2"/>
      </rPr>
      <t>x (365-p)/365</t>
    </r>
  </si>
  <si>
    <t>PM10/PM2.5</t>
  </si>
  <si>
    <t>AP 42, Table 13.2.2-2</t>
  </si>
  <si>
    <t>Potential to Emit</t>
  </si>
  <si>
    <t>Paved Roads</t>
  </si>
  <si>
    <t>Unpaved Roads</t>
  </si>
  <si>
    <t>Road Type</t>
  </si>
  <si>
    <t>Trips/year</t>
  </si>
  <si>
    <t>Distance (miles)</t>
  </si>
  <si>
    <t>Avg. Wt. (tons)</t>
  </si>
  <si>
    <t>Throughput</t>
  </si>
  <si>
    <t>Materials Handling Process</t>
  </si>
  <si>
    <t>PTE (ton/yr) = Throughput (tons/hr) x EF (lb/ton) x 8760 hr x 1 ton/2000 lb</t>
  </si>
  <si>
    <t>Controlled Emissions (ton/yr)</t>
  </si>
  <si>
    <t>Materials Handling and Loading</t>
  </si>
  <si>
    <t>OR</t>
  </si>
  <si>
    <t>Emission Factor (lb/ton)</t>
  </si>
  <si>
    <t>Emission Factor (lb/yard)</t>
  </si>
  <si>
    <t>Calculation Methodology</t>
  </si>
  <si>
    <t>Controlled?</t>
  </si>
  <si>
    <t>Is the Dry Mix and Water Mixed Prior to Loading (Mixer Loading) or After Loading (Truck Loading)?          [Choose One]</t>
  </si>
  <si>
    <t>Units</t>
  </si>
  <si>
    <t>Amount</t>
  </si>
  <si>
    <t>Truck Loading</t>
  </si>
  <si>
    <t>Controlled Emissions from Concrete Batch Mix Materials Handling - Criteria Pollutants</t>
  </si>
  <si>
    <t xml:space="preserve">Controlled? </t>
  </si>
  <si>
    <t>PM 2.5 emission factors are from AP-42, Chapter 11.12, Concrete Batching, Background Document, Table 17.1. (June 2006)</t>
  </si>
  <si>
    <t>PM2.5</t>
  </si>
  <si>
    <t>Emission Factors (lb/mile)</t>
  </si>
  <si>
    <t>Methodology:</t>
  </si>
  <si>
    <t>PTE (tons/yr) = Trips/yr x Distance (miles) x Emission Factor (lb/mile) x 1 ton/2,000 lbs</t>
  </si>
  <si>
    <t>PM Emissions After Control (tons/yr) = PTE Before Control (tons/yr) x (1 - Control Efficiency From Sweeping/Watering (%)) =</t>
  </si>
  <si>
    <t>PM10 Emissions After Control (tons/yr) = PTE Before Control (tons/yr) x (1 - Control Efficiency From Sweeping/Watering (%)) =</t>
  </si>
  <si>
    <t xml:space="preserve">   [EPA will assume 50% control from following fugitive dust control plan for roadways.]</t>
  </si>
  <si>
    <t>Controlled Emissions PM/PM10</t>
  </si>
  <si>
    <t>Storage Piles</t>
  </si>
  <si>
    <t>Control Efficiency From Watering (%):</t>
  </si>
  <si>
    <t>Note: Emissions from vehicle traffic and storage piles are considered fugitive emissions and are not counted towards PTE, as concrete batching is not one of the 28 listed source categories.</t>
  </si>
  <si>
    <t>Weigh Hopper Loading (Sand and Aggregate Only)</t>
  </si>
  <si>
    <t>Mixer Loading (Cement and Cement Supplement Only)</t>
  </si>
  <si>
    <t>Transit Mix Truck Loading (Cement and Cement Supp. Only)</t>
  </si>
  <si>
    <t>Railcar/Barge/Truck Sand Unloading</t>
  </si>
  <si>
    <t>Railcar/Barge/Truck Aggregate Unloading</t>
  </si>
  <si>
    <t>Assume that transfer of sand and aggregate to elevated storage and weigh hopper loading has a capture/control efficiency of 90%.</t>
  </si>
  <si>
    <t>PTE (ton/yr) = Yards mix/yr x EF (lb/yard) x 1 ton/2000 lb</t>
  </si>
  <si>
    <t>Emissions from Solvent Degreasers - Criteria Pollutants and Hazardous Air Pollutants</t>
  </si>
  <si>
    <t>PTE (ton/yr) = Solvent Use (gal/yr) x Density (lb/gal) x % VOC Content x 1 ton/2,000 lb</t>
  </si>
  <si>
    <t>Note: Enter whole number  for percent. If VOC content is 50 percent, enter "50".</t>
  </si>
  <si>
    <t>Note: Enter whole number  for percent. If HAP content is 50 percent, enter "50".</t>
  </si>
  <si>
    <t>Solvent Degreasing</t>
  </si>
  <si>
    <t>Controlled Emissions (ton/yr) = PTE (ton/yr) x ( 1 - (Recycled Solvent (gal/yr)/Purchased Solvent (gal/yr)))</t>
  </si>
  <si>
    <t>INPUT THE FOLLOWING INFORMATION ABOUT ONSITE SOLVENT USE</t>
  </si>
  <si>
    <t xml:space="preserve">Annual Solvent Use/Purchases (gal/year) </t>
  </si>
  <si>
    <t>Solvent Density (lbs/gal)</t>
  </si>
  <si>
    <t>Solvent VOC Content (%)</t>
  </si>
  <si>
    <t>Solvent HAP Content (%)</t>
  </si>
  <si>
    <t>Solvent Sent Offsite for Recycling (gal/yr)</t>
  </si>
  <si>
    <r>
      <rPr>
        <b/>
        <sz val="12"/>
        <color theme="6" tint="-0.249977111117893"/>
        <rFont val="Arial"/>
        <family val="2"/>
      </rPr>
      <t>Enter the maximum capacity information for the equipment at your concrete batch mix operation (lines 14 - 24)</t>
    </r>
    <r>
      <rPr>
        <b/>
        <sz val="12"/>
        <rFont val="Arial"/>
        <family val="2"/>
      </rPr>
      <t xml:space="preserve">
</t>
    </r>
    <r>
      <rPr>
        <b/>
        <sz val="12"/>
        <color rgb="FFFF0000"/>
        <rFont val="Arial"/>
        <family val="2"/>
      </rPr>
      <t xml:space="preserve">OR 
</t>
    </r>
    <r>
      <rPr>
        <b/>
        <sz val="12"/>
        <color theme="5" tint="-0.249977111117893"/>
        <rFont val="Arial"/>
        <family val="2"/>
      </rPr>
      <t>Enter the maximum number of yards of concrete your plant can deliver (maximum production capacity) in one year (line 26).</t>
    </r>
  </si>
  <si>
    <t/>
  </si>
  <si>
    <t>Onsite Solvent Usage</t>
  </si>
  <si>
    <t>Other Delivery Truck</t>
  </si>
  <si>
    <t xml:space="preserve">(gal/year) </t>
  </si>
  <si>
    <t>Annual Solvent Use/Purchases</t>
  </si>
  <si>
    <t xml:space="preserve">Solvent Density </t>
  </si>
  <si>
    <t xml:space="preserve">Solvent VOC Content </t>
  </si>
  <si>
    <t xml:space="preserve">Solvent HAP Content </t>
  </si>
  <si>
    <t>(lbs/gal)</t>
  </si>
  <si>
    <t>y</t>
  </si>
  <si>
    <t xml:space="preserve">Potential to Emit </t>
  </si>
  <si>
    <t>Auxiliary Heater(s)</t>
  </si>
  <si>
    <t>tons/yr</t>
  </si>
  <si>
    <t>Assumes equipment is controlled, as required by GP</t>
  </si>
  <si>
    <t>Potential To Emit Calculator for Concrete Batch Plants</t>
  </si>
  <si>
    <t>Diesel-fired Non-Emergency Engine(s) Size -</t>
  </si>
  <si>
    <t xml:space="preserve">Natural Gas/Propane-fired Emergency Generator(s) Size - </t>
  </si>
  <si>
    <t>Non-Emergency Engines</t>
  </si>
  <si>
    <t>Directions:</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</si>
  <si>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</si>
  <si>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t>
  </si>
  <si>
    <t>Emissions from Non-Emergency Generator Engine - Criteria Pollutants and Hazardous Air Pollutants</t>
  </si>
  <si>
    <t>Emergency Generators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</si>
</sst>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
    <numFmt numFmtId="166" formatCode="0.0"/>
    <numFmt numFmtId="167" formatCode="#,##0.0000"/>
    <numFmt numFmtId="168" formatCode="0.00000"/>
  </numFmts>
  <fonts count="34"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rgb="FF7030A0"/>
      <name val="Arial"/>
      <family val="2"/>
    </font>
    <font>
      <b/>
      <sz val="10"/>
      <color rgb="FF0070C0"/>
      <name val="Arial"/>
      <family val="2"/>
    </font>
    <font>
      <sz val="10"/>
      <color rgb="FF0070C0"/>
      <name val="Arial"/>
      <family val="2"/>
    </font>
    <font>
      <sz val="8"/>
      <name val="Verdana"/>
      <family val="2"/>
    </font>
    <font>
      <sz val="10"/>
      <name val="Arial"/>
      <family val="2"/>
    </font>
    <font>
      <u/>
      <sz val="10"/>
      <color theme="10"/>
      <name val="Arial"/>
      <family val="2"/>
    </font>
    <font>
      <u/>
      <sz val="10"/>
      <color theme="11"/>
      <name val="Arial"/>
      <family val="2"/>
    </font>
    <font>
      <sz val="10"/>
      <color rgb="FFFF0000"/>
      <name val="Arial"/>
      <family val="2"/>
    </font>
    <font>
      <u/>
      <sz val="10"/>
      <color theme="10"/>
      <name val="Arial"/>
      <family val="2"/>
    </font>
    <font>
      <sz val="12"/>
      <name val="Arial"/>
      <family val="2"/>
    </font>
    <font>
      <b/>
      <sz val="10"/>
      <name val="Arial"/>
      <family val="2"/>
    </font>
    <font>
      <sz val="10"/>
      <color indexed="8"/>
      <name val="Arial"/>
      <family val="2"/>
    </font>
    <font>
      <b/>
      <i/>
      <sz val="10"/>
      <color indexed="10"/>
      <name val="Arial"/>
      <family val="2"/>
    </font>
    <font>
      <b/>
      <sz val="10"/>
      <color rgb="FFFF0000"/>
      <name val="Arial"/>
      <family val="2"/>
    </font>
    <font>
      <b/>
      <sz val="12"/>
      <color rgb="FFFF0000"/>
      <name val="Arial"/>
      <family val="2"/>
    </font>
    <font>
      <b/>
      <sz val="12"/>
      <color theme="5" tint="-0.249977111117893"/>
      <name val="Arial"/>
      <family val="2"/>
    </font>
    <font>
      <b/>
      <sz val="12"/>
      <color theme="6" tint="-0.249977111117893"/>
      <name val="Arial"/>
      <family val="2"/>
    </font>
    <font>
      <b/>
      <sz val="10"/>
      <color theme="6"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73">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style="medium">
        <color auto="1"/>
      </left>
      <right/>
      <top style="thick">
        <color auto="1"/>
      </top>
      <bottom/>
      <diagonal/>
    </border>
    <border>
      <left/>
      <right style="thick">
        <color auto="1"/>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double">
        <color auto="1"/>
      </bottom>
      <diagonal/>
    </border>
    <border>
      <left/>
      <right style="thin">
        <color auto="1"/>
      </right>
      <top/>
      <bottom style="double">
        <color auto="1"/>
      </bottom>
      <diagonal/>
    </border>
    <border>
      <left style="medium">
        <color auto="1"/>
      </left>
      <right/>
      <top/>
      <bottom style="double">
        <color auto="1"/>
      </bottom>
      <diagonal/>
    </border>
    <border>
      <left style="thin">
        <color auto="1"/>
      </left>
      <right style="medium">
        <color auto="1"/>
      </right>
      <top style="thin">
        <color auto="1"/>
      </top>
      <bottom/>
      <diagonal/>
    </border>
    <border>
      <left/>
      <right/>
      <top style="thin">
        <color auto="1"/>
      </top>
      <bottom style="double">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double">
        <color auto="1"/>
      </bottom>
      <diagonal/>
    </border>
    <border>
      <left style="thin">
        <color auto="1"/>
      </left>
      <right/>
      <top style="medium">
        <color auto="1"/>
      </top>
      <bottom style="thin">
        <color auto="1"/>
      </bottom>
      <diagonal/>
    </border>
  </borders>
  <cellStyleXfs count="12">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387">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0" fillId="0" borderId="0" xfId="0" applyNumberFormat="1" applyAlignment="1">
      <alignment horizontal="left" vertical="top" wrapText="1"/>
    </xf>
    <xf numFmtId="0" fontId="5" fillId="0" borderId="0" xfId="0" applyFont="1" applyBorder="1"/>
    <xf numFmtId="0" fontId="9" fillId="0" borderId="0" xfId="0" applyFont="1" applyAlignment="1"/>
    <xf numFmtId="14" fontId="0" fillId="0" borderId="0" xfId="0" applyNumberFormat="1" applyAlignment="1"/>
    <xf numFmtId="0" fontId="16" fillId="0" borderId="0" xfId="0" applyFont="1"/>
    <xf numFmtId="0" fontId="5" fillId="0" borderId="2" xfId="0" applyFont="1" applyBorder="1"/>
    <xf numFmtId="0" fontId="11" fillId="0" borderId="0" xfId="0" applyFont="1"/>
    <xf numFmtId="0" fontId="12" fillId="0" borderId="0" xfId="0" applyFont="1"/>
    <xf numFmtId="0" fontId="13" fillId="0" borderId="0" xfId="0" applyFont="1"/>
    <xf numFmtId="0" fontId="5" fillId="0" borderId="8" xfId="0" applyFont="1" applyBorder="1" applyAlignment="1">
      <alignment horizontal="center"/>
    </xf>
    <xf numFmtId="0" fontId="5" fillId="0" borderId="3" xfId="0" applyFont="1" applyBorder="1"/>
    <xf numFmtId="0" fontId="5" fillId="0" borderId="7" xfId="0" applyFont="1" applyBorder="1"/>
    <xf numFmtId="0" fontId="13" fillId="0" borderId="0" xfId="0" applyFont="1" applyBorder="1"/>
    <xf numFmtId="0" fontId="12" fillId="0" borderId="0" xfId="0" applyFont="1" applyBorder="1"/>
    <xf numFmtId="0" fontId="0" fillId="0" borderId="0" xfId="0" applyFont="1" applyFill="1" applyBorder="1" applyAlignment="1">
      <alignment horizontal="center"/>
    </xf>
    <xf numFmtId="166" fontId="13" fillId="0" borderId="0" xfId="0" applyNumberFormat="1" applyFont="1" applyBorder="1" applyAlignment="1">
      <alignment horizontal="center"/>
    </xf>
    <xf numFmtId="0" fontId="13"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0" xfId="0" applyFont="1" applyBorder="1"/>
    <xf numFmtId="0" fontId="5" fillId="2" borderId="1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5" fillId="0" borderId="18" xfId="0" applyFont="1" applyBorder="1" applyAlignment="1">
      <alignment horizontal="center"/>
    </xf>
    <xf numFmtId="166" fontId="5" fillId="0" borderId="19" xfId="0" applyNumberFormat="1" applyFont="1" applyBorder="1" applyAlignment="1">
      <alignment horizontal="center"/>
    </xf>
    <xf numFmtId="0" fontId="13" fillId="0" borderId="6" xfId="0" applyFont="1" applyBorder="1"/>
    <xf numFmtId="0" fontId="5" fillId="2" borderId="9" xfId="0" applyFont="1" applyFill="1" applyBorder="1" applyAlignment="1">
      <alignment horizontal="center"/>
    </xf>
    <xf numFmtId="0" fontId="5" fillId="2" borderId="11" xfId="0" applyFont="1" applyFill="1" applyBorder="1" applyAlignment="1">
      <alignment horizontal="center"/>
    </xf>
    <xf numFmtId="0" fontId="5" fillId="0" borderId="20" xfId="0" applyFont="1" applyBorder="1"/>
    <xf numFmtId="0" fontId="5" fillId="0" borderId="8"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66" fontId="5" fillId="0" borderId="21" xfId="0" applyNumberFormat="1" applyFont="1" applyBorder="1" applyAlignment="1">
      <alignment horizontal="center"/>
    </xf>
    <xf numFmtId="2" fontId="17" fillId="0" borderId="18" xfId="0" applyNumberFormat="1" applyFont="1" applyBorder="1" applyAlignment="1">
      <alignment horizontal="center"/>
    </xf>
    <xf numFmtId="2" fontId="17" fillId="0" borderId="12" xfId="0" applyNumberFormat="1" applyFont="1" applyBorder="1" applyAlignment="1">
      <alignment horizontal="center"/>
    </xf>
    <xf numFmtId="2" fontId="17" fillId="0" borderId="14" xfId="0" applyNumberFormat="1" applyFont="1" applyBorder="1" applyAlignment="1">
      <alignment horizontal="center"/>
    </xf>
    <xf numFmtId="3" fontId="16" fillId="0" borderId="0" xfId="0" applyNumberFormat="1" applyFont="1"/>
    <xf numFmtId="0" fontId="18" fillId="0" borderId="0" xfId="0" applyFont="1"/>
    <xf numFmtId="0" fontId="5" fillId="0" borderId="0" xfId="0" applyFont="1" applyFill="1" applyBorder="1" applyAlignment="1">
      <alignment horizontal="center"/>
    </xf>
    <xf numFmtId="11" fontId="5" fillId="0" borderId="23" xfId="0" applyNumberFormat="1" applyFont="1" applyBorder="1" applyAlignment="1">
      <alignment horizontal="center"/>
    </xf>
    <xf numFmtId="11" fontId="5" fillId="0" borderId="21" xfId="0" applyNumberFormat="1" applyFont="1" applyBorder="1" applyAlignment="1">
      <alignment horizontal="center"/>
    </xf>
    <xf numFmtId="11" fontId="5" fillId="0" borderId="22" xfId="0" applyNumberFormat="1" applyFont="1" applyBorder="1" applyAlignment="1">
      <alignment horizontal="center"/>
    </xf>
    <xf numFmtId="11" fontId="5" fillId="0" borderId="8" xfId="0" applyNumberFormat="1" applyFont="1" applyBorder="1" applyAlignment="1">
      <alignment horizontal="center"/>
    </xf>
    <xf numFmtId="11" fontId="5" fillId="0" borderId="24" xfId="0" applyNumberFormat="1" applyFont="1" applyBorder="1" applyAlignment="1">
      <alignment horizontal="center"/>
    </xf>
    <xf numFmtId="0" fontId="9" fillId="0" borderId="0" xfId="0" applyFont="1" applyAlignment="1">
      <alignment horizontal="center"/>
    </xf>
    <xf numFmtId="0" fontId="0" fillId="0" borderId="0" xfId="0" applyAlignment="1"/>
    <xf numFmtId="0" fontId="20" fillId="0" borderId="0" xfId="0" applyFont="1" applyBorder="1"/>
    <xf numFmtId="0" fontId="20" fillId="0" borderId="0" xfId="0" applyFont="1"/>
    <xf numFmtId="0" fontId="0" fillId="0" borderId="0" xfId="0" applyFont="1" applyBorder="1" applyAlignment="1">
      <alignment vertical="top" wrapText="1"/>
    </xf>
    <xf numFmtId="0" fontId="0" fillId="0" borderId="0" xfId="0" applyAlignment="1">
      <alignment vertical="top" wrapText="1"/>
    </xf>
    <xf numFmtId="0" fontId="24" fillId="0" borderId="0" xfId="5" applyAlignment="1" applyProtection="1"/>
    <xf numFmtId="0" fontId="16" fillId="0" borderId="0" xfId="0" applyFont="1" applyAlignment="1">
      <alignment horizontal="center"/>
    </xf>
    <xf numFmtId="167" fontId="16" fillId="0" borderId="0" xfId="0" applyNumberFormat="1" applyFont="1"/>
    <xf numFmtId="0" fontId="20" fillId="2" borderId="10"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7" xfId="0" applyFont="1" applyBorder="1" applyAlignment="1">
      <alignment horizontal="center"/>
    </xf>
    <xf numFmtId="2" fontId="17" fillId="0" borderId="27" xfId="0" applyNumberFormat="1" applyFont="1" applyBorder="1" applyAlignment="1">
      <alignment horizontal="center"/>
    </xf>
    <xf numFmtId="11" fontId="5" fillId="0" borderId="28" xfId="0" applyNumberFormat="1" applyFont="1" applyBorder="1" applyAlignment="1">
      <alignment horizontal="center"/>
    </xf>
    <xf numFmtId="0" fontId="5" fillId="0" borderId="29" xfId="0" applyFont="1" applyBorder="1" applyAlignment="1">
      <alignment horizontal="center"/>
    </xf>
    <xf numFmtId="0" fontId="13" fillId="0" borderId="30" xfId="0" applyFont="1" applyBorder="1" applyAlignment="1">
      <alignment horizontal="center"/>
    </xf>
    <xf numFmtId="0" fontId="13" fillId="0" borderId="31" xfId="0" applyFont="1" applyBorder="1" applyAlignment="1">
      <alignment horizontal="center"/>
    </xf>
    <xf numFmtId="0" fontId="13" fillId="0" borderId="31" xfId="0" applyFont="1" applyBorder="1"/>
    <xf numFmtId="0" fontId="13" fillId="0" borderId="32" xfId="0" applyFont="1" applyBorder="1"/>
    <xf numFmtId="0" fontId="5" fillId="0" borderId="33" xfId="0" applyFont="1" applyBorder="1"/>
    <xf numFmtId="0" fontId="5" fillId="0" borderId="35" xfId="0" applyFont="1" applyBorder="1"/>
    <xf numFmtId="0" fontId="13" fillId="0" borderId="37" xfId="0" applyFont="1" applyBorder="1"/>
    <xf numFmtId="164" fontId="17" fillId="0" borderId="38" xfId="0" applyNumberFormat="1" applyFont="1" applyBorder="1" applyAlignment="1">
      <alignment horizontal="center"/>
    </xf>
    <xf numFmtId="0" fontId="13" fillId="0" borderId="39" xfId="0" applyFont="1" applyBorder="1"/>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2" fontId="17" fillId="0" borderId="43" xfId="0" applyNumberFormat="1" applyFont="1" applyBorder="1" applyAlignment="1">
      <alignment horizontal="center"/>
    </xf>
    <xf numFmtId="2" fontId="17" fillId="0" borderId="28" xfId="0" applyNumberFormat="1" applyFont="1" applyBorder="1" applyAlignment="1">
      <alignment horizontal="center"/>
    </xf>
    <xf numFmtId="164" fontId="17" fillId="0" borderId="36" xfId="0" applyNumberFormat="1" applyFont="1" applyBorder="1" applyAlignment="1">
      <alignment horizontal="center"/>
    </xf>
    <xf numFmtId="0" fontId="20" fillId="0" borderId="34" xfId="0" applyFont="1" applyBorder="1" applyAlignment="1">
      <alignment horizontal="center" vertical="center"/>
    </xf>
    <xf numFmtId="0" fontId="20" fillId="0" borderId="36" xfId="0" applyFont="1" applyBorder="1" applyAlignment="1">
      <alignment horizontal="center"/>
    </xf>
    <xf numFmtId="0" fontId="20" fillId="0" borderId="40" xfId="0" applyFont="1" applyBorder="1" applyAlignment="1">
      <alignment horizontal="center" vertical="center"/>
    </xf>
    <xf numFmtId="0" fontId="20" fillId="0" borderId="0" xfId="0" applyFont="1" applyBorder="1" applyAlignment="1">
      <alignment horizontal="center" vertical="center"/>
    </xf>
    <xf numFmtId="0" fontId="13" fillId="0" borderId="44" xfId="0" applyFont="1" applyBorder="1"/>
    <xf numFmtId="0" fontId="5" fillId="0" borderId="26" xfId="0" applyFont="1" applyBorder="1" applyAlignment="1">
      <alignment horizontal="center"/>
    </xf>
    <xf numFmtId="0" fontId="13" fillId="0" borderId="45" xfId="0" applyFont="1" applyBorder="1"/>
    <xf numFmtId="0" fontId="0" fillId="0" borderId="0" xfId="0" applyAlignment="1">
      <alignment vertical="center"/>
    </xf>
    <xf numFmtId="0" fontId="0" fillId="0" borderId="0" xfId="0" applyAlignment="1">
      <alignment horizontal="right" vertical="center"/>
    </xf>
    <xf numFmtId="0" fontId="3" fillId="0" borderId="0" xfId="0"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164" fontId="3" fillId="0" borderId="0" xfId="0" applyNumberFormat="1" applyFont="1" applyBorder="1" applyAlignment="1">
      <alignment horizontal="center" vertical="center"/>
    </xf>
    <xf numFmtId="0" fontId="20"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2" fontId="17" fillId="0" borderId="0" xfId="0" applyNumberFormat="1" applyFont="1" applyBorder="1" applyAlignment="1">
      <alignment horizontal="center"/>
    </xf>
    <xf numFmtId="0" fontId="9" fillId="0" borderId="0" xfId="0" applyFont="1" applyAlignment="1">
      <alignment horizontal="center"/>
    </xf>
    <xf numFmtId="0" fontId="20" fillId="0" borderId="33" xfId="0" applyFont="1" applyBorder="1"/>
    <xf numFmtId="2" fontId="17" fillId="0" borderId="38" xfId="0" applyNumberFormat="1" applyFont="1" applyBorder="1" applyAlignment="1">
      <alignment horizontal="center"/>
    </xf>
    <xf numFmtId="0" fontId="20" fillId="0" borderId="31" xfId="0" applyFont="1" applyBorder="1" applyAlignment="1">
      <alignment horizontal="center"/>
    </xf>
    <xf numFmtId="0" fontId="20" fillId="0" borderId="4" xfId="0" applyFont="1" applyBorder="1"/>
    <xf numFmtId="0" fontId="20" fillId="0" borderId="0" xfId="0" applyFont="1" applyFill="1" applyBorder="1" applyAlignment="1">
      <alignment horizontal="center"/>
    </xf>
    <xf numFmtId="0" fontId="20" fillId="0" borderId="48" xfId="0" applyFont="1" applyBorder="1"/>
    <xf numFmtId="0" fontId="20" fillId="0" borderId="46" xfId="0" applyFont="1" applyBorder="1"/>
    <xf numFmtId="0" fontId="20" fillId="0" borderId="35" xfId="0" applyFont="1" applyBorder="1"/>
    <xf numFmtId="0" fontId="20" fillId="0" borderId="8" xfId="0" applyFont="1" applyBorder="1"/>
    <xf numFmtId="0" fontId="20" fillId="0" borderId="26" xfId="0" applyFont="1" applyBorder="1" applyAlignment="1">
      <alignment horizontal="center"/>
    </xf>
    <xf numFmtId="0" fontId="20" fillId="0" borderId="30" xfId="0" applyFont="1" applyBorder="1" applyAlignment="1">
      <alignment horizontal="center"/>
    </xf>
    <xf numFmtId="0" fontId="20" fillId="0" borderId="45" xfId="0" applyFont="1" applyBorder="1"/>
    <xf numFmtId="166" fontId="20" fillId="0" borderId="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right" vertical="center"/>
    </xf>
    <xf numFmtId="0" fontId="16" fillId="0" borderId="0" xfId="0" applyFont="1" applyAlignment="1">
      <alignment horizontal="center" vertical="center"/>
    </xf>
    <xf numFmtId="0" fontId="20" fillId="0" borderId="10" xfId="0" applyFont="1" applyBorder="1" applyAlignment="1">
      <alignment horizontal="center"/>
    </xf>
    <xf numFmtId="0" fontId="20" fillId="2" borderId="10" xfId="0" applyFont="1" applyFill="1" applyBorder="1" applyAlignment="1">
      <alignment horizontal="center" vertical="center"/>
    </xf>
    <xf numFmtId="0" fontId="20" fillId="2" borderId="41" xfId="0" applyFont="1" applyFill="1" applyBorder="1" applyAlignment="1">
      <alignment horizontal="center"/>
    </xf>
    <xf numFmtId="0" fontId="20" fillId="2" borderId="42" xfId="0" applyFont="1" applyFill="1" applyBorder="1" applyAlignment="1">
      <alignment horizontal="center"/>
    </xf>
    <xf numFmtId="0" fontId="20" fillId="0" borderId="40" xfId="0" applyFont="1" applyBorder="1" applyAlignment="1">
      <alignment horizontal="center"/>
    </xf>
    <xf numFmtId="2" fontId="17" fillId="0" borderId="36" xfId="0" applyNumberFormat="1" applyFont="1" applyBorder="1" applyAlignment="1">
      <alignment horizontal="center"/>
    </xf>
    <xf numFmtId="165" fontId="20" fillId="0" borderId="10" xfId="0" applyNumberFormat="1" applyFont="1" applyBorder="1" applyAlignment="1">
      <alignment horizontal="center"/>
    </xf>
    <xf numFmtId="0" fontId="20" fillId="0" borderId="27" xfId="0" applyFont="1" applyBorder="1" applyAlignment="1">
      <alignment horizontal="center"/>
    </xf>
    <xf numFmtId="0" fontId="20" fillId="0" borderId="31" xfId="0" applyFont="1" applyBorder="1"/>
    <xf numFmtId="0" fontId="20" fillId="0" borderId="32" xfId="0" applyFont="1" applyBorder="1"/>
    <xf numFmtId="166" fontId="20" fillId="0" borderId="26" xfId="0" applyNumberFormat="1" applyFont="1" applyBorder="1" applyAlignment="1">
      <alignment horizontal="center"/>
    </xf>
    <xf numFmtId="0" fontId="20" fillId="0" borderId="34" xfId="0" applyFont="1" applyBorder="1" applyAlignment="1">
      <alignment horizontal="center"/>
    </xf>
    <xf numFmtId="2" fontId="0" fillId="0" borderId="10" xfId="0" applyNumberFormat="1" applyBorder="1" applyAlignment="1">
      <alignment horizontal="center" vertical="center"/>
    </xf>
    <xf numFmtId="164" fontId="16" fillId="0" borderId="0" xfId="0" applyNumberFormat="1" applyFont="1" applyAlignment="1">
      <alignment horizontal="center"/>
    </xf>
    <xf numFmtId="0" fontId="20" fillId="0" borderId="10" xfId="0" quotePrefix="1" applyFont="1" applyBorder="1" applyAlignment="1">
      <alignment horizontal="center" vertical="center"/>
    </xf>
    <xf numFmtId="0" fontId="5" fillId="0" borderId="0" xfId="0" applyFont="1" applyBorder="1" applyAlignment="1">
      <alignment horizontal="center"/>
    </xf>
    <xf numFmtId="2" fontId="5" fillId="0" borderId="10" xfId="0" applyNumberFormat="1" applyFont="1" applyBorder="1" applyAlignment="1">
      <alignment horizontal="center"/>
    </xf>
    <xf numFmtId="0" fontId="20" fillId="2" borderId="25" xfId="0" applyFont="1" applyFill="1" applyBorder="1" applyAlignment="1">
      <alignment horizontal="center"/>
    </xf>
    <xf numFmtId="0" fontId="5" fillId="2" borderId="25" xfId="0" applyFont="1" applyFill="1" applyBorder="1" applyAlignment="1">
      <alignment horizontal="center"/>
    </xf>
    <xf numFmtId="0" fontId="5" fillId="0" borderId="50" xfId="0" applyFont="1" applyBorder="1"/>
    <xf numFmtId="0" fontId="5" fillId="0" borderId="50" xfId="0" applyFont="1" applyBorder="1" applyAlignment="1">
      <alignment horizontal="center"/>
    </xf>
    <xf numFmtId="0" fontId="20" fillId="2" borderId="49" xfId="0" applyFont="1" applyFill="1" applyBorder="1" applyAlignment="1">
      <alignment horizontal="center"/>
    </xf>
    <xf numFmtId="2" fontId="5" fillId="0" borderId="34" xfId="0" applyNumberFormat="1" applyFont="1" applyBorder="1" applyAlignment="1">
      <alignment horizontal="center"/>
    </xf>
    <xf numFmtId="0" fontId="5" fillId="0" borderId="51" xfId="0" applyFont="1" applyBorder="1"/>
    <xf numFmtId="0" fontId="5" fillId="0" borderId="52" xfId="0" applyFont="1" applyBorder="1" applyAlignment="1">
      <alignment horizontal="center"/>
    </xf>
    <xf numFmtId="2" fontId="17" fillId="0" borderId="37" xfId="0" applyNumberFormat="1" applyFont="1" applyBorder="1" applyAlignment="1">
      <alignment horizontal="center"/>
    </xf>
    <xf numFmtId="166" fontId="5" fillId="0" borderId="8" xfId="0" applyNumberFormat="1" applyFont="1" applyBorder="1" applyAlignment="1">
      <alignment horizontal="center"/>
    </xf>
    <xf numFmtId="0" fontId="5" fillId="0" borderId="39" xfId="0" applyFont="1" applyBorder="1" applyAlignment="1">
      <alignment horizontal="center"/>
    </xf>
    <xf numFmtId="0" fontId="5" fillId="0" borderId="10" xfId="0" applyFont="1" applyBorder="1"/>
    <xf numFmtId="0" fontId="20" fillId="0" borderId="38" xfId="0" applyFont="1" applyBorder="1"/>
    <xf numFmtId="0" fontId="20" fillId="0" borderId="47" xfId="0" applyFont="1" applyBorder="1"/>
    <xf numFmtId="0" fontId="20" fillId="0" borderId="53" xfId="0" applyFont="1" applyBorder="1" applyAlignment="1">
      <alignment horizontal="center"/>
    </xf>
    <xf numFmtId="166" fontId="20" fillId="0" borderId="53" xfId="0" applyNumberFormat="1" applyFont="1" applyBorder="1" applyAlignment="1">
      <alignment horizontal="center"/>
    </xf>
    <xf numFmtId="2" fontId="20" fillId="0" borderId="54" xfId="0" applyNumberFormat="1" applyFont="1" applyBorder="1" applyAlignment="1">
      <alignment horizontal="center"/>
    </xf>
    <xf numFmtId="0" fontId="20" fillId="0" borderId="54" xfId="0" applyFont="1" applyBorder="1" applyAlignment="1"/>
    <xf numFmtId="166" fontId="20" fillId="0" borderId="53" xfId="0" applyNumberFormat="1" applyFont="1" applyBorder="1" applyAlignment="1">
      <alignment horizontal="center" vertical="center"/>
    </xf>
    <xf numFmtId="0" fontId="20" fillId="0" borderId="53" xfId="0" applyFont="1" applyBorder="1" applyAlignment="1">
      <alignment horizontal="center" vertical="center"/>
    </xf>
    <xf numFmtId="2" fontId="20" fillId="0" borderId="53" xfId="0" applyNumberFormat="1" applyFont="1" applyBorder="1" applyAlignment="1">
      <alignment horizontal="center" vertical="center"/>
    </xf>
    <xf numFmtId="0" fontId="20" fillId="0" borderId="54" xfId="0" applyFont="1" applyBorder="1" applyAlignment="1">
      <alignment horizontal="center" vertical="center"/>
    </xf>
    <xf numFmtId="0" fontId="5" fillId="0" borderId="37" xfId="0" applyFont="1" applyBorder="1" applyAlignment="1">
      <alignment horizontal="center"/>
    </xf>
    <xf numFmtId="0" fontId="7" fillId="0" borderId="30" xfId="0" applyFont="1" applyBorder="1"/>
    <xf numFmtId="0" fontId="1" fillId="0" borderId="9" xfId="0" applyFont="1" applyBorder="1"/>
    <xf numFmtId="0" fontId="20" fillId="2" borderId="34" xfId="0" applyFont="1" applyFill="1" applyBorder="1" applyAlignment="1">
      <alignment horizontal="center" vertical="center"/>
    </xf>
    <xf numFmtId="0" fontId="20" fillId="0" borderId="9" xfId="0" applyFont="1" applyFill="1" applyBorder="1"/>
    <xf numFmtId="0" fontId="20" fillId="0" borderId="34" xfId="0" quotePrefix="1" applyFont="1" applyBorder="1" applyAlignment="1">
      <alignment horizontal="center" vertical="center"/>
    </xf>
    <xf numFmtId="0" fontId="20" fillId="0" borderId="9" xfId="0" applyFont="1" applyBorder="1"/>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0" fontId="0" fillId="0" borderId="33" xfId="0" applyBorder="1"/>
    <xf numFmtId="0" fontId="0" fillId="0" borderId="37" xfId="0" applyBorder="1"/>
    <xf numFmtId="0" fontId="20" fillId="0" borderId="55" xfId="0" applyFont="1" applyFill="1" applyBorder="1"/>
    <xf numFmtId="2" fontId="1" fillId="0" borderId="56" xfId="0" applyNumberFormat="1" applyFont="1" applyBorder="1" applyAlignment="1">
      <alignment horizontal="center"/>
    </xf>
    <xf numFmtId="2" fontId="1" fillId="0" borderId="57" xfId="0" applyNumberFormat="1" applyFont="1" applyBorder="1" applyAlignment="1">
      <alignment horizontal="center"/>
    </xf>
    <xf numFmtId="165" fontId="1" fillId="0" borderId="58" xfId="0" applyNumberFormat="1" applyFont="1" applyBorder="1" applyAlignment="1">
      <alignment horizontal="center"/>
    </xf>
    <xf numFmtId="0" fontId="0" fillId="0" borderId="0" xfId="0" applyFill="1" applyBorder="1" applyAlignment="1">
      <alignment vertical="center"/>
    </xf>
    <xf numFmtId="0" fontId="16" fillId="0" borderId="0" xfId="0" applyFont="1" applyBorder="1" applyAlignment="1">
      <alignment horizontal="center" vertical="center"/>
    </xf>
    <xf numFmtId="0" fontId="26" fillId="0" borderId="0" xfId="0" applyFont="1"/>
    <xf numFmtId="0" fontId="26" fillId="0" borderId="0" xfId="0" applyFont="1" applyAlignment="1">
      <alignment horizontal="right"/>
    </xf>
    <xf numFmtId="49" fontId="26" fillId="0" borderId="0" xfId="0" applyNumberFormat="1" applyFont="1" applyAlignment="1">
      <alignment horizontal="left"/>
    </xf>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5" fillId="0" borderId="0" xfId="0" applyFont="1" applyAlignment="1">
      <alignment horizontal="center"/>
    </xf>
    <xf numFmtId="166" fontId="27" fillId="0" borderId="10" xfId="0" applyNumberFormat="1" applyFont="1" applyBorder="1"/>
    <xf numFmtId="0" fontId="27" fillId="0" borderId="0" xfId="0" applyFont="1"/>
    <xf numFmtId="2" fontId="26" fillId="0" borderId="0" xfId="0" applyNumberFormat="1" applyFont="1"/>
    <xf numFmtId="0" fontId="26" fillId="0" borderId="10" xfId="0" applyFont="1" applyBorder="1" applyAlignment="1">
      <alignment horizontal="center" vertical="center" wrapText="1"/>
    </xf>
    <xf numFmtId="166" fontId="5" fillId="0" borderId="10" xfId="0" applyNumberFormat="1" applyFont="1" applyBorder="1" applyAlignment="1">
      <alignment horizontal="center"/>
    </xf>
    <xf numFmtId="9" fontId="5" fillId="3" borderId="10" xfId="0" applyNumberFormat="1" applyFont="1" applyFill="1" applyBorder="1" applyAlignment="1">
      <alignment horizontal="center"/>
    </xf>
    <xf numFmtId="0" fontId="5" fillId="0" borderId="10" xfId="0" applyFont="1" applyFill="1" applyBorder="1"/>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20" fillId="0" borderId="9" xfId="0" applyFont="1" applyBorder="1" applyAlignment="1">
      <alignment horizontal="left"/>
    </xf>
    <xf numFmtId="0" fontId="20" fillId="0" borderId="0" xfId="0" applyFont="1" applyAlignment="1">
      <alignment horizontal="left"/>
    </xf>
    <xf numFmtId="0" fontId="20" fillId="0" borderId="0" xfId="0" applyFont="1" applyAlignment="1">
      <alignment horizontal="right"/>
    </xf>
    <xf numFmtId="0" fontId="28" fillId="0" borderId="0" xfId="0" applyFont="1"/>
    <xf numFmtId="164" fontId="20" fillId="0" borderId="10" xfId="0" applyNumberFormat="1" applyFont="1" applyBorder="1" applyAlignment="1">
      <alignment horizontal="center"/>
    </xf>
    <xf numFmtId="0" fontId="20" fillId="0" borderId="0" xfId="0" applyFont="1" applyBorder="1" applyAlignment="1">
      <alignment horizontal="right"/>
    </xf>
    <xf numFmtId="0" fontId="26" fillId="0" borderId="0" xfId="0" applyFont="1" applyBorder="1" applyAlignment="1">
      <alignment horizontal="center" vertical="center" wrapText="1"/>
    </xf>
    <xf numFmtId="0" fontId="1"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xf>
    <xf numFmtId="0" fontId="33" fillId="0" borderId="0" xfId="0" applyFont="1" applyAlignment="1">
      <alignment vertical="center"/>
    </xf>
    <xf numFmtId="0" fontId="23" fillId="0" borderId="0" xfId="0" applyFont="1" applyBorder="1" applyAlignment="1">
      <alignment horizontal="center" vertical="center" wrapText="1"/>
    </xf>
    <xf numFmtId="0" fontId="20" fillId="0" borderId="0" xfId="0" applyFont="1" applyFill="1" applyBorder="1" applyAlignment="1">
      <alignment vertical="center"/>
    </xf>
    <xf numFmtId="0" fontId="2" fillId="0" borderId="0" xfId="0" applyFont="1" applyBorder="1" applyAlignment="1">
      <alignment vertical="center"/>
    </xf>
    <xf numFmtId="166" fontId="20" fillId="0" borderId="10" xfId="0" applyNumberFormat="1" applyFont="1" applyFill="1" applyBorder="1" applyAlignment="1">
      <alignment horizontal="center"/>
    </xf>
    <xf numFmtId="0" fontId="20" fillId="0" borderId="68" xfId="0" applyFont="1" applyBorder="1" applyAlignment="1"/>
    <xf numFmtId="0" fontId="20" fillId="0" borderId="65" xfId="0" applyFont="1" applyBorder="1" applyAlignment="1">
      <alignment horizontal="center"/>
    </xf>
    <xf numFmtId="0" fontId="0" fillId="0" borderId="35" xfId="0" applyBorder="1"/>
    <xf numFmtId="0" fontId="0" fillId="0" borderId="8" xfId="0" applyBorder="1"/>
    <xf numFmtId="0" fontId="0" fillId="0" borderId="39" xfId="0" applyBorder="1"/>
    <xf numFmtId="1" fontId="17" fillId="0" borderId="0" xfId="0" applyNumberFormat="1" applyFont="1" applyBorder="1" applyAlignment="1">
      <alignment horizontal="center"/>
    </xf>
    <xf numFmtId="1" fontId="17" fillId="0" borderId="37" xfId="0" applyNumberFormat="1" applyFont="1" applyBorder="1" applyAlignment="1">
      <alignment horizontal="center"/>
    </xf>
    <xf numFmtId="168" fontId="20" fillId="0" borderId="10" xfId="0" applyNumberFormat="1" applyFont="1" applyBorder="1" applyAlignment="1">
      <alignment horizontal="center"/>
    </xf>
    <xf numFmtId="164" fontId="17" fillId="0" borderId="0" xfId="0" applyNumberFormat="1" applyFont="1" applyBorder="1" applyAlignment="1">
      <alignment horizontal="center"/>
    </xf>
    <xf numFmtId="168" fontId="17" fillId="0" borderId="0" xfId="0" applyNumberFormat="1" applyFont="1" applyBorder="1" applyAlignment="1">
      <alignment horizontal="center"/>
    </xf>
    <xf numFmtId="0" fontId="11" fillId="0" borderId="0" xfId="0" applyFont="1" applyAlignment="1"/>
    <xf numFmtId="166" fontId="16" fillId="0" borderId="0" xfId="0" applyNumberFormat="1" applyFont="1" applyAlignment="1">
      <alignment horizontal="center" vertical="center"/>
    </xf>
    <xf numFmtId="0" fontId="20" fillId="0" borderId="59" xfId="0" applyFont="1" applyBorder="1"/>
    <xf numFmtId="0" fontId="23" fillId="0" borderId="66" xfId="0" applyFont="1" applyBorder="1" applyAlignment="1">
      <alignment horizontal="center" vertical="center"/>
    </xf>
    <xf numFmtId="0" fontId="20" fillId="0" borderId="61" xfId="0" applyFont="1" applyBorder="1"/>
    <xf numFmtId="0" fontId="23" fillId="0" borderId="67" xfId="0" applyFont="1" applyBorder="1" applyAlignment="1">
      <alignment horizontal="center" vertical="center"/>
    </xf>
    <xf numFmtId="0" fontId="20" fillId="0" borderId="27" xfId="0" applyFont="1" applyBorder="1"/>
    <xf numFmtId="0" fontId="20" fillId="0" borderId="13" xfId="0" applyFont="1" applyFill="1" applyBorder="1" applyAlignment="1">
      <alignment vertical="center"/>
    </xf>
    <xf numFmtId="0" fontId="20" fillId="0" borderId="60" xfId="0" applyFont="1" applyFill="1" applyBorder="1" applyAlignment="1">
      <alignment vertical="center"/>
    </xf>
    <xf numFmtId="0" fontId="20" fillId="0" borderId="62" xfId="0" applyFont="1" applyFill="1" applyBorder="1" applyAlignment="1">
      <alignment vertical="center"/>
    </xf>
    <xf numFmtId="0" fontId="16" fillId="0" borderId="10" xfId="0" applyFont="1" applyBorder="1"/>
    <xf numFmtId="166" fontId="16" fillId="0" borderId="10" xfId="0" applyNumberFormat="1" applyFont="1" applyFill="1" applyBorder="1"/>
    <xf numFmtId="2" fontId="5" fillId="0" borderId="0" xfId="0" applyNumberFormat="1" applyFont="1" applyBorder="1" applyAlignment="1">
      <alignment horizontal="center"/>
    </xf>
    <xf numFmtId="0" fontId="20" fillId="0" borderId="0" xfId="0" applyFont="1" applyBorder="1" applyAlignment="1">
      <alignment horizontal="left"/>
    </xf>
    <xf numFmtId="165" fontId="20" fillId="0" borderId="34" xfId="0" applyNumberFormat="1" applyFont="1" applyBorder="1" applyAlignment="1">
      <alignment horizontal="center"/>
    </xf>
    <xf numFmtId="0" fontId="20" fillId="0" borderId="68" xfId="0" applyFont="1" applyBorder="1" applyAlignment="1">
      <alignment horizontal="left"/>
    </xf>
    <xf numFmtId="0" fontId="9" fillId="0" borderId="0" xfId="0" applyFont="1" applyAlignment="1">
      <alignment horizontal="center"/>
    </xf>
    <xf numFmtId="0" fontId="13" fillId="0" borderId="0" xfId="0" applyFont="1" applyBorder="1" applyAlignment="1">
      <alignment horizontal="left" wrapText="1"/>
    </xf>
    <xf numFmtId="0" fontId="16" fillId="0" borderId="10" xfId="0" applyFont="1" applyBorder="1" applyAlignment="1">
      <alignment horizontal="center"/>
    </xf>
    <xf numFmtId="0" fontId="20" fillId="0" borderId="0" xfId="0" applyFont="1" applyFill="1" applyBorder="1" applyAlignment="1">
      <alignment horizontal="center" vertical="center"/>
    </xf>
    <xf numFmtId="0" fontId="23" fillId="0" borderId="10" xfId="0" applyFont="1" applyBorder="1" applyAlignment="1">
      <alignment horizontal="center"/>
    </xf>
    <xf numFmtId="0" fontId="5" fillId="0" borderId="46" xfId="0" applyFont="1" applyBorder="1" applyAlignment="1">
      <alignment horizontal="center"/>
    </xf>
    <xf numFmtId="0" fontId="5" fillId="0" borderId="71" xfId="0" applyFont="1" applyBorder="1" applyAlignment="1">
      <alignment horizontal="center"/>
    </xf>
    <xf numFmtId="0" fontId="5" fillId="2" borderId="0" xfId="0" applyFont="1" applyFill="1" applyBorder="1" applyAlignment="1">
      <alignment horizontal="center"/>
    </xf>
    <xf numFmtId="0" fontId="16" fillId="0" borderId="0" xfId="0" applyFont="1" applyBorder="1" applyAlignment="1">
      <alignment horizontal="center"/>
    </xf>
    <xf numFmtId="165" fontId="20" fillId="0" borderId="0" xfId="0" applyNumberFormat="1" applyFont="1" applyBorder="1" applyAlignment="1">
      <alignment horizontal="center"/>
    </xf>
    <xf numFmtId="0" fontId="20" fillId="2" borderId="65" xfId="0" applyFont="1" applyFill="1" applyBorder="1" applyAlignment="1">
      <alignment horizontal="center"/>
    </xf>
    <xf numFmtId="0" fontId="0" fillId="0" borderId="62" xfId="0" applyBorder="1" applyAlignment="1">
      <alignment horizontal="center"/>
    </xf>
    <xf numFmtId="0" fontId="20" fillId="0" borderId="10" xfId="0" applyFont="1" applyFill="1" applyBorder="1" applyAlignment="1">
      <alignment horizontal="center" vertical="center"/>
    </xf>
    <xf numFmtId="0" fontId="20" fillId="0" borderId="25" xfId="0" applyFont="1" applyFill="1" applyBorder="1" applyAlignment="1">
      <alignment vertical="center"/>
    </xf>
    <xf numFmtId="0" fontId="1" fillId="0" borderId="10" xfId="0" applyFont="1" applyFill="1" applyBorder="1" applyAlignment="1">
      <alignment horizontal="center" vertical="center"/>
    </xf>
    <xf numFmtId="0" fontId="13" fillId="0" borderId="10" xfId="0" applyFont="1" applyBorder="1" applyAlignment="1">
      <alignment horizontal="center"/>
    </xf>
    <xf numFmtId="0" fontId="0" fillId="0" borderId="29" xfId="0" applyBorder="1" applyAlignment="1">
      <alignment horizontal="center"/>
    </xf>
    <xf numFmtId="0" fontId="20" fillId="2" borderId="34" xfId="0" applyFont="1" applyFill="1" applyBorder="1" applyAlignment="1">
      <alignment horizontal="center"/>
    </xf>
    <xf numFmtId="0" fontId="20" fillId="0" borderId="33" xfId="0" applyFont="1" applyFill="1" applyBorder="1" applyAlignment="1">
      <alignment horizontal="center" vertical="center"/>
    </xf>
    <xf numFmtId="2" fontId="5" fillId="0" borderId="37" xfId="0" applyNumberFormat="1" applyFont="1" applyBorder="1" applyAlignment="1">
      <alignment horizontal="center"/>
    </xf>
    <xf numFmtId="0" fontId="20" fillId="0" borderId="33" xfId="0" applyFont="1" applyFill="1" applyBorder="1" applyAlignment="1">
      <alignment vertical="center"/>
    </xf>
    <xf numFmtId="0" fontId="5" fillId="0" borderId="48" xfId="0" applyFont="1" applyBorder="1" applyAlignment="1">
      <alignment horizontal="center"/>
    </xf>
    <xf numFmtId="0" fontId="5" fillId="0" borderId="33" xfId="0" applyFont="1" applyBorder="1" applyAlignment="1">
      <alignment horizontal="center"/>
    </xf>
    <xf numFmtId="0" fontId="12" fillId="0" borderId="33" xfId="0" applyFont="1" applyBorder="1"/>
    <xf numFmtId="0" fontId="13" fillId="0" borderId="35" xfId="0" applyFont="1" applyBorder="1"/>
    <xf numFmtId="166" fontId="5" fillId="0" borderId="34" xfId="0" applyNumberFormat="1" applyFont="1" applyBorder="1" applyAlignment="1">
      <alignment horizontal="center"/>
    </xf>
    <xf numFmtId="0" fontId="3" fillId="0" borderId="0" xfId="0" applyFont="1" applyFill="1" applyBorder="1" applyAlignment="1">
      <alignment horizontal="center" vertical="center"/>
    </xf>
    <xf numFmtId="0" fontId="20" fillId="0" borderId="34" xfId="0" applyFont="1" applyBorder="1" applyAlignment="1">
      <alignment horizontal="center"/>
    </xf>
    <xf numFmtId="0" fontId="1" fillId="0" borderId="33" xfId="0" applyFont="1" applyBorder="1"/>
    <xf numFmtId="0" fontId="20" fillId="0" borderId="25" xfId="0" applyFont="1" applyFill="1" applyBorder="1" applyAlignment="1">
      <alignment horizontal="center" vertical="center"/>
    </xf>
    <xf numFmtId="0" fontId="20" fillId="0" borderId="10" xfId="0" applyFont="1" applyBorder="1" applyAlignment="1">
      <alignment horizontal="center" wrapText="1"/>
    </xf>
    <xf numFmtId="0" fontId="20" fillId="0" borderId="10" xfId="0" applyFont="1" applyFill="1" applyBorder="1" applyAlignment="1">
      <alignment horizontal="center" wrapText="1"/>
    </xf>
    <xf numFmtId="2" fontId="1" fillId="0" borderId="10" xfId="0" applyNumberFormat="1" applyFont="1" applyBorder="1" applyAlignment="1">
      <alignment horizontal="center"/>
    </xf>
    <xf numFmtId="2" fontId="26" fillId="0" borderId="10" xfId="0" applyNumberFormat="1" applyFont="1" applyBorder="1" applyAlignment="1">
      <alignment horizontal="center"/>
    </xf>
    <xf numFmtId="2" fontId="26" fillId="0" borderId="0" xfId="0" applyNumberFormat="1" applyFont="1" applyBorder="1"/>
    <xf numFmtId="0" fontId="1" fillId="0" borderId="10" xfId="0" applyFont="1" applyBorder="1" applyAlignment="1">
      <alignment horizontal="center"/>
    </xf>
    <xf numFmtId="164" fontId="0" fillId="0" borderId="10" xfId="0" applyNumberFormat="1" applyBorder="1" applyAlignment="1">
      <alignment horizontal="center" vertical="center"/>
    </xf>
    <xf numFmtId="168" fontId="26" fillId="0" borderId="10" xfId="0" applyNumberFormat="1" applyFont="1" applyBorder="1" applyAlignment="1">
      <alignment horizontal="center"/>
    </xf>
    <xf numFmtId="0" fontId="23" fillId="0" borderId="10" xfId="0" applyFont="1" applyBorder="1" applyAlignment="1">
      <alignment horizontal="center"/>
    </xf>
    <xf numFmtId="0" fontId="20" fillId="0" borderId="0" xfId="0" applyFont="1" applyFill="1" applyBorder="1"/>
    <xf numFmtId="0" fontId="11" fillId="0" borderId="0" xfId="0" applyFont="1" applyBorder="1"/>
    <xf numFmtId="0" fontId="23" fillId="0" borderId="0" xfId="0" applyFont="1" applyBorder="1"/>
    <xf numFmtId="0" fontId="23" fillId="0" borderId="10" xfId="0" applyFont="1" applyBorder="1" applyAlignment="1">
      <alignment horizontal="center" vertical="center" wrapText="1"/>
    </xf>
    <xf numFmtId="0" fontId="1" fillId="0" borderId="60" xfId="0" applyFont="1" applyFill="1" applyBorder="1" applyAlignment="1">
      <alignment vertical="center"/>
    </xf>
    <xf numFmtId="0" fontId="20" fillId="0" borderId="10" xfId="0" applyFont="1" applyFill="1" applyBorder="1" applyAlignment="1">
      <alignment horizontal="right" vertical="center"/>
    </xf>
    <xf numFmtId="0" fontId="20" fillId="0" borderId="0" xfId="0" applyFont="1" applyFill="1" applyBorder="1" applyAlignment="1">
      <alignment horizontal="right" vertical="center"/>
    </xf>
    <xf numFmtId="0" fontId="1" fillId="0" borderId="10" xfId="0" applyFont="1" applyFill="1" applyBorder="1" applyAlignment="1">
      <alignment vertical="center"/>
    </xf>
    <xf numFmtId="0" fontId="1" fillId="0" borderId="66" xfId="0" applyFont="1" applyFill="1" applyBorder="1" applyAlignment="1">
      <alignment horizontal="center" vertical="center"/>
    </xf>
    <xf numFmtId="0" fontId="20" fillId="0" borderId="10" xfId="0" applyFont="1" applyFill="1" applyBorder="1" applyAlignment="1">
      <alignmen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3" fillId="0" borderId="66" xfId="0" applyFont="1" applyFill="1" applyBorder="1" applyAlignment="1">
      <alignment horizontal="center" vertical="center"/>
    </xf>
    <xf numFmtId="0" fontId="20" fillId="0" borderId="66" xfId="0" applyFont="1" applyFill="1" applyBorder="1" applyAlignment="1">
      <alignment vertical="center"/>
    </xf>
    <xf numFmtId="0" fontId="0" fillId="0" borderId="66" xfId="0" applyFill="1" applyBorder="1" applyAlignment="1">
      <alignment vertical="center"/>
    </xf>
    <xf numFmtId="0" fontId="23" fillId="0" borderId="66" xfId="0" applyFont="1" applyFill="1" applyBorder="1" applyAlignment="1">
      <alignment horizontal="center" vertical="center"/>
    </xf>
    <xf numFmtId="0" fontId="23" fillId="0" borderId="60" xfId="0" applyFont="1" applyFill="1" applyBorder="1" applyAlignment="1">
      <alignment horizontal="center" vertical="center" wrapText="1"/>
    </xf>
    <xf numFmtId="0" fontId="20" fillId="0" borderId="27" xfId="0" applyFont="1" applyFill="1" applyBorder="1" applyAlignment="1">
      <alignment horizontal="righ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0" fillId="0" borderId="13" xfId="0" applyFill="1" applyBorder="1" applyAlignment="1">
      <alignment vertical="center"/>
    </xf>
    <xf numFmtId="164" fontId="3" fillId="0" borderId="0" xfId="0" applyNumberFormat="1" applyFont="1" applyFill="1" applyBorder="1" applyAlignment="1">
      <alignment horizontal="center" vertical="center"/>
    </xf>
    <xf numFmtId="0" fontId="5" fillId="0" borderId="13" xfId="0" applyFont="1" applyFill="1" applyBorder="1" applyAlignment="1">
      <alignment vertical="center"/>
    </xf>
    <xf numFmtId="0" fontId="20" fillId="0" borderId="61" xfId="0" applyFont="1" applyFill="1" applyBorder="1" applyAlignment="1">
      <alignment horizontal="right" vertical="center"/>
    </xf>
    <xf numFmtId="0" fontId="3" fillId="0" borderId="67" xfId="0" applyFont="1" applyFill="1" applyBorder="1" applyAlignment="1">
      <alignment horizontal="center" vertical="center"/>
    </xf>
    <xf numFmtId="0" fontId="20" fillId="0" borderId="67" xfId="0" applyFont="1" applyFill="1" applyBorder="1" applyAlignment="1">
      <alignment vertical="center"/>
    </xf>
    <xf numFmtId="0" fontId="0" fillId="0" borderId="67" xfId="0" applyFill="1" applyBorder="1" applyAlignment="1">
      <alignment vertical="center"/>
    </xf>
    <xf numFmtId="0" fontId="1" fillId="0" borderId="0" xfId="0" applyFont="1" applyFill="1" applyBorder="1" applyAlignment="1">
      <alignment horizontal="right" vertical="center"/>
    </xf>
    <xf numFmtId="0" fontId="20" fillId="0" borderId="0" xfId="0" applyFont="1" applyFill="1" applyBorder="1" applyAlignment="1">
      <alignment vertical="center" wrapText="1"/>
    </xf>
    <xf numFmtId="0" fontId="0" fillId="0" borderId="0" xfId="0" applyFont="1" applyFill="1" applyBorder="1" applyAlignment="1">
      <alignment vertical="center" wrapText="1"/>
    </xf>
    <xf numFmtId="0" fontId="23"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3" fillId="4" borderId="10" xfId="0" applyFont="1" applyFill="1" applyBorder="1" applyAlignment="1">
      <alignment horizontal="center"/>
    </xf>
    <xf numFmtId="0" fontId="9" fillId="0" borderId="0" xfId="0" applyFont="1" applyAlignment="1">
      <alignment horizontal="center"/>
    </xf>
    <xf numFmtId="0" fontId="20" fillId="0" borderId="0" xfId="0" applyFont="1" applyFill="1" applyBorder="1" applyAlignment="1">
      <alignment horizontal="center" vertical="center"/>
    </xf>
    <xf numFmtId="0" fontId="16" fillId="0" borderId="0" xfId="0" applyFont="1" applyBorder="1"/>
    <xf numFmtId="167" fontId="16" fillId="0" borderId="0" xfId="0" applyNumberFormat="1" applyFont="1" applyBorder="1"/>
    <xf numFmtId="0" fontId="18" fillId="0" borderId="0" xfId="0" applyFont="1" applyBorder="1"/>
    <xf numFmtId="11" fontId="5" fillId="0" borderId="0" xfId="0" applyNumberFormat="1" applyFont="1" applyBorder="1" applyAlignment="1">
      <alignment horizontal="center"/>
    </xf>
    <xf numFmtId="166" fontId="5" fillId="0" borderId="0" xfId="0" applyNumberFormat="1" applyFont="1" applyBorder="1" applyAlignment="1">
      <alignment horizontal="center"/>
    </xf>
    <xf numFmtId="0" fontId="9" fillId="0" borderId="0" xfId="0" applyFont="1" applyAlignment="1">
      <alignment horizontal="center"/>
    </xf>
    <xf numFmtId="14" fontId="0" fillId="0" borderId="0" xfId="0" applyNumberFormat="1" applyAlignment="1">
      <alignment horizontal="center"/>
    </xf>
    <xf numFmtId="0" fontId="0" fillId="0" borderId="0" xfId="0" applyAlignment="1">
      <alignment horizontal="left" vertical="center" wrapText="1"/>
    </xf>
    <xf numFmtId="0" fontId="20" fillId="0" borderId="0" xfId="0" applyFont="1" applyAlignment="1">
      <alignment horizontal="left" vertical="center"/>
    </xf>
    <xf numFmtId="0" fontId="11" fillId="0" borderId="0" xfId="0" applyFont="1" applyAlignment="1">
      <alignment horizontal="left" vertical="center" wrapText="1"/>
    </xf>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2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5" fillId="0" borderId="9" xfId="0" applyFont="1" applyBorder="1"/>
    <xf numFmtId="0" fontId="20" fillId="0" borderId="0" xfId="0" applyFont="1" applyAlignment="1">
      <alignment horizontal="left" vertical="center"/>
    </xf>
    <xf numFmtId="0" fontId="1" fillId="0" borderId="10" xfId="0" applyFont="1" applyFill="1" applyBorder="1" applyAlignment="1">
      <alignment horizontal="left" vertical="center" wrapText="1"/>
    </xf>
    <xf numFmtId="0" fontId="29" fillId="0" borderId="10" xfId="0" applyFont="1" applyFill="1" applyBorder="1" applyAlignment="1">
      <alignment horizontal="center" vertical="center"/>
    </xf>
    <xf numFmtId="0" fontId="23" fillId="0" borderId="0" xfId="0" applyFont="1" applyBorder="1" applyAlignment="1">
      <alignment horizontal="center" vertical="center" wrapText="1"/>
    </xf>
    <xf numFmtId="0" fontId="23" fillId="0" borderId="12" xfId="0" applyFont="1" applyFill="1" applyBorder="1" applyAlignment="1">
      <alignment horizontal="center" vertical="center"/>
    </xf>
    <xf numFmtId="0" fontId="23" fillId="0" borderId="27"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NumberFormat="1" applyFont="1" applyAlignment="1">
      <alignment horizontal="left" vertical="center" wrapText="1"/>
    </xf>
    <xf numFmtId="0" fontId="20" fillId="0" borderId="1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9" fillId="0" borderId="0" xfId="0" applyFont="1" applyAlignment="1">
      <alignment horizontal="center"/>
    </xf>
    <xf numFmtId="0" fontId="3" fillId="0" borderId="0" xfId="0" applyFont="1" applyAlignment="1">
      <alignment horizontal="center" vertical="center" wrapText="1"/>
    </xf>
    <xf numFmtId="0" fontId="20" fillId="0" borderId="0" xfId="0" applyFont="1" applyAlignment="1">
      <alignment horizontal="left" vertical="center" wrapText="1"/>
    </xf>
    <xf numFmtId="0" fontId="11" fillId="0" borderId="0" xfId="0" applyFont="1" applyAlignment="1">
      <alignment horizontal="left" vertical="center" wrapText="1"/>
    </xf>
    <xf numFmtId="14" fontId="0" fillId="0" borderId="0" xfId="0" applyNumberFormat="1" applyAlignment="1">
      <alignment horizontal="center"/>
    </xf>
    <xf numFmtId="0" fontId="23" fillId="0" borderId="0" xfId="0" applyFont="1" applyAlignment="1">
      <alignment horizontal="left" vertical="top" wrapText="1"/>
    </xf>
    <xf numFmtId="0" fontId="1"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3" fillId="0" borderId="10" xfId="0" applyFont="1" applyBorder="1" applyAlignment="1">
      <alignment horizontal="center"/>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0" fillId="0" borderId="42" xfId="0" applyFont="1"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14" fontId="25" fillId="0" borderId="30" xfId="0" applyNumberFormat="1" applyFont="1" applyBorder="1" applyAlignment="1">
      <alignment horizontal="center" vertical="top" wrapText="1"/>
    </xf>
    <xf numFmtId="14" fontId="25" fillId="0" borderId="31" xfId="0" applyNumberFormat="1" applyFont="1" applyBorder="1" applyAlignment="1">
      <alignment horizontal="center" vertical="top" wrapText="1"/>
    </xf>
    <xf numFmtId="14" fontId="25" fillId="0" borderId="32" xfId="0" applyNumberFormat="1" applyFont="1" applyBorder="1" applyAlignment="1">
      <alignment horizontal="center" vertical="top" wrapText="1"/>
    </xf>
    <xf numFmtId="0" fontId="20" fillId="0" borderId="0" xfId="0" applyFont="1" applyBorder="1" applyAlignment="1">
      <alignment horizontal="left" wrapText="1"/>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3" fillId="0" borderId="0" xfId="0" applyFont="1" applyBorder="1" applyAlignment="1">
      <alignment horizontal="left" wrapText="1"/>
    </xf>
    <xf numFmtId="0" fontId="13" fillId="0" borderId="10" xfId="0" applyFont="1" applyBorder="1" applyAlignment="1">
      <alignment horizontal="center"/>
    </xf>
    <xf numFmtId="0" fontId="13" fillId="0" borderId="34" xfId="0" applyFont="1" applyBorder="1" applyAlignment="1">
      <alignment horizont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9" xfId="0" applyFont="1" applyBorder="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2" fillId="0" borderId="41" xfId="0" applyFont="1" applyBorder="1" applyAlignment="1">
      <alignment horizontal="center"/>
    </xf>
    <xf numFmtId="0" fontId="12" fillId="0" borderId="42" xfId="0" applyFont="1" applyBorder="1" applyAlignment="1">
      <alignment horizontal="center"/>
    </xf>
    <xf numFmtId="0" fontId="13" fillId="0" borderId="42" xfId="0" applyFont="1" applyBorder="1" applyAlignment="1">
      <alignment horizontal="center"/>
    </xf>
    <xf numFmtId="0" fontId="13" fillId="0" borderId="40" xfId="0" applyFont="1" applyBorder="1" applyAlignment="1">
      <alignment horizontal="center"/>
    </xf>
    <xf numFmtId="0" fontId="20" fillId="0" borderId="0" xfId="0" applyFont="1" applyAlignment="1">
      <alignment horizontal="right" vertical="top"/>
    </xf>
    <xf numFmtId="0" fontId="20" fillId="0" borderId="64" xfId="0" applyFont="1" applyBorder="1" applyAlignment="1">
      <alignment horizontal="left"/>
    </xf>
    <xf numFmtId="0" fontId="20" fillId="0" borderId="65" xfId="0" applyFont="1" applyBorder="1" applyAlignment="1">
      <alignment horizontal="left"/>
    </xf>
    <xf numFmtId="0" fontId="20" fillId="0" borderId="10" xfId="0" applyFont="1" applyBorder="1" applyAlignment="1">
      <alignment horizontal="left"/>
    </xf>
    <xf numFmtId="0" fontId="13" fillId="0" borderId="69" xfId="0" applyFont="1" applyBorder="1" applyAlignment="1">
      <alignment horizontal="center"/>
    </xf>
    <xf numFmtId="0" fontId="13" fillId="0" borderId="70" xfId="0" applyFont="1" applyBorder="1" applyAlignment="1">
      <alignment horizontal="center"/>
    </xf>
    <xf numFmtId="0" fontId="20" fillId="0" borderId="0" xfId="0" applyFont="1" applyAlignment="1">
      <alignment horizontal="left"/>
    </xf>
    <xf numFmtId="0" fontId="20" fillId="0" borderId="63" xfId="0" applyFont="1" applyBorder="1" applyAlignment="1">
      <alignment horizontal="right"/>
    </xf>
    <xf numFmtId="0" fontId="20" fillId="0" borderId="65" xfId="0" applyFont="1" applyBorder="1" applyAlignment="1">
      <alignment horizontal="right"/>
    </xf>
    <xf numFmtId="2" fontId="1" fillId="0" borderId="10" xfId="0" applyNumberFormat="1" applyFont="1" applyBorder="1" applyAlignment="1">
      <alignment horizontal="center"/>
    </xf>
    <xf numFmtId="2" fontId="26" fillId="0" borderId="10" xfId="0" applyNumberFormat="1" applyFont="1" applyBorder="1" applyAlignment="1">
      <alignment horizontal="center"/>
    </xf>
    <xf numFmtId="0" fontId="20" fillId="0" borderId="72" xfId="0" applyFont="1" applyBorder="1" applyAlignment="1">
      <alignment horizontal="center"/>
    </xf>
    <xf numFmtId="0" fontId="20" fillId="0" borderId="70" xfId="0" applyFont="1" applyBorder="1" applyAlignment="1">
      <alignment horizontal="center"/>
    </xf>
  </cellXfs>
  <cellStyles count="12">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N67"/>
  <sheetViews>
    <sheetView tabSelected="1" workbookViewId="0">
      <selection activeCell="A3" sqref="A3:H3"/>
    </sheetView>
  </sheetViews>
  <sheetFormatPr defaultColWidth="8.7109375" defaultRowHeight="12.75" x14ac:dyDescent="0.2"/>
  <cols>
    <col min="1" max="1" width="12" customWidth="1"/>
    <col min="2" max="2" width="52.28515625" customWidth="1"/>
    <col min="3" max="3" width="12.140625" bestFit="1" customWidth="1"/>
    <col min="4" max="4" width="12.140625" customWidth="1"/>
    <col min="5" max="5" width="13.42578125" customWidth="1"/>
    <col min="6" max="6" width="15" customWidth="1"/>
    <col min="7" max="7" width="14.85546875" customWidth="1"/>
    <col min="8" max="8" width="14.7109375" customWidth="1"/>
    <col min="9" max="9" width="12.42578125" customWidth="1"/>
    <col min="10" max="10" width="18.42578125" customWidth="1"/>
    <col min="11" max="11" width="11.140625" customWidth="1"/>
    <col min="14" max="14" width="0" hidden="1" customWidth="1"/>
  </cols>
  <sheetData>
    <row r="1" spans="1:12" ht="20.25" x14ac:dyDescent="0.3">
      <c r="A1" s="341" t="s">
        <v>241</v>
      </c>
      <c r="B1" s="341"/>
      <c r="C1" s="341"/>
      <c r="D1" s="341"/>
      <c r="E1" s="341"/>
      <c r="F1" s="341"/>
      <c r="G1" s="341"/>
      <c r="H1" s="341"/>
      <c r="I1" s="318"/>
      <c r="J1" s="318"/>
      <c r="K1" s="318"/>
    </row>
    <row r="2" spans="1:12" x14ac:dyDescent="0.2">
      <c r="A2" s="345">
        <v>43242</v>
      </c>
      <c r="B2" s="345"/>
      <c r="C2" s="345"/>
      <c r="D2" s="345"/>
      <c r="E2" s="345"/>
      <c r="F2" s="345"/>
      <c r="G2" s="345"/>
      <c r="H2" s="345"/>
      <c r="I2" s="345"/>
      <c r="J2" s="345"/>
      <c r="K2" s="319"/>
      <c r="L2" s="319"/>
    </row>
    <row r="3" spans="1:12" ht="42.75" customHeight="1" x14ac:dyDescent="0.2">
      <c r="A3" s="342" t="s">
        <v>246</v>
      </c>
      <c r="B3" s="342"/>
      <c r="C3" s="342"/>
      <c r="D3" s="342"/>
      <c r="E3" s="342"/>
      <c r="F3" s="342"/>
      <c r="G3" s="342"/>
      <c r="H3" s="342"/>
      <c r="I3" s="326"/>
      <c r="J3" s="326"/>
      <c r="K3" s="326"/>
    </row>
    <row r="4" spans="1:12" ht="15" customHeight="1" x14ac:dyDescent="0.2">
      <c r="A4" s="327"/>
      <c r="B4" s="327"/>
      <c r="C4" s="327"/>
      <c r="D4" s="327"/>
      <c r="E4" s="327"/>
      <c r="F4" s="327"/>
      <c r="G4" s="327"/>
      <c r="H4" s="327"/>
      <c r="I4" s="327"/>
      <c r="J4" s="327"/>
      <c r="K4" s="327"/>
    </row>
    <row r="5" spans="1:12" ht="93.75" customHeight="1" x14ac:dyDescent="0.2">
      <c r="A5" s="346" t="s">
        <v>247</v>
      </c>
      <c r="B5" s="346"/>
      <c r="C5" s="346"/>
      <c r="D5" s="346"/>
      <c r="E5" s="346"/>
      <c r="F5" s="346"/>
      <c r="G5" s="346"/>
      <c r="H5" s="346"/>
    </row>
    <row r="6" spans="1:12" s="94" customFormat="1" ht="36" customHeight="1" x14ac:dyDescent="0.2">
      <c r="A6" s="95" t="s">
        <v>245</v>
      </c>
      <c r="B6" s="343" t="s">
        <v>140</v>
      </c>
      <c r="C6" s="343"/>
      <c r="D6" s="343"/>
      <c r="E6" s="343"/>
      <c r="F6" s="343"/>
      <c r="G6" s="343"/>
      <c r="H6" s="343"/>
      <c r="I6" s="320"/>
      <c r="J6" s="320"/>
      <c r="K6" s="320"/>
    </row>
    <row r="7" spans="1:12" s="94" customFormat="1" ht="51" customHeight="1" x14ac:dyDescent="0.2">
      <c r="B7" s="344" t="s">
        <v>226</v>
      </c>
      <c r="C7" s="344"/>
      <c r="D7" s="344"/>
      <c r="E7" s="344"/>
      <c r="F7" s="344"/>
      <c r="G7" s="344"/>
      <c r="H7" s="344"/>
      <c r="I7" s="322"/>
      <c r="J7" s="322"/>
      <c r="K7" s="322"/>
    </row>
    <row r="8" spans="1:12" s="94" customFormat="1" ht="15" customHeight="1" x14ac:dyDescent="0.2">
      <c r="B8" s="329" t="s">
        <v>79</v>
      </c>
      <c r="C8" s="329"/>
      <c r="D8" s="329"/>
      <c r="E8" s="329"/>
      <c r="F8" s="329"/>
      <c r="G8" s="329"/>
      <c r="H8" s="329"/>
      <c r="I8" s="321"/>
      <c r="J8" s="321"/>
      <c r="K8" s="321"/>
    </row>
    <row r="9" spans="1:12" s="94" customFormat="1" ht="15" customHeight="1" x14ac:dyDescent="0.2">
      <c r="B9" s="336" t="s">
        <v>52</v>
      </c>
      <c r="C9" s="336"/>
      <c r="D9" s="336"/>
      <c r="E9" s="336"/>
      <c r="F9" s="336"/>
      <c r="G9" s="336"/>
      <c r="H9" s="336"/>
      <c r="I9" s="323"/>
      <c r="J9" s="323"/>
      <c r="K9" s="323"/>
    </row>
    <row r="10" spans="1:12" s="94" customFormat="1" ht="15" customHeight="1" x14ac:dyDescent="0.2">
      <c r="B10" s="336" t="s">
        <v>53</v>
      </c>
      <c r="C10" s="339"/>
      <c r="D10" s="339"/>
      <c r="E10" s="339"/>
      <c r="F10" s="339"/>
      <c r="G10" s="339"/>
      <c r="H10" s="339"/>
      <c r="I10" s="339"/>
      <c r="J10" s="339"/>
      <c r="K10" s="339"/>
    </row>
    <row r="11" spans="1:12" ht="25.35" customHeight="1" x14ac:dyDescent="0.2">
      <c r="B11" s="336" t="s">
        <v>67</v>
      </c>
      <c r="C11" s="336"/>
      <c r="D11" s="336"/>
      <c r="E11" s="336"/>
      <c r="F11" s="336"/>
      <c r="G11" s="336"/>
      <c r="H11" s="336"/>
      <c r="I11" s="324"/>
      <c r="J11" s="324"/>
      <c r="K11" s="324"/>
    </row>
    <row r="12" spans="1:12" ht="25.35" customHeight="1" x14ac:dyDescent="0.2">
      <c r="B12" s="195"/>
      <c r="C12" s="196"/>
      <c r="D12" s="196"/>
      <c r="E12" s="196"/>
      <c r="F12" s="196"/>
      <c r="G12" s="196"/>
      <c r="H12" s="196"/>
      <c r="I12" s="196"/>
      <c r="J12" s="196"/>
      <c r="K12" s="196"/>
    </row>
    <row r="13" spans="1:12" ht="12.75" customHeight="1" x14ac:dyDescent="0.2">
      <c r="A13" s="340" t="s">
        <v>2</v>
      </c>
      <c r="B13" s="340"/>
      <c r="C13" s="7"/>
      <c r="D13" s="7"/>
      <c r="E13" s="7"/>
      <c r="F13" s="101"/>
      <c r="G13" s="101"/>
      <c r="H13" s="204"/>
      <c r="I13" s="204"/>
      <c r="J13" s="204"/>
      <c r="K13" s="7"/>
      <c r="L13" s="7"/>
    </row>
    <row r="14" spans="1:12" ht="18" customHeight="1" x14ac:dyDescent="0.2">
      <c r="A14" s="207"/>
      <c r="B14" s="284" t="s">
        <v>138</v>
      </c>
      <c r="C14" s="285" t="s">
        <v>191</v>
      </c>
      <c r="D14" s="252" t="s">
        <v>190</v>
      </c>
      <c r="E14" s="281"/>
      <c r="F14" s="337"/>
      <c r="G14" s="338"/>
      <c r="H14" s="90"/>
      <c r="I14" s="90"/>
      <c r="J14" s="122"/>
    </row>
    <row r="15" spans="1:12" x14ac:dyDescent="0.2">
      <c r="A15" s="94"/>
      <c r="B15" s="282" t="s">
        <v>210</v>
      </c>
      <c r="C15" s="308"/>
      <c r="D15" s="250" t="s">
        <v>143</v>
      </c>
      <c r="E15" s="286" t="s">
        <v>21</v>
      </c>
      <c r="F15" s="333"/>
      <c r="G15" s="334"/>
      <c r="H15" s="205"/>
      <c r="I15" s="205"/>
      <c r="J15" s="206"/>
    </row>
    <row r="16" spans="1:12" x14ac:dyDescent="0.2">
      <c r="A16" s="94"/>
      <c r="B16" s="282" t="s">
        <v>211</v>
      </c>
      <c r="C16" s="308"/>
      <c r="D16" s="250" t="s">
        <v>143</v>
      </c>
      <c r="E16" s="286" t="s">
        <v>21</v>
      </c>
      <c r="F16" s="333"/>
      <c r="G16" s="334"/>
      <c r="H16" s="205"/>
      <c r="I16" s="205"/>
      <c r="J16" s="206"/>
    </row>
    <row r="17" spans="1:14" x14ac:dyDescent="0.2">
      <c r="A17" s="94"/>
      <c r="B17" s="282" t="s">
        <v>83</v>
      </c>
      <c r="C17" s="308"/>
      <c r="D17" s="250" t="s">
        <v>143</v>
      </c>
      <c r="E17" s="286" t="s">
        <v>21</v>
      </c>
      <c r="F17" s="333"/>
      <c r="G17" s="334"/>
      <c r="H17" s="205"/>
      <c r="I17" s="205"/>
      <c r="J17" s="206"/>
    </row>
    <row r="18" spans="1:14" x14ac:dyDescent="0.2">
      <c r="A18" s="94"/>
      <c r="B18" s="282" t="s">
        <v>137</v>
      </c>
      <c r="C18" s="308"/>
      <c r="D18" s="250" t="s">
        <v>143</v>
      </c>
      <c r="E18" s="286" t="s">
        <v>21</v>
      </c>
      <c r="F18" s="333"/>
      <c r="G18" s="334"/>
      <c r="H18" s="205"/>
      <c r="I18" s="205"/>
      <c r="J18" s="206"/>
    </row>
    <row r="19" spans="1:14" x14ac:dyDescent="0.2">
      <c r="A19" s="94"/>
      <c r="B19" s="282" t="s">
        <v>81</v>
      </c>
      <c r="C19" s="308"/>
      <c r="D19" s="250" t="s">
        <v>143</v>
      </c>
      <c r="E19" s="286" t="s">
        <v>21</v>
      </c>
      <c r="F19" s="333"/>
      <c r="G19" s="334"/>
      <c r="H19" s="205"/>
      <c r="I19" s="205"/>
      <c r="J19" s="206"/>
    </row>
    <row r="20" spans="1:14" x14ac:dyDescent="0.2">
      <c r="A20" s="94"/>
      <c r="B20" s="282" t="s">
        <v>82</v>
      </c>
      <c r="C20" s="308"/>
      <c r="D20" s="250" t="s">
        <v>143</v>
      </c>
      <c r="E20" s="286" t="s">
        <v>21</v>
      </c>
      <c r="F20" s="333"/>
      <c r="G20" s="334"/>
      <c r="H20" s="205"/>
      <c r="I20" s="205"/>
      <c r="J20" s="206"/>
    </row>
    <row r="21" spans="1:14" x14ac:dyDescent="0.2">
      <c r="A21" s="94"/>
      <c r="B21" s="282" t="s">
        <v>84</v>
      </c>
      <c r="C21" s="308"/>
      <c r="D21" s="250" t="s">
        <v>143</v>
      </c>
      <c r="E21" s="286" t="s">
        <v>21</v>
      </c>
      <c r="F21" s="333"/>
      <c r="G21" s="334"/>
      <c r="H21" s="205"/>
      <c r="I21" s="205"/>
      <c r="J21" s="206"/>
    </row>
    <row r="22" spans="1:14" x14ac:dyDescent="0.2">
      <c r="A22" s="94"/>
      <c r="B22" s="282" t="s">
        <v>85</v>
      </c>
      <c r="C22" s="308"/>
      <c r="D22" s="250" t="s">
        <v>143</v>
      </c>
      <c r="E22" s="286" t="s">
        <v>21</v>
      </c>
      <c r="F22" s="333"/>
      <c r="G22" s="334"/>
      <c r="H22" s="205"/>
      <c r="I22" s="205"/>
      <c r="J22" s="206"/>
    </row>
    <row r="23" spans="1:14" x14ac:dyDescent="0.2">
      <c r="A23" s="94"/>
      <c r="B23" s="282" t="s">
        <v>207</v>
      </c>
      <c r="C23" s="308"/>
      <c r="D23" s="250" t="s">
        <v>143</v>
      </c>
      <c r="E23" s="286" t="s">
        <v>21</v>
      </c>
      <c r="F23" s="333"/>
      <c r="G23" s="334"/>
      <c r="H23" s="205"/>
      <c r="I23" s="205"/>
      <c r="J23" s="206"/>
    </row>
    <row r="24" spans="1:14" x14ac:dyDescent="0.2">
      <c r="A24" s="94"/>
      <c r="B24" s="282" t="s">
        <v>208</v>
      </c>
      <c r="C24" s="308"/>
      <c r="D24" s="250" t="s">
        <v>143</v>
      </c>
      <c r="E24" s="286" t="s">
        <v>21</v>
      </c>
      <c r="F24" s="333"/>
      <c r="G24" s="334"/>
      <c r="H24" s="205"/>
      <c r="I24" s="332" t="str">
        <f>IF(C23=0,"",IF(C24&gt;0,IF(C25&gt;0,"Choose either Truck Mix Loading OR Mixer Loading, not both","")))</f>
        <v/>
      </c>
      <c r="J24" s="332"/>
    </row>
    <row r="25" spans="1:14" x14ac:dyDescent="0.2">
      <c r="A25" s="94"/>
      <c r="B25" s="282" t="s">
        <v>209</v>
      </c>
      <c r="C25" s="308"/>
      <c r="D25" s="250" t="s">
        <v>143</v>
      </c>
      <c r="E25" s="286" t="s">
        <v>21</v>
      </c>
      <c r="F25" s="333"/>
      <c r="G25" s="334"/>
      <c r="H25" s="205"/>
      <c r="I25" s="332"/>
      <c r="J25" s="332"/>
      <c r="K25" s="6"/>
    </row>
    <row r="26" spans="1:14" ht="10.5" customHeight="1" x14ac:dyDescent="0.2">
      <c r="A26" s="94"/>
      <c r="B26" s="283"/>
      <c r="C26" s="241"/>
      <c r="D26" s="209"/>
      <c r="E26" s="209"/>
      <c r="F26" s="335"/>
      <c r="G26" s="335"/>
      <c r="H26" s="325" t="str">
        <f>IF(SUM(C15:C25)&gt;0,(IF(C27&gt;0,"ERROR: Input your plant's capacity either in the Equipment Maximum Throughput Capacity OR Plant Maximum Production Capacity, not both. Set the other value(s) to zero.","")),IF(SUM(C15:C25)=0,IF(C27&gt;0,"","ERROR: Set either Equipment Maximum Throughput Capacity OR Plant Maximum Production Capacity values to a positive number.")))</f>
        <v/>
      </c>
      <c r="I26" s="325"/>
      <c r="J26" s="325"/>
      <c r="K26" s="6"/>
    </row>
    <row r="27" spans="1:14" ht="24" customHeight="1" x14ac:dyDescent="0.2">
      <c r="A27" s="94"/>
      <c r="B27" s="287" t="s">
        <v>136</v>
      </c>
      <c r="C27" s="308">
        <v>2000000</v>
      </c>
      <c r="D27" s="286" t="s">
        <v>135</v>
      </c>
      <c r="E27" s="209"/>
      <c r="F27" s="335"/>
      <c r="G27" s="335"/>
      <c r="H27" s="325"/>
      <c r="I27" s="325"/>
      <c r="J27" s="325"/>
      <c r="K27" s="6"/>
    </row>
    <row r="28" spans="1:14" ht="10.5" customHeight="1" x14ac:dyDescent="0.2">
      <c r="A28" s="94"/>
      <c r="B28" s="288"/>
      <c r="C28" s="241"/>
      <c r="D28" s="209"/>
      <c r="E28" s="209"/>
      <c r="F28" s="241"/>
      <c r="G28" s="241"/>
      <c r="H28" s="325"/>
      <c r="I28" s="325"/>
      <c r="J28" s="325"/>
      <c r="K28" s="6"/>
    </row>
    <row r="29" spans="1:14" ht="28.5" customHeight="1" x14ac:dyDescent="0.2">
      <c r="A29" s="94"/>
      <c r="B29" s="330" t="s">
        <v>189</v>
      </c>
      <c r="C29" s="330"/>
      <c r="D29" s="331" t="s">
        <v>87</v>
      </c>
      <c r="E29" s="331"/>
      <c r="F29" s="241"/>
      <c r="G29" s="241"/>
      <c r="H29" s="325"/>
      <c r="I29" s="325"/>
      <c r="J29" s="325"/>
      <c r="K29" s="6"/>
      <c r="N29" s="60" t="s">
        <v>87</v>
      </c>
    </row>
    <row r="30" spans="1:14" ht="9.75" customHeight="1" x14ac:dyDescent="0.2">
      <c r="A30" s="94"/>
      <c r="B30" s="210"/>
      <c r="C30" s="97"/>
      <c r="D30" s="97"/>
      <c r="E30" s="98"/>
      <c r="F30" s="205"/>
      <c r="G30" s="205"/>
      <c r="H30" s="325"/>
      <c r="I30" s="325"/>
      <c r="J30" s="325"/>
      <c r="K30" s="6"/>
      <c r="N30" s="60" t="s">
        <v>192</v>
      </c>
    </row>
    <row r="31" spans="1:14" ht="15.75" customHeight="1" x14ac:dyDescent="0.2">
      <c r="A31" s="94"/>
      <c r="B31" s="289" t="s">
        <v>139</v>
      </c>
      <c r="C31" s="290"/>
      <c r="D31" s="291" t="s">
        <v>153</v>
      </c>
      <c r="E31" s="292"/>
      <c r="F31" s="293"/>
      <c r="G31" s="293"/>
      <c r="H31" s="294"/>
      <c r="I31" s="208"/>
      <c r="J31" s="208"/>
      <c r="K31" s="6"/>
    </row>
    <row r="32" spans="1:14" x14ac:dyDescent="0.2">
      <c r="A32" s="94"/>
      <c r="B32" s="295" t="s">
        <v>49</v>
      </c>
      <c r="C32" s="264"/>
      <c r="D32" s="209" t="s">
        <v>151</v>
      </c>
      <c r="E32" s="179" t="s">
        <v>21</v>
      </c>
      <c r="F32" s="296" t="str">
        <f t="shared" ref="F32" si="0">IF(C32&gt;=0,"","ERROR!")</f>
        <v/>
      </c>
      <c r="G32" s="297" t="s">
        <v>8</v>
      </c>
      <c r="H32" s="298"/>
      <c r="I32" s="94"/>
      <c r="K32" s="6"/>
    </row>
    <row r="33" spans="1:12" x14ac:dyDescent="0.2">
      <c r="A33" s="94"/>
      <c r="B33" s="295" t="s">
        <v>50</v>
      </c>
      <c r="C33" s="264"/>
      <c r="D33" s="209" t="s">
        <v>151</v>
      </c>
      <c r="E33" s="179" t="s">
        <v>21</v>
      </c>
      <c r="F33" s="241" t="s">
        <v>48</v>
      </c>
      <c r="G33" s="299">
        <v>1.5E-3</v>
      </c>
      <c r="H33" s="229" t="s">
        <v>47</v>
      </c>
      <c r="I33" s="94"/>
    </row>
    <row r="34" spans="1:12" x14ac:dyDescent="0.2">
      <c r="A34" s="94"/>
      <c r="B34" s="295" t="s">
        <v>51</v>
      </c>
      <c r="C34" s="264">
        <v>10</v>
      </c>
      <c r="D34" s="209" t="s">
        <v>151</v>
      </c>
      <c r="E34" s="179" t="s">
        <v>21</v>
      </c>
      <c r="F34" s="241" t="s">
        <v>48</v>
      </c>
      <c r="G34" s="299">
        <v>1.5E-3</v>
      </c>
      <c r="H34" s="300" t="s">
        <v>42</v>
      </c>
      <c r="I34" s="94"/>
    </row>
    <row r="35" spans="1:12" x14ac:dyDescent="0.2">
      <c r="A35" s="94"/>
      <c r="B35" s="295" t="s">
        <v>242</v>
      </c>
      <c r="C35" s="264">
        <v>750</v>
      </c>
      <c r="D35" s="209" t="s">
        <v>35</v>
      </c>
      <c r="E35" s="209" t="s">
        <v>21</v>
      </c>
      <c r="F35" s="312" t="s">
        <v>48</v>
      </c>
      <c r="G35" s="299">
        <v>1.5E-3</v>
      </c>
      <c r="H35" s="229" t="s">
        <v>47</v>
      </c>
      <c r="I35" s="94"/>
    </row>
    <row r="36" spans="1:12" x14ac:dyDescent="0.2">
      <c r="A36" s="94"/>
      <c r="B36" s="295" t="s">
        <v>56</v>
      </c>
      <c r="C36" s="264">
        <v>1000</v>
      </c>
      <c r="D36" s="209" t="s">
        <v>35</v>
      </c>
      <c r="E36" s="179" t="s">
        <v>21</v>
      </c>
      <c r="F36" s="241" t="s">
        <v>48</v>
      </c>
      <c r="G36" s="299">
        <v>1.5E-3</v>
      </c>
      <c r="H36" s="229" t="s">
        <v>47</v>
      </c>
      <c r="I36" s="94"/>
    </row>
    <row r="37" spans="1:12" x14ac:dyDescent="0.2">
      <c r="A37" s="94"/>
      <c r="B37" s="295" t="s">
        <v>243</v>
      </c>
      <c r="C37" s="264"/>
      <c r="D37" s="209" t="s">
        <v>35</v>
      </c>
      <c r="E37" s="209" t="s">
        <v>21</v>
      </c>
      <c r="F37" s="312" t="s">
        <v>48</v>
      </c>
      <c r="G37" s="299">
        <v>1.5E-3</v>
      </c>
      <c r="H37" s="229" t="s">
        <v>47</v>
      </c>
      <c r="I37" s="94"/>
    </row>
    <row r="38" spans="1:12" x14ac:dyDescent="0.2">
      <c r="A38" s="94"/>
      <c r="B38" s="301" t="s">
        <v>57</v>
      </c>
      <c r="C38" s="302"/>
      <c r="D38" s="303" t="s">
        <v>35</v>
      </c>
      <c r="E38" s="304" t="s">
        <v>21</v>
      </c>
      <c r="F38" s="312" t="s">
        <v>48</v>
      </c>
      <c r="G38" s="299">
        <v>1.5E-3</v>
      </c>
      <c r="H38" s="229" t="s">
        <v>47</v>
      </c>
      <c r="I38" s="94"/>
    </row>
    <row r="39" spans="1:12" ht="13.35" customHeight="1" x14ac:dyDescent="0.2">
      <c r="A39" s="94"/>
      <c r="B39" s="305"/>
      <c r="C39" s="264"/>
      <c r="D39" s="105" t="s">
        <v>46</v>
      </c>
      <c r="E39" s="179"/>
      <c r="F39" s="179"/>
      <c r="G39" s="306"/>
      <c r="H39" s="307"/>
      <c r="I39" s="102"/>
      <c r="J39" s="61"/>
      <c r="K39" s="61"/>
      <c r="L39" s="62"/>
    </row>
    <row r="40" spans="1:12" x14ac:dyDescent="0.2">
      <c r="A40" s="94"/>
      <c r="B40" s="103"/>
      <c r="C40" s="96"/>
      <c r="D40" s="179" t="s">
        <v>80</v>
      </c>
      <c r="E40" s="103"/>
      <c r="F40" s="98"/>
      <c r="G40" s="102"/>
      <c r="H40" s="102"/>
      <c r="I40" s="102"/>
      <c r="J40" s="61"/>
      <c r="K40" s="61"/>
      <c r="L40" s="62"/>
    </row>
    <row r="41" spans="1:12" x14ac:dyDescent="0.2">
      <c r="A41" s="94"/>
      <c r="B41" s="104"/>
      <c r="C41" s="96"/>
      <c r="D41" s="179"/>
      <c r="E41" s="100"/>
      <c r="F41" s="99"/>
      <c r="G41" s="102"/>
      <c r="H41" s="102"/>
      <c r="I41" s="102"/>
      <c r="J41" s="61"/>
      <c r="K41" s="61"/>
    </row>
    <row r="42" spans="1:12" x14ac:dyDescent="0.2">
      <c r="A42" s="106" t="s">
        <v>121</v>
      </c>
      <c r="B42" s="104"/>
      <c r="C42" s="96"/>
      <c r="D42" s="209" t="s">
        <v>153</v>
      </c>
      <c r="E42" s="100"/>
      <c r="F42" s="99"/>
      <c r="G42" s="102"/>
      <c r="H42" s="102"/>
      <c r="I42" s="102"/>
      <c r="J42" s="61"/>
      <c r="K42" s="61"/>
    </row>
    <row r="43" spans="1:12" x14ac:dyDescent="0.2">
      <c r="B43" s="224" t="s">
        <v>122</v>
      </c>
      <c r="C43" s="225">
        <v>5</v>
      </c>
      <c r="D43" s="230" t="s">
        <v>152</v>
      </c>
    </row>
    <row r="44" spans="1:12" x14ac:dyDescent="0.2">
      <c r="B44" s="228" t="s">
        <v>149</v>
      </c>
      <c r="C44" s="205">
        <v>50</v>
      </c>
      <c r="D44" s="229" t="s">
        <v>150</v>
      </c>
    </row>
    <row r="45" spans="1:12" x14ac:dyDescent="0.2">
      <c r="B45" s="226" t="s">
        <v>124</v>
      </c>
      <c r="C45" s="227">
        <v>5</v>
      </c>
      <c r="D45" s="231" t="s">
        <v>0</v>
      </c>
    </row>
    <row r="46" spans="1:12" x14ac:dyDescent="0.2">
      <c r="B46" s="203"/>
    </row>
    <row r="47" spans="1:12" x14ac:dyDescent="0.2">
      <c r="A47" s="1" t="s">
        <v>126</v>
      </c>
      <c r="B47" s="203"/>
    </row>
    <row r="48" spans="1:12" ht="24" customHeight="1" x14ac:dyDescent="0.2">
      <c r="B48" s="191" t="s">
        <v>99</v>
      </c>
      <c r="C48" s="347" t="s">
        <v>127</v>
      </c>
      <c r="D48" s="348"/>
      <c r="E48" s="347" t="s">
        <v>130</v>
      </c>
      <c r="F48" s="348"/>
      <c r="G48" s="347" t="s">
        <v>131</v>
      </c>
      <c r="H48" s="348"/>
      <c r="I48" s="203"/>
    </row>
    <row r="49" spans="1:8" x14ac:dyDescent="0.2">
      <c r="B49" s="280" t="s">
        <v>132</v>
      </c>
      <c r="C49" s="349">
        <v>25</v>
      </c>
      <c r="D49" s="349"/>
      <c r="E49" s="349">
        <v>1000</v>
      </c>
      <c r="F49" s="349"/>
      <c r="G49" s="349">
        <v>0.1</v>
      </c>
      <c r="H49" s="349"/>
    </row>
    <row r="50" spans="1:8" x14ac:dyDescent="0.2">
      <c r="B50" s="242" t="s">
        <v>133</v>
      </c>
      <c r="C50" s="349">
        <v>25</v>
      </c>
      <c r="D50" s="349"/>
      <c r="E50" s="349">
        <v>50</v>
      </c>
      <c r="F50" s="349"/>
      <c r="G50" s="349">
        <v>0.1</v>
      </c>
      <c r="H50" s="349"/>
    </row>
    <row r="51" spans="1:8" x14ac:dyDescent="0.2">
      <c r="B51" s="276" t="s">
        <v>229</v>
      </c>
      <c r="C51" s="349">
        <v>1</v>
      </c>
      <c r="D51" s="349"/>
      <c r="E51" s="349">
        <v>200</v>
      </c>
      <c r="F51" s="349"/>
      <c r="G51" s="349">
        <v>0.1</v>
      </c>
      <c r="H51" s="349"/>
    </row>
    <row r="52" spans="1:8" x14ac:dyDescent="0.2">
      <c r="B52" s="60"/>
      <c r="C52" s="60" t="s">
        <v>129</v>
      </c>
      <c r="D52" s="60"/>
    </row>
    <row r="53" spans="1:8" x14ac:dyDescent="0.2">
      <c r="A53" s="1" t="s">
        <v>128</v>
      </c>
    </row>
    <row r="54" spans="1:8" ht="26.25" customHeight="1" x14ac:dyDescent="0.2">
      <c r="B54" s="191" t="s">
        <v>99</v>
      </c>
      <c r="C54" s="347" t="s">
        <v>127</v>
      </c>
      <c r="D54" s="348"/>
      <c r="E54" s="347" t="s">
        <v>130</v>
      </c>
      <c r="F54" s="348"/>
      <c r="G54" s="347" t="s">
        <v>131</v>
      </c>
      <c r="H54" s="348"/>
    </row>
    <row r="55" spans="1:8" x14ac:dyDescent="0.2">
      <c r="B55" s="280" t="s">
        <v>132</v>
      </c>
      <c r="C55" s="349">
        <v>25</v>
      </c>
      <c r="D55" s="349"/>
      <c r="E55" s="349">
        <v>1000</v>
      </c>
      <c r="F55" s="349"/>
      <c r="G55" s="349">
        <v>0.15</v>
      </c>
      <c r="H55" s="349"/>
    </row>
    <row r="56" spans="1:8" x14ac:dyDescent="0.2">
      <c r="B56" s="242" t="s">
        <v>133</v>
      </c>
      <c r="C56" s="349">
        <v>25</v>
      </c>
      <c r="D56" s="349"/>
      <c r="E56" s="349">
        <v>50</v>
      </c>
      <c r="F56" s="349"/>
      <c r="G56" s="349">
        <v>0.4</v>
      </c>
      <c r="H56" s="349"/>
    </row>
    <row r="57" spans="1:8" x14ac:dyDescent="0.2">
      <c r="B57" s="276" t="s">
        <v>229</v>
      </c>
      <c r="C57" s="349">
        <v>1</v>
      </c>
      <c r="D57" s="349"/>
      <c r="E57" s="349">
        <v>200</v>
      </c>
      <c r="F57" s="349"/>
      <c r="G57" s="349">
        <v>0</v>
      </c>
      <c r="H57" s="349"/>
    </row>
    <row r="58" spans="1:8" x14ac:dyDescent="0.2">
      <c r="B58" s="60"/>
      <c r="C58" s="60" t="s">
        <v>129</v>
      </c>
    </row>
    <row r="60" spans="1:8" x14ac:dyDescent="0.2">
      <c r="A60" s="6"/>
      <c r="B60" s="6"/>
      <c r="C60" s="6"/>
      <c r="D60" s="6"/>
      <c r="E60" s="6"/>
    </row>
    <row r="62" spans="1:8" x14ac:dyDescent="0.2">
      <c r="A62" s="1" t="s">
        <v>228</v>
      </c>
    </row>
    <row r="63" spans="1:8" x14ac:dyDescent="0.2">
      <c r="B63" s="60" t="s">
        <v>231</v>
      </c>
      <c r="C63" s="276">
        <v>500</v>
      </c>
      <c r="D63" s="60" t="s">
        <v>230</v>
      </c>
    </row>
    <row r="64" spans="1:8" x14ac:dyDescent="0.2">
      <c r="B64" s="60" t="s">
        <v>232</v>
      </c>
      <c r="C64" s="276">
        <v>8.34</v>
      </c>
      <c r="D64" s="60" t="s">
        <v>235</v>
      </c>
    </row>
    <row r="65" spans="2:5" x14ac:dyDescent="0.2">
      <c r="B65" s="60" t="s">
        <v>233</v>
      </c>
      <c r="C65" s="276">
        <v>100</v>
      </c>
      <c r="D65" s="60" t="s">
        <v>125</v>
      </c>
      <c r="E65" t="s">
        <v>216</v>
      </c>
    </row>
    <row r="66" spans="2:5" x14ac:dyDescent="0.2">
      <c r="B66" s="60" t="s">
        <v>234</v>
      </c>
      <c r="C66" s="276">
        <v>100</v>
      </c>
      <c r="D66" s="60" t="s">
        <v>125</v>
      </c>
      <c r="E66" t="s">
        <v>217</v>
      </c>
    </row>
    <row r="67" spans="2:5" x14ac:dyDescent="0.2">
      <c r="B67" t="s">
        <v>227</v>
      </c>
    </row>
  </sheetData>
  <mergeCells count="52">
    <mergeCell ref="C55:D55"/>
    <mergeCell ref="E55:F55"/>
    <mergeCell ref="G55:H55"/>
    <mergeCell ref="C50:D50"/>
    <mergeCell ref="C51:D51"/>
    <mergeCell ref="E50:F50"/>
    <mergeCell ref="E51:F51"/>
    <mergeCell ref="G50:H50"/>
    <mergeCell ref="G51:H51"/>
    <mergeCell ref="C56:D56"/>
    <mergeCell ref="C57:D57"/>
    <mergeCell ref="E56:F56"/>
    <mergeCell ref="E57:F57"/>
    <mergeCell ref="G56:H56"/>
    <mergeCell ref="G57:H57"/>
    <mergeCell ref="C48:D48"/>
    <mergeCell ref="E48:F48"/>
    <mergeCell ref="G48:H48"/>
    <mergeCell ref="C54:D54"/>
    <mergeCell ref="E54:F54"/>
    <mergeCell ref="G54:H54"/>
    <mergeCell ref="C49:D49"/>
    <mergeCell ref="E49:F49"/>
    <mergeCell ref="G49:H49"/>
    <mergeCell ref="A1:H1"/>
    <mergeCell ref="A3:H3"/>
    <mergeCell ref="B6:H6"/>
    <mergeCell ref="B7:H7"/>
    <mergeCell ref="A2:J2"/>
    <mergeCell ref="A5:H5"/>
    <mergeCell ref="F20:G20"/>
    <mergeCell ref="B9:H9"/>
    <mergeCell ref="F14:G14"/>
    <mergeCell ref="B10:K10"/>
    <mergeCell ref="A13:B13"/>
    <mergeCell ref="B11:H11"/>
    <mergeCell ref="B8:H8"/>
    <mergeCell ref="B29:C29"/>
    <mergeCell ref="D29:E29"/>
    <mergeCell ref="I24:J25"/>
    <mergeCell ref="F16:G16"/>
    <mergeCell ref="F26:G26"/>
    <mergeCell ref="F27:G27"/>
    <mergeCell ref="F22:G22"/>
    <mergeCell ref="F23:G23"/>
    <mergeCell ref="F24:G24"/>
    <mergeCell ref="F25:G25"/>
    <mergeCell ref="F21:G21"/>
    <mergeCell ref="F18:G18"/>
    <mergeCell ref="F15:G15"/>
    <mergeCell ref="F17:G17"/>
    <mergeCell ref="F19:G19"/>
  </mergeCells>
  <phoneticPr fontId="2" type="noConversion"/>
  <dataValidations count="1">
    <dataValidation type="list" allowBlank="1" showInputMessage="1" showErrorMessage="1" sqref="D29:E29">
      <formula1>$N$29:$N$30</formula1>
    </dataValidation>
  </dataValidations>
  <pageMargins left="0.75" right="0.75" top="1" bottom="1" header="0.5" footer="0.5"/>
  <pageSetup scale="57" orientation="portrait"/>
  <headerFooter alignWithMargins="0">
    <oddFooter>Page &amp;P of &amp;N</oddFooter>
  </headerFooter>
  <colBreaks count="1" manualBreakCount="1">
    <brk id="12" max="1048575" man="1"/>
  </colBreaks>
  <customProperties>
    <customPr name="DVSECTIONID" r:id="rId1"/>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26"/>
  <sheetViews>
    <sheetView workbookViewId="0">
      <selection activeCell="A3" sqref="A3:M3"/>
    </sheetView>
  </sheetViews>
  <sheetFormatPr defaultColWidth="8.7109375" defaultRowHeight="12.75" x14ac:dyDescent="0.2"/>
  <cols>
    <col min="1" max="1" width="11.42578125" customWidth="1"/>
    <col min="2" max="2" width="22.28515625" customWidth="1"/>
    <col min="3" max="3" width="21" customWidth="1"/>
    <col min="4" max="4" width="10.85546875" customWidth="1"/>
  </cols>
  <sheetData>
    <row r="1" spans="1:15" ht="20.25" x14ac:dyDescent="0.3">
      <c r="A1" s="341" t="str">
        <f>'5222018'!A1</f>
        <v>Potential To Emit Calculator for Concrete Batch Plants</v>
      </c>
      <c r="B1" s="341"/>
      <c r="C1" s="341"/>
      <c r="D1" s="341"/>
      <c r="E1" s="341"/>
      <c r="F1" s="341"/>
      <c r="G1" s="341"/>
      <c r="H1" s="341"/>
      <c r="I1" s="341"/>
      <c r="J1" s="341"/>
      <c r="K1" s="341"/>
      <c r="L1" s="341"/>
      <c r="M1" s="341"/>
      <c r="N1" s="9"/>
      <c r="O1" s="9"/>
    </row>
    <row r="2" spans="1:15" x14ac:dyDescent="0.2">
      <c r="A2" s="345">
        <v>43242</v>
      </c>
      <c r="B2" s="345"/>
      <c r="C2" s="345"/>
      <c r="D2" s="345"/>
      <c r="E2" s="345"/>
      <c r="F2" s="345"/>
      <c r="G2" s="345"/>
      <c r="H2" s="345"/>
      <c r="I2" s="345"/>
      <c r="J2" s="345"/>
      <c r="K2" s="345"/>
      <c r="L2" s="345"/>
      <c r="M2" s="345"/>
      <c r="N2" s="10"/>
      <c r="O2" s="10"/>
    </row>
    <row r="3" spans="1:15" ht="17.25" customHeight="1" x14ac:dyDescent="0.25">
      <c r="A3" s="369" t="s">
        <v>214</v>
      </c>
      <c r="B3" s="369"/>
      <c r="C3" s="369"/>
      <c r="D3" s="369"/>
      <c r="E3" s="369"/>
      <c r="F3" s="369"/>
      <c r="G3" s="369"/>
      <c r="H3" s="369"/>
      <c r="I3" s="369"/>
      <c r="J3" s="369"/>
      <c r="K3" s="369"/>
      <c r="L3" s="369"/>
      <c r="M3" s="369"/>
    </row>
    <row r="4" spans="1:15" x14ac:dyDescent="0.2">
      <c r="A4" s="60"/>
      <c r="B4" s="123"/>
      <c r="C4" s="123"/>
      <c r="D4" s="124"/>
      <c r="E4" s="97"/>
      <c r="F4" s="60"/>
      <c r="G4" s="60"/>
      <c r="H4" s="60"/>
      <c r="I4" s="60"/>
      <c r="J4" s="60"/>
      <c r="K4" s="60"/>
      <c r="L4" s="60"/>
      <c r="M4" s="60"/>
    </row>
    <row r="5" spans="1:15" x14ac:dyDescent="0.2">
      <c r="A5" s="60"/>
      <c r="B5" s="123"/>
      <c r="C5" s="123"/>
      <c r="D5" s="124"/>
      <c r="E5" s="97"/>
      <c r="F5" s="60"/>
      <c r="G5" s="60"/>
      <c r="H5" s="60"/>
      <c r="I5" s="5" t="s">
        <v>1</v>
      </c>
      <c r="J5" s="60"/>
      <c r="K5" s="60"/>
      <c r="L5" s="60"/>
      <c r="M5" s="60"/>
    </row>
    <row r="6" spans="1:15" x14ac:dyDescent="0.2">
      <c r="A6" s="60"/>
      <c r="B6" s="123"/>
      <c r="C6" s="123"/>
      <c r="D6" s="124"/>
      <c r="E6" s="97"/>
      <c r="F6" s="60"/>
      <c r="G6" s="60"/>
      <c r="H6" s="60"/>
      <c r="I6" s="2" t="s">
        <v>20</v>
      </c>
      <c r="J6" s="60"/>
      <c r="K6" s="60"/>
      <c r="L6" s="60"/>
      <c r="M6" s="60"/>
    </row>
    <row r="7" spans="1:15" ht="13.5" thickBot="1" x14ac:dyDescent="0.25">
      <c r="A7" s="60"/>
      <c r="B7" s="60"/>
      <c r="C7" s="60"/>
      <c r="D7" s="60"/>
      <c r="E7" s="60"/>
      <c r="F7" s="60"/>
      <c r="G7" s="60"/>
      <c r="H7" s="60"/>
      <c r="I7" s="60"/>
      <c r="J7" s="60"/>
      <c r="K7" s="60"/>
      <c r="L7" s="60"/>
      <c r="M7" s="60"/>
    </row>
    <row r="8" spans="1:15" ht="13.5" thickTop="1" x14ac:dyDescent="0.2">
      <c r="A8" s="112"/>
      <c r="B8" s="112"/>
      <c r="C8" s="112"/>
      <c r="D8" s="112"/>
      <c r="E8" s="112"/>
      <c r="F8" s="112"/>
      <c r="G8" s="112"/>
      <c r="H8" s="112"/>
      <c r="I8" s="112"/>
      <c r="J8" s="112"/>
      <c r="K8" s="112"/>
      <c r="L8" s="112"/>
      <c r="M8" s="60"/>
    </row>
    <row r="9" spans="1:15" ht="15.75" x14ac:dyDescent="0.25">
      <c r="A9" s="59"/>
      <c r="B9" s="278" t="s">
        <v>220</v>
      </c>
      <c r="C9" s="59"/>
      <c r="D9" s="59"/>
      <c r="E9" s="59"/>
      <c r="F9" s="59"/>
      <c r="G9" s="59"/>
      <c r="H9" s="59"/>
      <c r="I9" s="59"/>
      <c r="J9" s="59"/>
      <c r="K9" s="59"/>
      <c r="L9" s="59"/>
      <c r="M9" s="60"/>
    </row>
    <row r="10" spans="1:15" x14ac:dyDescent="0.2">
      <c r="A10" s="59"/>
      <c r="B10" s="26" t="s">
        <v>221</v>
      </c>
      <c r="C10" s="26"/>
      <c r="D10" s="309">
        <f>'5222018'!C63</f>
        <v>500</v>
      </c>
      <c r="E10" s="59"/>
      <c r="F10" s="59"/>
      <c r="G10" s="59"/>
      <c r="H10" s="59"/>
      <c r="I10" s="59"/>
      <c r="J10" s="59"/>
      <c r="K10" s="59"/>
      <c r="L10" s="59"/>
      <c r="M10" s="60"/>
    </row>
    <row r="11" spans="1:15" x14ac:dyDescent="0.2">
      <c r="A11" s="59"/>
      <c r="B11" s="26" t="s">
        <v>222</v>
      </c>
      <c r="C11" s="59"/>
      <c r="D11" s="309">
        <f>'5222018'!C64</f>
        <v>8.34</v>
      </c>
      <c r="E11" s="59"/>
      <c r="F11" s="59"/>
      <c r="G11" s="59"/>
      <c r="H11" s="59"/>
      <c r="I11" s="59"/>
      <c r="J11" s="59"/>
      <c r="K11" s="59"/>
      <c r="L11" s="59"/>
      <c r="M11" s="60"/>
    </row>
    <row r="12" spans="1:15" x14ac:dyDescent="0.2">
      <c r="A12" s="59"/>
      <c r="B12" s="26" t="s">
        <v>223</v>
      </c>
      <c r="C12" s="59"/>
      <c r="D12" s="309">
        <f>'5222018'!C65</f>
        <v>100</v>
      </c>
      <c r="E12" s="59" t="s">
        <v>216</v>
      </c>
      <c r="F12" s="59"/>
      <c r="G12" s="59"/>
      <c r="H12" s="59"/>
      <c r="I12" s="59"/>
      <c r="J12" s="59"/>
      <c r="K12" s="59"/>
      <c r="L12" s="59"/>
      <c r="M12" s="60"/>
    </row>
    <row r="13" spans="1:15" x14ac:dyDescent="0.2">
      <c r="A13" s="59"/>
      <c r="B13" s="26" t="s">
        <v>224</v>
      </c>
      <c r="C13" s="59"/>
      <c r="D13" s="309">
        <f>'5222018'!C66</f>
        <v>100</v>
      </c>
      <c r="E13" s="59" t="s">
        <v>217</v>
      </c>
      <c r="F13" s="59"/>
      <c r="G13" s="59"/>
      <c r="H13" s="59"/>
      <c r="I13" s="59"/>
      <c r="J13" s="59"/>
      <c r="K13" s="59"/>
      <c r="L13" s="59"/>
      <c r="M13" s="60"/>
    </row>
    <row r="14" spans="1:15" x14ac:dyDescent="0.2">
      <c r="A14" s="59"/>
      <c r="B14" s="26" t="s">
        <v>225</v>
      </c>
      <c r="C14" s="59"/>
      <c r="D14" s="309">
        <v>0</v>
      </c>
      <c r="E14" s="279" t="str">
        <f>IF(D14&gt;D10,"  Solvent recycling cannot exceed purchases","")</f>
        <v/>
      </c>
      <c r="F14" s="59"/>
      <c r="G14" s="59"/>
      <c r="H14" s="59"/>
      <c r="I14" s="59"/>
      <c r="J14" s="59"/>
      <c r="K14" s="59"/>
      <c r="L14" s="59"/>
      <c r="M14" s="60"/>
    </row>
    <row r="15" spans="1:15" ht="13.5" thickBot="1" x14ac:dyDescent="0.25">
      <c r="A15" s="1"/>
      <c r="B15" s="1"/>
      <c r="C15" s="60"/>
      <c r="D15" s="113"/>
      <c r="E15" s="64" t="str">
        <f>IF(D4&gt;0,"Y","")</f>
        <v/>
      </c>
      <c r="F15" s="60"/>
      <c r="G15" s="59"/>
      <c r="H15" s="59"/>
      <c r="I15" s="59"/>
      <c r="J15" s="59"/>
      <c r="K15" s="59"/>
      <c r="L15" s="59"/>
      <c r="M15" s="60"/>
    </row>
    <row r="16" spans="1:15" s="15" customFormat="1" ht="12.75" customHeight="1" x14ac:dyDescent="0.2">
      <c r="A16" s="60"/>
      <c r="B16" s="119"/>
      <c r="C16" s="111"/>
      <c r="D16" s="111"/>
      <c r="E16" s="385" t="s">
        <v>17</v>
      </c>
      <c r="F16" s="386"/>
      <c r="G16" s="122"/>
      <c r="H16" s="122"/>
      <c r="I16" s="122"/>
      <c r="J16" s="122"/>
      <c r="K16" s="59"/>
      <c r="L16" s="59"/>
      <c r="M16" s="59"/>
      <c r="N16" s="19"/>
    </row>
    <row r="17" spans="1:13" s="15" customFormat="1" x14ac:dyDescent="0.2">
      <c r="A17" s="59"/>
      <c r="B17" s="109"/>
      <c r="C17" s="59"/>
      <c r="D17" s="59"/>
      <c r="E17" s="66" t="s">
        <v>18</v>
      </c>
      <c r="F17" s="265" t="s">
        <v>65</v>
      </c>
      <c r="G17" s="59"/>
      <c r="H17" s="19"/>
      <c r="I17" s="19"/>
    </row>
    <row r="18" spans="1:13" s="15" customFormat="1" x14ac:dyDescent="0.2">
      <c r="A18" s="59"/>
      <c r="B18" s="109"/>
      <c r="C18" s="59"/>
      <c r="D18" s="59"/>
      <c r="E18" s="132"/>
      <c r="F18" s="154"/>
      <c r="G18" s="59"/>
      <c r="H18" s="19"/>
      <c r="I18" s="19"/>
    </row>
    <row r="19" spans="1:13" s="14" customFormat="1" x14ac:dyDescent="0.2">
      <c r="A19" s="26"/>
      <c r="B19" s="109" t="s">
        <v>24</v>
      </c>
      <c r="C19" s="26"/>
      <c r="D19" s="26"/>
      <c r="E19" s="70">
        <f>D10*D11*D12/100/2000</f>
        <v>2.085</v>
      </c>
      <c r="F19" s="110">
        <f>D10*D11*D13/100/2000</f>
        <v>2.085</v>
      </c>
      <c r="G19" s="26"/>
      <c r="H19" s="20"/>
      <c r="I19" s="20"/>
    </row>
    <row r="20" spans="1:13" s="14" customFormat="1" x14ac:dyDescent="0.2">
      <c r="A20" s="26"/>
      <c r="B20" s="109" t="s">
        <v>182</v>
      </c>
      <c r="C20" s="26"/>
      <c r="D20" s="26"/>
      <c r="E20" s="70">
        <f>IF(D10=0,0,E19*(1-D14/D10))</f>
        <v>2.085</v>
      </c>
      <c r="F20" s="110">
        <f>IF(D10=0,0,F19*(1-D14/D10))</f>
        <v>2.085</v>
      </c>
      <c r="G20" s="26"/>
      <c r="H20" s="20"/>
      <c r="I20" s="20"/>
    </row>
    <row r="21" spans="1:13" s="15" customFormat="1" ht="13.5" thickBot="1" x14ac:dyDescent="0.25">
      <c r="A21" s="59"/>
      <c r="B21" s="116"/>
      <c r="C21" s="117"/>
      <c r="D21" s="117"/>
      <c r="E21" s="118"/>
      <c r="F21" s="120"/>
      <c r="G21" s="59"/>
      <c r="H21" s="19"/>
      <c r="I21" s="19"/>
    </row>
    <row r="22" spans="1:13" s="15" customFormat="1" x14ac:dyDescent="0.2">
      <c r="A22" s="60"/>
      <c r="B22" s="1" t="s">
        <v>9</v>
      </c>
      <c r="C22" s="60"/>
      <c r="D22" s="60"/>
      <c r="E22" s="60"/>
      <c r="F22" s="60"/>
      <c r="G22" s="60"/>
      <c r="H22" s="60"/>
      <c r="I22" s="60"/>
      <c r="J22" s="60"/>
      <c r="K22" s="60"/>
      <c r="L22" s="60"/>
      <c r="M22" s="60"/>
    </row>
    <row r="23" spans="1:13" s="15" customFormat="1" x14ac:dyDescent="0.2">
      <c r="A23" s="60"/>
      <c r="B23" s="60" t="s">
        <v>215</v>
      </c>
      <c r="C23" s="60"/>
      <c r="D23" s="60"/>
      <c r="E23" s="60"/>
      <c r="F23" s="60"/>
      <c r="G23" s="60"/>
      <c r="H23" s="60"/>
      <c r="I23" s="60"/>
      <c r="J23" s="60"/>
      <c r="K23" s="60"/>
      <c r="L23" s="60"/>
      <c r="M23" s="60"/>
    </row>
    <row r="24" spans="1:13" s="15" customFormat="1" x14ac:dyDescent="0.2">
      <c r="A24" s="60"/>
      <c r="B24" s="277" t="s">
        <v>219</v>
      </c>
      <c r="C24" s="60"/>
      <c r="D24" s="60"/>
      <c r="E24" s="60"/>
      <c r="F24" s="60"/>
      <c r="G24" s="60"/>
      <c r="H24" s="60"/>
      <c r="I24" s="60"/>
      <c r="J24" s="60"/>
      <c r="K24" s="60"/>
      <c r="L24" s="60"/>
      <c r="M24" s="60"/>
    </row>
    <row r="25" spans="1:13" x14ac:dyDescent="0.2">
      <c r="A25" s="60"/>
      <c r="B25" s="60"/>
      <c r="C25" s="60"/>
      <c r="D25" s="60"/>
      <c r="E25" s="60"/>
      <c r="F25" s="60"/>
      <c r="G25" s="60"/>
      <c r="H25" s="60"/>
      <c r="I25" s="60"/>
      <c r="J25" s="60"/>
      <c r="K25" s="60"/>
      <c r="L25" s="60"/>
      <c r="M25" s="60"/>
    </row>
    <row r="26" spans="1:13" x14ac:dyDescent="0.2">
      <c r="A26" s="60"/>
      <c r="B26" s="60"/>
      <c r="C26" s="60"/>
      <c r="D26" s="60"/>
      <c r="E26" s="60"/>
      <c r="F26" s="60"/>
      <c r="G26" s="60"/>
      <c r="H26" s="60"/>
      <c r="I26" s="60"/>
      <c r="J26" s="60"/>
      <c r="K26" s="60"/>
      <c r="L26" s="60"/>
      <c r="M26" s="60"/>
    </row>
  </sheetData>
  <mergeCells count="4">
    <mergeCell ref="A1:M1"/>
    <mergeCell ref="A2:M2"/>
    <mergeCell ref="A3:M3"/>
    <mergeCell ref="E16:F16"/>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M19"/>
  <sheetViews>
    <sheetView zoomScaleNormal="100" workbookViewId="0">
      <selection activeCell="A3" sqref="A3:J3"/>
    </sheetView>
  </sheetViews>
  <sheetFormatPr defaultColWidth="8.7109375" defaultRowHeight="12.75" x14ac:dyDescent="0.2"/>
  <cols>
    <col min="1" max="1" width="34" customWidth="1"/>
    <col min="2" max="8" width="10.28515625" customWidth="1"/>
    <col min="9" max="9" width="11.7109375" customWidth="1"/>
    <col min="10" max="10" width="12.7109375" customWidth="1"/>
    <col min="11" max="11" width="10.42578125" bestFit="1" customWidth="1"/>
    <col min="12" max="14" width="9.28515625" customWidth="1"/>
  </cols>
  <sheetData>
    <row r="1" spans="1:13" ht="20.25" x14ac:dyDescent="0.3">
      <c r="A1" s="341" t="str">
        <f>'5222018'!A1</f>
        <v>Potential To Emit Calculator for Concrete Batch Plants</v>
      </c>
      <c r="B1" s="341"/>
      <c r="C1" s="341"/>
      <c r="D1" s="341"/>
      <c r="E1" s="341"/>
      <c r="F1" s="341"/>
      <c r="G1" s="341"/>
      <c r="H1" s="341"/>
      <c r="I1" s="341"/>
      <c r="J1" s="341"/>
      <c r="K1" s="9"/>
      <c r="L1" s="9"/>
      <c r="M1" s="9"/>
    </row>
    <row r="2" spans="1:13" ht="13.5" thickBot="1" x14ac:dyDescent="0.25">
      <c r="A2" s="345">
        <v>43242</v>
      </c>
      <c r="B2" s="345"/>
      <c r="C2" s="345"/>
      <c r="D2" s="345"/>
      <c r="E2" s="345"/>
      <c r="F2" s="345"/>
      <c r="G2" s="345"/>
      <c r="H2" s="345"/>
      <c r="I2" s="345"/>
      <c r="J2" s="345"/>
      <c r="K2" s="10"/>
      <c r="L2" s="10"/>
      <c r="M2" s="10"/>
    </row>
    <row r="3" spans="1:13" ht="17.25" customHeight="1" thickBot="1" x14ac:dyDescent="0.25">
      <c r="A3" s="355" t="s">
        <v>78</v>
      </c>
      <c r="B3" s="356"/>
      <c r="C3" s="356"/>
      <c r="D3" s="356"/>
      <c r="E3" s="356"/>
      <c r="F3" s="356"/>
      <c r="G3" s="356"/>
      <c r="H3" s="356"/>
      <c r="I3" s="356"/>
      <c r="J3" s="357"/>
      <c r="K3" s="10"/>
      <c r="L3" s="10"/>
      <c r="M3" s="10"/>
    </row>
    <row r="4" spans="1:13" ht="15" customHeight="1" x14ac:dyDescent="0.2">
      <c r="A4" s="355"/>
      <c r="B4" s="356"/>
      <c r="C4" s="356"/>
      <c r="D4" s="356"/>
      <c r="E4" s="356"/>
      <c r="F4" s="356"/>
      <c r="G4" s="356"/>
      <c r="H4" s="356"/>
      <c r="I4" s="356"/>
      <c r="J4" s="357"/>
    </row>
    <row r="5" spans="1:13" x14ac:dyDescent="0.2">
      <c r="A5" s="173"/>
      <c r="B5" s="6"/>
      <c r="C5" s="6"/>
      <c r="D5" s="6"/>
      <c r="E5" s="6"/>
      <c r="F5" s="6"/>
      <c r="G5" s="6"/>
      <c r="H5" s="6"/>
      <c r="I5" s="6"/>
      <c r="J5" s="174"/>
    </row>
    <row r="6" spans="1:13" ht="13.5" thickBot="1" x14ac:dyDescent="0.25">
      <c r="A6" s="266" t="s">
        <v>239</v>
      </c>
      <c r="B6" s="6"/>
      <c r="C6" s="6"/>
      <c r="D6" s="6"/>
      <c r="E6" s="6"/>
      <c r="F6" s="6"/>
      <c r="G6" s="6"/>
      <c r="H6" s="6"/>
      <c r="I6" s="6"/>
      <c r="J6" s="174"/>
    </row>
    <row r="7" spans="1:13" x14ac:dyDescent="0.2">
      <c r="A7" s="165"/>
      <c r="B7" s="352" t="s">
        <v>17</v>
      </c>
      <c r="C7" s="353"/>
      <c r="D7" s="353"/>
      <c r="E7" s="353"/>
      <c r="F7" s="353"/>
      <c r="G7" s="353"/>
      <c r="H7" s="353"/>
      <c r="I7" s="353"/>
      <c r="J7" s="354"/>
    </row>
    <row r="8" spans="1:13" ht="15.75" x14ac:dyDescent="0.2">
      <c r="A8" s="166" t="s">
        <v>43</v>
      </c>
      <c r="B8" s="68" t="s">
        <v>15</v>
      </c>
      <c r="C8" s="68" t="s">
        <v>5</v>
      </c>
      <c r="D8" s="68" t="s">
        <v>4</v>
      </c>
      <c r="E8" s="68" t="s">
        <v>6</v>
      </c>
      <c r="F8" s="68" t="s">
        <v>7</v>
      </c>
      <c r="G8" s="68" t="s">
        <v>16</v>
      </c>
      <c r="H8" s="68" t="s">
        <v>18</v>
      </c>
      <c r="I8" s="126" t="s">
        <v>58</v>
      </c>
      <c r="J8" s="167" t="s">
        <v>59</v>
      </c>
    </row>
    <row r="9" spans="1:13" x14ac:dyDescent="0.2">
      <c r="A9" s="168" t="s">
        <v>183</v>
      </c>
      <c r="B9" s="137">
        <f>'Batch Mix Oper.'!K40</f>
        <v>50.704799999999992</v>
      </c>
      <c r="C9" s="137">
        <f>'Batch Mix Oper.'!L40</f>
        <v>17.627600000000001</v>
      </c>
      <c r="D9" s="137">
        <f>'Batch Mix Oper.'!M40</f>
        <v>2.291588</v>
      </c>
      <c r="E9" s="139" t="s">
        <v>74</v>
      </c>
      <c r="F9" s="139" t="s">
        <v>74</v>
      </c>
      <c r="G9" s="139" t="s">
        <v>74</v>
      </c>
      <c r="H9" s="139" t="s">
        <v>74</v>
      </c>
      <c r="I9" s="139" t="s">
        <v>74</v>
      </c>
      <c r="J9" s="169" t="s">
        <v>74</v>
      </c>
    </row>
    <row r="10" spans="1:13" x14ac:dyDescent="0.2">
      <c r="A10" s="170" t="s">
        <v>238</v>
      </c>
      <c r="B10" s="137">
        <f>'Auxiliary Heater'!E9</f>
        <v>0.62571428571428567</v>
      </c>
      <c r="C10" s="137">
        <f>'Auxiliary Heater'!F9</f>
        <v>1.0324285714285713</v>
      </c>
      <c r="D10" s="137">
        <f>'Auxiliary Heater'!G9</f>
        <v>0.7977857142857141</v>
      </c>
      <c r="E10" s="137">
        <f>'Auxiliary Heater'!H9</f>
        <v>6.6638571428571422E-2</v>
      </c>
      <c r="F10" s="137">
        <f>'Auxiliary Heater'!I9</f>
        <v>6.2571428571428562</v>
      </c>
      <c r="G10" s="137">
        <f>'Auxiliary Heater'!J9</f>
        <v>1.5642857142857141</v>
      </c>
      <c r="H10" s="137">
        <f>'Auxiliary Heater'!K9</f>
        <v>0.10637142857142856</v>
      </c>
      <c r="I10" s="139" t="s">
        <v>74</v>
      </c>
      <c r="J10" s="171">
        <f>'Auxiliary Heater'!L9</f>
        <v>0.17322899999999999</v>
      </c>
    </row>
    <row r="11" spans="1:13" x14ac:dyDescent="0.2">
      <c r="A11" s="170" t="s">
        <v>244</v>
      </c>
      <c r="B11" s="137">
        <f>'Non-Emergency Engine'!E9</f>
        <v>2.2995000000000001</v>
      </c>
      <c r="C11" s="137">
        <f>'Non-Emergency Engine'!F9</f>
        <v>2.2995000000000001</v>
      </c>
      <c r="D11" s="137">
        <f>'Non-Emergency Engine'!G9</f>
        <v>2.2995000000000001</v>
      </c>
      <c r="E11" s="137">
        <f>'Non-Emergency Engine'!H9</f>
        <v>3.9863475000000002E-2</v>
      </c>
      <c r="F11" s="137">
        <f>'Non-Emergency Engine'!I9</f>
        <v>78.84</v>
      </c>
      <c r="G11" s="137">
        <f>'Non-Emergency Engine'!J9</f>
        <v>18.067499999999999</v>
      </c>
      <c r="H11" s="137">
        <f>'Non-Emergency Engine'!K9</f>
        <v>2.315925</v>
      </c>
      <c r="I11" s="139"/>
      <c r="J11" s="171">
        <f>'Non-Emergency Engine'!L9</f>
        <v>9.8464130100000005E-2</v>
      </c>
    </row>
    <row r="12" spans="1:13" x14ac:dyDescent="0.2">
      <c r="A12" s="328" t="s">
        <v>249</v>
      </c>
      <c r="B12" s="137">
        <f>'Emergency Generator'!E9</f>
        <v>0.17499999999999999</v>
      </c>
      <c r="C12" s="137">
        <f>'Emergency Generator'!F9</f>
        <v>0.17499999999999999</v>
      </c>
      <c r="D12" s="137">
        <f>'Emergency Generator'!G9</f>
        <v>0.17499999999999999</v>
      </c>
      <c r="E12" s="137">
        <f>'Emergency Generator'!H9</f>
        <v>3.03375E-3</v>
      </c>
      <c r="F12" s="137">
        <f>'Emergency Generator'!I9</f>
        <v>6</v>
      </c>
      <c r="G12" s="137">
        <f>'Emergency Generator'!J9</f>
        <v>1.375</v>
      </c>
      <c r="H12" s="137">
        <f>'Emergency Generator'!K9</f>
        <v>0.17624999999999999</v>
      </c>
      <c r="I12" s="139" t="s">
        <v>74</v>
      </c>
      <c r="J12" s="172">
        <f>'Emergency Generator'!L9</f>
        <v>7.4934650000000004E-3</v>
      </c>
    </row>
    <row r="13" spans="1:13" x14ac:dyDescent="0.2">
      <c r="A13" s="170" t="s">
        <v>148</v>
      </c>
      <c r="B13" s="137">
        <f>'Vehicle Traffic'!J77</f>
        <v>0.43840474519491085</v>
      </c>
      <c r="C13" s="137">
        <f>'Vehicle Traffic'!J78</f>
        <v>0.11910242549640529</v>
      </c>
      <c r="D13" s="137"/>
      <c r="E13" s="137"/>
      <c r="F13" s="137"/>
      <c r="G13" s="137"/>
      <c r="H13" s="137"/>
      <c r="I13" s="139"/>
      <c r="J13" s="172"/>
    </row>
    <row r="14" spans="1:13" x14ac:dyDescent="0.2">
      <c r="A14" s="170" t="s">
        <v>204</v>
      </c>
      <c r="B14" s="274">
        <f>'Storage Piles'!I41</f>
        <v>4.4361269961929378E-4</v>
      </c>
      <c r="C14" s="274">
        <f>'Storage Piles'!I42</f>
        <v>1.5526444486675282E-4</v>
      </c>
      <c r="D14" s="137"/>
      <c r="E14" s="137"/>
      <c r="F14" s="137"/>
      <c r="G14" s="137"/>
      <c r="H14" s="137"/>
      <c r="I14" s="139"/>
      <c r="J14" s="172"/>
    </row>
    <row r="15" spans="1:13" x14ac:dyDescent="0.2">
      <c r="A15" s="170" t="s">
        <v>218</v>
      </c>
      <c r="B15" s="274"/>
      <c r="C15" s="274"/>
      <c r="D15" s="137"/>
      <c r="E15" s="137"/>
      <c r="F15" s="137"/>
      <c r="G15" s="137"/>
      <c r="H15" s="137">
        <f>'Solvent Degreaser'!E20</f>
        <v>2.085</v>
      </c>
      <c r="I15" s="139"/>
      <c r="J15" s="172">
        <f>'Solvent Degreaser'!F20</f>
        <v>2.085</v>
      </c>
    </row>
    <row r="16" spans="1:13" ht="13.5" thickBot="1" x14ac:dyDescent="0.25">
      <c r="A16" s="173"/>
      <c r="B16" s="6"/>
      <c r="C16" s="6"/>
      <c r="D16" s="6"/>
      <c r="E16" s="6"/>
      <c r="F16" s="6"/>
      <c r="G16" s="6"/>
      <c r="H16" s="6"/>
      <c r="I16" s="6"/>
      <c r="J16" s="174"/>
    </row>
    <row r="17" spans="1:10" ht="14.25" thickTop="1" thickBot="1" x14ac:dyDescent="0.25">
      <c r="A17" s="175" t="s">
        <v>182</v>
      </c>
      <c r="B17" s="176">
        <f>SUM(B9:B14)</f>
        <v>54.243862643608807</v>
      </c>
      <c r="C17" s="177">
        <f>SUM(C9:C14)</f>
        <v>21.253786261369843</v>
      </c>
      <c r="D17" s="177">
        <f t="shared" ref="D17:I17" si="0">SUM(D9:D12)</f>
        <v>5.5638737142857142</v>
      </c>
      <c r="E17" s="177">
        <f t="shared" si="0"/>
        <v>0.10953579642857142</v>
      </c>
      <c r="F17" s="177">
        <f t="shared" si="0"/>
        <v>91.097142857142856</v>
      </c>
      <c r="G17" s="177">
        <f t="shared" si="0"/>
        <v>21.006785714285712</v>
      </c>
      <c r="H17" s="177">
        <f>SUM(H10:H16)</f>
        <v>4.6835464285714288</v>
      </c>
      <c r="I17" s="177">
        <f t="shared" si="0"/>
        <v>0</v>
      </c>
      <c r="J17" s="178">
        <f>SUM(J9:J15)</f>
        <v>2.3641865951000001</v>
      </c>
    </row>
    <row r="18" spans="1:10" ht="13.5" thickBot="1" x14ac:dyDescent="0.25"/>
    <row r="19" spans="1:10" ht="19.5" customHeight="1" x14ac:dyDescent="0.2">
      <c r="A19" s="350" t="s">
        <v>206</v>
      </c>
      <c r="B19" s="351"/>
      <c r="C19" s="351"/>
      <c r="D19" s="351"/>
      <c r="E19" s="351"/>
      <c r="F19" s="351"/>
      <c r="G19" s="351"/>
      <c r="H19" s="351"/>
      <c r="I19" s="351"/>
      <c r="J19" s="351"/>
    </row>
  </sheetData>
  <mergeCells count="6">
    <mergeCell ref="A19:J19"/>
    <mergeCell ref="B7:J7"/>
    <mergeCell ref="A1:J1"/>
    <mergeCell ref="A2:J2"/>
    <mergeCell ref="A3:J3"/>
    <mergeCell ref="A4:J4"/>
  </mergeCells>
  <phoneticPr fontId="2" type="noConversion"/>
  <pageMargins left="0.75" right="0.75" top="1" bottom="1" header="0.5" footer="0.5"/>
  <pageSetup orientation="portrait" r:id="rId1"/>
  <headerFooter alignWithMargins="0">
    <oddFooter>Page &amp;P of &amp;N</oddFooter>
  </headerFooter>
  <customProperties>
    <customPr name="DVSECTION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7109375" defaultRowHeight="12.75" x14ac:dyDescent="0.2"/>
  <sheetData>
    <row r="1" spans="1:256" x14ac:dyDescent="0.2">
      <c r="A1" t="e">
        <f>IF('5222018'!1:1,"AAAAAH3zvQA=",0)</f>
        <v>#VALUE!</v>
      </c>
      <c r="B1" t="e">
        <f>AND('5222018'!A1,"AAAAAH3zvQE=")</f>
        <v>#VALUE!</v>
      </c>
      <c r="C1" t="e">
        <f>AND('5222018'!#REF!,"AAAAAH3zvQI=")</f>
        <v>#REF!</v>
      </c>
      <c r="D1" t="e">
        <f>AND('5222018'!B1,"AAAAAH3zvQM=")</f>
        <v>#VALUE!</v>
      </c>
      <c r="E1" t="e">
        <f>AND('5222018'!C1,"AAAAAH3zvQQ=")</f>
        <v>#VALUE!</v>
      </c>
      <c r="F1" t="e">
        <f>AND('5222018'!D1,"AAAAAH3zvQU=")</f>
        <v>#VALUE!</v>
      </c>
      <c r="G1" t="e">
        <f>AND('5222018'!E1,"AAAAAH3zvQY=")</f>
        <v>#VALUE!</v>
      </c>
      <c r="H1" t="e">
        <f>AND('5222018'!F1,"AAAAAH3zvQc=")</f>
        <v>#VALUE!</v>
      </c>
      <c r="I1" t="e">
        <f>AND('5222018'!G1,"AAAAAH3zvQg=")</f>
        <v>#VALUE!</v>
      </c>
      <c r="J1" t="e">
        <f>AND('5222018'!H1,"AAAAAH3zvQk=")</f>
        <v>#VALUE!</v>
      </c>
      <c r="K1" t="e">
        <f>AND('5222018'!I1,"AAAAAH3zvQo=")</f>
        <v>#VALUE!</v>
      </c>
      <c r="L1" t="e">
        <f>AND('5222018'!J1,"AAAAAH3zvQs=")</f>
        <v>#VALUE!</v>
      </c>
      <c r="M1" t="e">
        <f>AND('5222018'!K1,"AAAAAH3zvQw=")</f>
        <v>#VALUE!</v>
      </c>
      <c r="N1" t="e">
        <f>AND('5222018'!L1,"AAAAAH3zvQ0=")</f>
        <v>#VALUE!</v>
      </c>
      <c r="O1">
        <f>IF('5222018'!2:2,"AAAAAH3zvQ4=",0)</f>
        <v>0</v>
      </c>
      <c r="P1" t="e">
        <f>AND('5222018'!A2,"AAAAAH3zvQ8=")</f>
        <v>#VALUE!</v>
      </c>
      <c r="Q1" t="e">
        <f>AND('5222018'!B2,"AAAAAH3zvRA=")</f>
        <v>#VALUE!</v>
      </c>
      <c r="R1" t="e">
        <f>AND('5222018'!C2,"AAAAAH3zvRE=")</f>
        <v>#VALUE!</v>
      </c>
      <c r="S1" t="e">
        <f>AND('5222018'!D2,"AAAAAH3zvRI=")</f>
        <v>#VALUE!</v>
      </c>
      <c r="T1" t="e">
        <f>AND('5222018'!E2,"AAAAAH3zvRM=")</f>
        <v>#VALUE!</v>
      </c>
      <c r="U1" t="e">
        <f>AND('5222018'!F2,"AAAAAH3zvRQ=")</f>
        <v>#VALUE!</v>
      </c>
      <c r="V1" t="e">
        <f>AND('5222018'!G2,"AAAAAH3zvRU=")</f>
        <v>#VALUE!</v>
      </c>
      <c r="W1" t="e">
        <f>AND('5222018'!H2,"AAAAAH3zvRY=")</f>
        <v>#VALUE!</v>
      </c>
      <c r="X1" t="e">
        <f>AND('5222018'!I2,"AAAAAH3zvRc=")</f>
        <v>#VALUE!</v>
      </c>
      <c r="Y1" t="e">
        <f>AND('5222018'!J2,"AAAAAH3zvRg=")</f>
        <v>#VALUE!</v>
      </c>
      <c r="Z1" t="e">
        <f>AND('5222018'!K2,"AAAAAH3zvRk=")</f>
        <v>#VALUE!</v>
      </c>
      <c r="AA1" t="e">
        <f>AND('5222018'!L2,"AAAAAH3zvRo=")</f>
        <v>#VALUE!</v>
      </c>
      <c r="AB1" t="e">
        <f>AND('5222018'!#REF!,"AAAAAH3zvRs=")</f>
        <v>#REF!</v>
      </c>
      <c r="AC1">
        <f>IF('5222018'!3:3,"AAAAAH3zvRw=",0)</f>
        <v>0</v>
      </c>
      <c r="AD1" t="e">
        <f>AND('5222018'!A3,"AAAAAH3zvR0=")</f>
        <v>#VALUE!</v>
      </c>
      <c r="AE1" t="e">
        <f>AND('5222018'!#REF!,"AAAAAH3zvR4=")</f>
        <v>#REF!</v>
      </c>
      <c r="AF1" t="e">
        <f>AND('5222018'!B3,"AAAAAH3zvR8=")</f>
        <v>#VALUE!</v>
      </c>
      <c r="AG1" t="e">
        <f>AND('5222018'!C3,"AAAAAH3zvSA=")</f>
        <v>#VALUE!</v>
      </c>
      <c r="AH1" t="e">
        <f>AND('5222018'!D3,"AAAAAH3zvSE=")</f>
        <v>#VALUE!</v>
      </c>
      <c r="AI1" t="e">
        <f>AND('5222018'!E3,"AAAAAH3zvSI=")</f>
        <v>#VALUE!</v>
      </c>
      <c r="AJ1" t="e">
        <f>AND('5222018'!F3,"AAAAAH3zvSM=")</f>
        <v>#VALUE!</v>
      </c>
      <c r="AK1" t="e">
        <f>AND('5222018'!G3,"AAAAAH3zvSQ=")</f>
        <v>#VALUE!</v>
      </c>
      <c r="AL1" t="e">
        <f>AND('5222018'!H3,"AAAAAH3zvSU=")</f>
        <v>#VALUE!</v>
      </c>
      <c r="AM1" t="e">
        <f>AND('5222018'!I3,"AAAAAH3zvSY=")</f>
        <v>#VALUE!</v>
      </c>
      <c r="AN1" t="e">
        <f>AND('5222018'!J3,"AAAAAH3zvSc=")</f>
        <v>#VALUE!</v>
      </c>
      <c r="AO1" t="e">
        <f>AND('5222018'!K3,"AAAAAH3zvSg=")</f>
        <v>#VALUE!</v>
      </c>
      <c r="AP1" t="e">
        <f>AND('5222018'!L3,"AAAAAH3zvSk=")</f>
        <v>#VALUE!</v>
      </c>
      <c r="AQ1">
        <f>IF('5222018'!5:5,"AAAAAH3zvSo=",0)</f>
        <v>0</v>
      </c>
      <c r="AR1" t="e">
        <f>AND('5222018'!#REF!,"AAAAAH3zvSs=")</f>
        <v>#REF!</v>
      </c>
      <c r="AS1" t="e">
        <f>AND('5222018'!A5,"AAAAAH3zvSw=")</f>
        <v>#VALUE!</v>
      </c>
      <c r="AT1" t="e">
        <f>AND('5222018'!B5,"AAAAAH3zvS0=")</f>
        <v>#VALUE!</v>
      </c>
      <c r="AU1" t="e">
        <f>AND('5222018'!C5,"AAAAAH3zvS4=")</f>
        <v>#VALUE!</v>
      </c>
      <c r="AV1" t="e">
        <f>AND('5222018'!D5,"AAAAAH3zvS8=")</f>
        <v>#VALUE!</v>
      </c>
      <c r="AW1" t="e">
        <f>AND('5222018'!E5,"AAAAAH3zvTA=")</f>
        <v>#VALUE!</v>
      </c>
      <c r="AX1" t="e">
        <f>AND('5222018'!F5,"AAAAAH3zvTE=")</f>
        <v>#VALUE!</v>
      </c>
      <c r="AY1" t="e">
        <f>AND('5222018'!G5,"AAAAAH3zvTI=")</f>
        <v>#VALUE!</v>
      </c>
      <c r="AZ1" t="e">
        <f>AND('5222018'!H5,"AAAAAH3zvTM=")</f>
        <v>#VALUE!</v>
      </c>
      <c r="BA1" t="e">
        <f>AND('5222018'!I5,"AAAAAH3zvTQ=")</f>
        <v>#VALUE!</v>
      </c>
      <c r="BB1" t="e">
        <f>AND('5222018'!J5,"AAAAAH3zvTU=")</f>
        <v>#VALUE!</v>
      </c>
      <c r="BC1" t="e">
        <f>AND('5222018'!K5,"AAAAAH3zvTY=")</f>
        <v>#VALUE!</v>
      </c>
      <c r="BD1" t="e">
        <f>AND('5222018'!L5,"AAAAAH3zvTc=")</f>
        <v>#VALUE!</v>
      </c>
      <c r="BE1">
        <f>IF('5222018'!6:6,"AAAAAH3zvTg=",0)</f>
        <v>0</v>
      </c>
      <c r="BF1" t="e">
        <f>AND('5222018'!#REF!,"AAAAAH3zvTk=")</f>
        <v>#REF!</v>
      </c>
      <c r="BG1" t="e">
        <f>AND('5222018'!A6,"AAAAAH3zvTo=")</f>
        <v>#VALUE!</v>
      </c>
      <c r="BH1" t="e">
        <f>AND('5222018'!B6,"AAAAAH3zvTs=")</f>
        <v>#VALUE!</v>
      </c>
      <c r="BI1" t="e">
        <f>AND('5222018'!C6,"AAAAAH3zvTw=")</f>
        <v>#VALUE!</v>
      </c>
      <c r="BJ1" t="e">
        <f>AND('5222018'!D6,"AAAAAH3zvT0=")</f>
        <v>#VALUE!</v>
      </c>
      <c r="BK1" t="e">
        <f>AND('5222018'!E6,"AAAAAH3zvT4=")</f>
        <v>#VALUE!</v>
      </c>
      <c r="BL1" t="e">
        <f>AND('5222018'!F6,"AAAAAH3zvT8=")</f>
        <v>#VALUE!</v>
      </c>
      <c r="BM1" t="e">
        <f>AND('5222018'!G6,"AAAAAH3zvUA=")</f>
        <v>#VALUE!</v>
      </c>
      <c r="BN1" t="e">
        <f>AND('5222018'!H6,"AAAAAH3zvUE=")</f>
        <v>#VALUE!</v>
      </c>
      <c r="BO1" t="e">
        <f>AND('5222018'!I6,"AAAAAH3zvUI=")</f>
        <v>#VALUE!</v>
      </c>
      <c r="BP1" t="e">
        <f>AND('5222018'!J6,"AAAAAH3zvUM=")</f>
        <v>#VALUE!</v>
      </c>
      <c r="BQ1" t="e">
        <f>AND('5222018'!K6,"AAAAAH3zvUQ=")</f>
        <v>#VALUE!</v>
      </c>
      <c r="BR1" t="e">
        <f>AND('5222018'!L6,"AAAAAH3zvUU=")</f>
        <v>#VALUE!</v>
      </c>
      <c r="BS1">
        <f>IF('5222018'!7:7,"AAAAAH3zvUY=",0)</f>
        <v>0</v>
      </c>
      <c r="BT1" t="e">
        <f>AND('5222018'!#REF!,"AAAAAH3zvUc=")</f>
        <v>#REF!</v>
      </c>
      <c r="BU1" t="e">
        <f>AND('5222018'!A7,"AAAAAH3zvUg=")</f>
        <v>#VALUE!</v>
      </c>
      <c r="BV1" t="e">
        <f>AND('5222018'!B7,"AAAAAH3zvUk=")</f>
        <v>#VALUE!</v>
      </c>
      <c r="BW1" t="e">
        <f>AND('5222018'!C7,"AAAAAH3zvUo=")</f>
        <v>#VALUE!</v>
      </c>
      <c r="BX1" t="e">
        <f>AND('5222018'!D7,"AAAAAH3zvUs=")</f>
        <v>#VALUE!</v>
      </c>
      <c r="BY1" t="e">
        <f>AND('5222018'!E7,"AAAAAH3zvUw=")</f>
        <v>#VALUE!</v>
      </c>
      <c r="BZ1" t="e">
        <f>AND('5222018'!F7,"AAAAAH3zvU0=")</f>
        <v>#VALUE!</v>
      </c>
      <c r="CA1" t="e">
        <f>AND('5222018'!G7,"AAAAAH3zvU4=")</f>
        <v>#VALUE!</v>
      </c>
      <c r="CB1" t="e">
        <f>AND('5222018'!H7,"AAAAAH3zvU8=")</f>
        <v>#VALUE!</v>
      </c>
      <c r="CC1" t="e">
        <f>AND('5222018'!I7,"AAAAAH3zvVA=")</f>
        <v>#VALUE!</v>
      </c>
      <c r="CD1" t="e">
        <f>AND('5222018'!J7,"AAAAAH3zvVE=")</f>
        <v>#VALUE!</v>
      </c>
      <c r="CE1" t="e">
        <f>AND('5222018'!K7,"AAAAAH3zvVI=")</f>
        <v>#VALUE!</v>
      </c>
      <c r="CF1" t="e">
        <f>AND('5222018'!L7,"AAAAAH3zvVM=")</f>
        <v>#VALUE!</v>
      </c>
      <c r="CG1">
        <f>IF('5222018'!8:8,"AAAAAH3zvVQ=",0)</f>
        <v>0</v>
      </c>
      <c r="CH1" t="e">
        <f>AND('5222018'!#REF!,"AAAAAH3zvVU=")</f>
        <v>#REF!</v>
      </c>
      <c r="CI1" t="e">
        <f>AND('5222018'!A8,"AAAAAH3zvVY=")</f>
        <v>#VALUE!</v>
      </c>
      <c r="CJ1" t="e">
        <f>AND('5222018'!B8,"AAAAAH3zvVc=")</f>
        <v>#VALUE!</v>
      </c>
      <c r="CK1" t="e">
        <f>AND('5222018'!C8,"AAAAAH3zvVg=")</f>
        <v>#VALUE!</v>
      </c>
      <c r="CL1" t="e">
        <f>AND('5222018'!D8,"AAAAAH3zvVk=")</f>
        <v>#VALUE!</v>
      </c>
      <c r="CM1" t="e">
        <f>AND('5222018'!E8,"AAAAAH3zvVo=")</f>
        <v>#VALUE!</v>
      </c>
      <c r="CN1" t="e">
        <f>AND('5222018'!F8,"AAAAAH3zvVs=")</f>
        <v>#VALUE!</v>
      </c>
      <c r="CO1" t="e">
        <f>AND('5222018'!G8,"AAAAAH3zvVw=")</f>
        <v>#VALUE!</v>
      </c>
      <c r="CP1" t="e">
        <f>AND('5222018'!H8,"AAAAAH3zvV0=")</f>
        <v>#VALUE!</v>
      </c>
      <c r="CQ1" t="e">
        <f>AND('5222018'!I8,"AAAAAH3zvV4=")</f>
        <v>#VALUE!</v>
      </c>
      <c r="CR1" t="e">
        <f>AND('5222018'!J8,"AAAAAH3zvV8=")</f>
        <v>#VALUE!</v>
      </c>
      <c r="CS1" t="e">
        <f>AND('5222018'!K8,"AAAAAH3zvWA=")</f>
        <v>#VALUE!</v>
      </c>
      <c r="CT1" t="e">
        <f>AND('5222018'!L8,"AAAAAH3zvWE=")</f>
        <v>#VALUE!</v>
      </c>
      <c r="CU1">
        <f>IF('5222018'!9:9,"AAAAAH3zvWI=",0)</f>
        <v>0</v>
      </c>
      <c r="CV1" t="e">
        <f>AND('5222018'!#REF!,"AAAAAH3zvWM=")</f>
        <v>#REF!</v>
      </c>
      <c r="CW1" t="e">
        <f>AND('5222018'!A9,"AAAAAH3zvWQ=")</f>
        <v>#VALUE!</v>
      </c>
      <c r="CX1" t="e">
        <f>AND('5222018'!B9,"AAAAAH3zvWU=")</f>
        <v>#VALUE!</v>
      </c>
      <c r="CY1" t="e">
        <f>AND('5222018'!C9,"AAAAAH3zvWY=")</f>
        <v>#VALUE!</v>
      </c>
      <c r="CZ1" t="e">
        <f>AND('5222018'!D9,"AAAAAH3zvWc=")</f>
        <v>#VALUE!</v>
      </c>
      <c r="DA1" t="e">
        <f>AND('5222018'!E9,"AAAAAH3zvWg=")</f>
        <v>#VALUE!</v>
      </c>
      <c r="DB1" t="e">
        <f>AND('5222018'!F9,"AAAAAH3zvWk=")</f>
        <v>#VALUE!</v>
      </c>
      <c r="DC1" t="e">
        <f>AND('5222018'!G9,"AAAAAH3zvWo=")</f>
        <v>#VALUE!</v>
      </c>
      <c r="DD1" t="e">
        <f>AND('5222018'!H9,"AAAAAH3zvWs=")</f>
        <v>#VALUE!</v>
      </c>
      <c r="DE1" t="e">
        <f>AND('5222018'!I9,"AAAAAH3zvWw=")</f>
        <v>#VALUE!</v>
      </c>
      <c r="DF1" t="e">
        <f>AND('5222018'!J9,"AAAAAH3zvW0=")</f>
        <v>#VALUE!</v>
      </c>
      <c r="DG1" t="e">
        <f>AND('5222018'!K9,"AAAAAH3zvW4=")</f>
        <v>#VALUE!</v>
      </c>
      <c r="DH1" t="e">
        <f>AND('5222018'!L9,"AAAAAH3zvW8=")</f>
        <v>#VALUE!</v>
      </c>
      <c r="DI1">
        <f>IF('5222018'!10:10,"AAAAAH3zvXA=",0)</f>
        <v>0</v>
      </c>
      <c r="DJ1" t="e">
        <f>AND('5222018'!#REF!,"AAAAAH3zvXE=")</f>
        <v>#REF!</v>
      </c>
      <c r="DK1" t="e">
        <f>AND('5222018'!A10,"AAAAAH3zvXI=")</f>
        <v>#VALUE!</v>
      </c>
      <c r="DL1" t="e">
        <f>AND('5222018'!B10,"AAAAAH3zvXM=")</f>
        <v>#VALUE!</v>
      </c>
      <c r="DM1" t="e">
        <f>AND('5222018'!C10,"AAAAAH3zvXQ=")</f>
        <v>#VALUE!</v>
      </c>
      <c r="DN1" t="e">
        <f>AND('5222018'!D10,"AAAAAH3zvXU=")</f>
        <v>#VALUE!</v>
      </c>
      <c r="DO1" t="e">
        <f>AND('5222018'!E10,"AAAAAH3zvXY=")</f>
        <v>#VALUE!</v>
      </c>
      <c r="DP1" t="e">
        <f>AND('5222018'!F10,"AAAAAH3zvXc=")</f>
        <v>#VALUE!</v>
      </c>
      <c r="DQ1" t="e">
        <f>AND('5222018'!G10,"AAAAAH3zvXg=")</f>
        <v>#VALUE!</v>
      </c>
      <c r="DR1" t="e">
        <f>AND('5222018'!H10,"AAAAAH3zvXk=")</f>
        <v>#VALUE!</v>
      </c>
      <c r="DS1" t="e">
        <f>AND('5222018'!I10,"AAAAAH3zvXo=")</f>
        <v>#VALUE!</v>
      </c>
      <c r="DT1" t="e">
        <f>AND('5222018'!J10,"AAAAAH3zvXs=")</f>
        <v>#VALUE!</v>
      </c>
      <c r="DU1" t="e">
        <f>AND('5222018'!K10,"AAAAAH3zvXw=")</f>
        <v>#VALUE!</v>
      </c>
      <c r="DV1" t="e">
        <f>AND('5222018'!L10,"AAAAAH3zvX0=")</f>
        <v>#VALUE!</v>
      </c>
      <c r="DW1">
        <f>IF('5222018'!11:11,"AAAAAH3zvX4=",0)</f>
        <v>0</v>
      </c>
      <c r="DX1" t="e">
        <f>AND('5222018'!#REF!,"AAAAAH3zvX8=")</f>
        <v>#REF!</v>
      </c>
      <c r="DY1" t="e">
        <f>AND('5222018'!A11,"AAAAAH3zvYA=")</f>
        <v>#VALUE!</v>
      </c>
      <c r="DZ1" t="e">
        <f>AND('5222018'!B11,"AAAAAH3zvYE=")</f>
        <v>#VALUE!</v>
      </c>
      <c r="EA1" t="e">
        <f>AND('5222018'!C11,"AAAAAH3zvYI=")</f>
        <v>#VALUE!</v>
      </c>
      <c r="EB1" t="e">
        <f>AND('5222018'!D11,"AAAAAH3zvYM=")</f>
        <v>#VALUE!</v>
      </c>
      <c r="EC1" t="e">
        <f>AND('5222018'!E11,"AAAAAH3zvYQ=")</f>
        <v>#VALUE!</v>
      </c>
      <c r="ED1" t="e">
        <f>AND('5222018'!F11,"AAAAAH3zvYU=")</f>
        <v>#VALUE!</v>
      </c>
      <c r="EE1" t="e">
        <f>AND('5222018'!G11,"AAAAAH3zvYY=")</f>
        <v>#VALUE!</v>
      </c>
      <c r="EF1" t="e">
        <f>AND('5222018'!H11,"AAAAAH3zvYc=")</f>
        <v>#VALUE!</v>
      </c>
      <c r="EG1" t="e">
        <f>AND('5222018'!I11,"AAAAAH3zvYg=")</f>
        <v>#VALUE!</v>
      </c>
      <c r="EH1" t="e">
        <f>AND('5222018'!J11,"AAAAAH3zvYk=")</f>
        <v>#VALUE!</v>
      </c>
      <c r="EI1" t="e">
        <f>AND('5222018'!K11,"AAAAAH3zvYo=")</f>
        <v>#VALUE!</v>
      </c>
      <c r="EJ1" t="e">
        <f>AND('5222018'!L11,"AAAAAH3zvYs=")</f>
        <v>#VALUE!</v>
      </c>
      <c r="EK1" t="e">
        <f>IF('5222018'!#REF!,"AAAAAH3zvYw=",0)</f>
        <v>#REF!</v>
      </c>
      <c r="EL1" t="e">
        <f>AND('5222018'!#REF!,"AAAAAH3zvY0=")</f>
        <v>#REF!</v>
      </c>
      <c r="EM1" t="e">
        <f>AND('5222018'!#REF!,"AAAAAH3zvY4=")</f>
        <v>#REF!</v>
      </c>
      <c r="EN1" t="e">
        <f>AND('5222018'!#REF!,"AAAAAH3zvY8=")</f>
        <v>#REF!</v>
      </c>
      <c r="EO1" t="e">
        <f>AND('5222018'!#REF!,"AAAAAH3zvZA=")</f>
        <v>#REF!</v>
      </c>
      <c r="EP1" t="e">
        <f>AND('5222018'!#REF!,"AAAAAH3zvZE=")</f>
        <v>#REF!</v>
      </c>
      <c r="EQ1" t="e">
        <f>AND('5222018'!#REF!,"AAAAAH3zvZI=")</f>
        <v>#REF!</v>
      </c>
      <c r="ER1" t="e">
        <f>AND('5222018'!#REF!,"AAAAAH3zvZM=")</f>
        <v>#REF!</v>
      </c>
      <c r="ES1" t="e">
        <f>AND('5222018'!#REF!,"AAAAAH3zvZQ=")</f>
        <v>#REF!</v>
      </c>
      <c r="ET1" t="e">
        <f>AND('5222018'!#REF!,"AAAAAH3zvZU=")</f>
        <v>#REF!</v>
      </c>
      <c r="EU1" t="e">
        <f>AND('5222018'!#REF!,"AAAAAH3zvZY=")</f>
        <v>#REF!</v>
      </c>
      <c r="EV1" t="e">
        <f>AND('5222018'!#REF!,"AAAAAH3zvZc=")</f>
        <v>#REF!</v>
      </c>
      <c r="EW1" t="e">
        <f>AND('5222018'!#REF!,"AAAAAH3zvZg=")</f>
        <v>#REF!</v>
      </c>
      <c r="EX1" t="e">
        <f>AND('5222018'!#REF!,"AAAAAH3zvZk=")</f>
        <v>#REF!</v>
      </c>
      <c r="EY1" t="e">
        <f>IF('5222018'!#REF!,"AAAAAH3zvZo=",0)</f>
        <v>#REF!</v>
      </c>
      <c r="EZ1" t="e">
        <f>AND('5222018'!#REF!,"AAAAAH3zvZs=")</f>
        <v>#REF!</v>
      </c>
      <c r="FA1" t="e">
        <f>AND('5222018'!#REF!,"AAAAAH3zvZw=")</f>
        <v>#REF!</v>
      </c>
      <c r="FB1" t="e">
        <f>AND('5222018'!#REF!,"AAAAAH3zvZ0=")</f>
        <v>#REF!</v>
      </c>
      <c r="FC1" t="e">
        <f>AND('5222018'!#REF!,"AAAAAH3zvZ4=")</f>
        <v>#REF!</v>
      </c>
      <c r="FD1" t="e">
        <f>AND('5222018'!#REF!,"AAAAAH3zvZ8=")</f>
        <v>#REF!</v>
      </c>
      <c r="FE1" t="e">
        <f>AND('5222018'!#REF!,"AAAAAH3zvaA=")</f>
        <v>#REF!</v>
      </c>
      <c r="FF1" t="e">
        <f>AND('5222018'!#REF!,"AAAAAH3zvaE=")</f>
        <v>#REF!</v>
      </c>
      <c r="FG1" t="e">
        <f>AND('5222018'!#REF!,"AAAAAH3zvaI=")</f>
        <v>#REF!</v>
      </c>
      <c r="FH1" t="e">
        <f>AND('5222018'!#REF!,"AAAAAH3zvaM=")</f>
        <v>#REF!</v>
      </c>
      <c r="FI1" t="e">
        <f>AND('5222018'!#REF!,"AAAAAH3zvaQ=")</f>
        <v>#REF!</v>
      </c>
      <c r="FJ1" t="e">
        <f>AND('5222018'!#REF!,"AAAAAH3zvaU=")</f>
        <v>#REF!</v>
      </c>
      <c r="FK1" t="e">
        <f>AND('5222018'!#REF!,"AAAAAH3zvaY=")</f>
        <v>#REF!</v>
      </c>
      <c r="FL1" t="e">
        <f>AND('5222018'!#REF!,"AAAAAH3zvac=")</f>
        <v>#REF!</v>
      </c>
      <c r="FM1">
        <f>IF('5222018'!13:13,"AAAAAH3zvag=",0)</f>
        <v>0</v>
      </c>
      <c r="FN1" t="e">
        <f>AND('5222018'!#REF!,"AAAAAH3zvak=")</f>
        <v>#REF!</v>
      </c>
      <c r="FO1" t="e">
        <f>AND('5222018'!A13,"AAAAAH3zvao=")</f>
        <v>#VALUE!</v>
      </c>
      <c r="FP1" t="e">
        <f>AND('5222018'!B13,"AAAAAH3zvas=")</f>
        <v>#VALUE!</v>
      </c>
      <c r="FQ1" t="e">
        <f>AND('5222018'!C13,"AAAAAH3zvaw=")</f>
        <v>#VALUE!</v>
      </c>
      <c r="FR1" t="e">
        <f>AND('5222018'!D13,"AAAAAH3zva0=")</f>
        <v>#VALUE!</v>
      </c>
      <c r="FS1" t="e">
        <f>AND('5222018'!E13,"AAAAAH3zva4=")</f>
        <v>#VALUE!</v>
      </c>
      <c r="FT1" t="e">
        <f>AND('5222018'!F13,"AAAAAH3zva8=")</f>
        <v>#VALUE!</v>
      </c>
      <c r="FU1" t="e">
        <f>AND('5222018'!G13,"AAAAAH3zvbA=")</f>
        <v>#VALUE!</v>
      </c>
      <c r="FV1" t="e">
        <f>AND('5222018'!H13,"AAAAAH3zvbE=")</f>
        <v>#VALUE!</v>
      </c>
      <c r="FW1" t="e">
        <f>AND('5222018'!I13,"AAAAAH3zvbI=")</f>
        <v>#VALUE!</v>
      </c>
      <c r="FX1" t="e">
        <f>AND('5222018'!J13,"AAAAAH3zvbM=")</f>
        <v>#VALUE!</v>
      </c>
      <c r="FY1" t="e">
        <f>AND('5222018'!K13,"AAAAAH3zvbQ=")</f>
        <v>#VALUE!</v>
      </c>
      <c r="FZ1" t="e">
        <f>AND('5222018'!L13,"AAAAAH3zvbU=")</f>
        <v>#VALUE!</v>
      </c>
      <c r="GA1">
        <f>IF('5222018'!14:14,"AAAAAH3zvbY=",0)</f>
        <v>0</v>
      </c>
      <c r="GB1" t="e">
        <f>AND('5222018'!#REF!,"AAAAAH3zvbc=")</f>
        <v>#REF!</v>
      </c>
      <c r="GC1" t="e">
        <f>AND('5222018'!A14,"AAAAAH3zvbg=")</f>
        <v>#VALUE!</v>
      </c>
      <c r="GD1" t="e">
        <f>AND('5222018'!B14,"AAAAAH3zvbk=")</f>
        <v>#VALUE!</v>
      </c>
      <c r="GE1" t="e">
        <f>AND('5222018'!C14,"AAAAAH3zvbo=")</f>
        <v>#VALUE!</v>
      </c>
      <c r="GF1" t="e">
        <f>AND('5222018'!D14,"AAAAAH3zvbs=")</f>
        <v>#VALUE!</v>
      </c>
      <c r="GG1" t="e">
        <f>AND('5222018'!E14,"AAAAAH3zvbw=")</f>
        <v>#VALUE!</v>
      </c>
      <c r="GH1" t="e">
        <f>AND('5222018'!F14,"AAAAAH3zvb0=")</f>
        <v>#VALUE!</v>
      </c>
      <c r="GI1" t="e">
        <f>AND('5222018'!G14,"AAAAAH3zvb4=")</f>
        <v>#VALUE!</v>
      </c>
      <c r="GJ1" t="e">
        <f>AND('5222018'!H14,"AAAAAH3zvb8=")</f>
        <v>#VALUE!</v>
      </c>
      <c r="GK1" t="e">
        <f>AND('5222018'!I14,"AAAAAH3zvcA=")</f>
        <v>#VALUE!</v>
      </c>
      <c r="GL1" t="e">
        <f>AND('5222018'!J14,"AAAAAH3zvcE=")</f>
        <v>#VALUE!</v>
      </c>
      <c r="GM1" t="e">
        <f>AND('5222018'!K14,"AAAAAH3zvcI=")</f>
        <v>#VALUE!</v>
      </c>
      <c r="GN1" t="e">
        <f>AND('5222018'!L14,"AAAAAH3zvcM=")</f>
        <v>#VALUE!</v>
      </c>
      <c r="GO1" t="e">
        <f>IF('5222018'!#REF!,"AAAAAH3zvcQ=",0)</f>
        <v>#REF!</v>
      </c>
      <c r="GP1" t="e">
        <f>AND('5222018'!#REF!,"AAAAAH3zvcU=")</f>
        <v>#REF!</v>
      </c>
      <c r="GQ1" t="e">
        <f>AND('5222018'!#REF!,"AAAAAH3zvcY=")</f>
        <v>#REF!</v>
      </c>
      <c r="GR1" t="e">
        <f>AND('5222018'!#REF!,"AAAAAH3zvcc=")</f>
        <v>#REF!</v>
      </c>
      <c r="GS1" t="e">
        <f>AND('5222018'!#REF!,"AAAAAH3zvcg=")</f>
        <v>#REF!</v>
      </c>
      <c r="GT1" t="e">
        <f>AND('5222018'!#REF!,"AAAAAH3zvck=")</f>
        <v>#REF!</v>
      </c>
      <c r="GU1" t="e">
        <f>AND('5222018'!#REF!,"AAAAAH3zvco=")</f>
        <v>#REF!</v>
      </c>
      <c r="GV1" t="e">
        <f>AND('5222018'!#REF!,"AAAAAH3zvcs=")</f>
        <v>#REF!</v>
      </c>
      <c r="GW1" t="e">
        <f>AND('5222018'!#REF!,"AAAAAH3zvcw=")</f>
        <v>#REF!</v>
      </c>
      <c r="GX1" t="e">
        <f>AND('5222018'!#REF!,"AAAAAH3zvc0=")</f>
        <v>#REF!</v>
      </c>
      <c r="GY1" t="e">
        <f>AND('5222018'!#REF!,"AAAAAH3zvc4=")</f>
        <v>#REF!</v>
      </c>
      <c r="GZ1" t="e">
        <f>AND('5222018'!#REF!,"AAAAAH3zvc8=")</f>
        <v>#REF!</v>
      </c>
      <c r="HA1" t="e">
        <f>AND('5222018'!#REF!,"AAAAAH3zvdA=")</f>
        <v>#REF!</v>
      </c>
      <c r="HB1" t="e">
        <f>AND('5222018'!#REF!,"AAAAAH3zvdE=")</f>
        <v>#REF!</v>
      </c>
      <c r="HC1" t="e">
        <f>IF('5222018'!#REF!,"AAAAAH3zvdI=",0)</f>
        <v>#REF!</v>
      </c>
      <c r="HD1" t="e">
        <f>AND('5222018'!#REF!,"AAAAAH3zvdM=")</f>
        <v>#REF!</v>
      </c>
      <c r="HE1" t="e">
        <f>AND('5222018'!#REF!,"AAAAAH3zvdQ=")</f>
        <v>#REF!</v>
      </c>
      <c r="HF1" t="e">
        <f>AND('5222018'!#REF!,"AAAAAH3zvdU=")</f>
        <v>#REF!</v>
      </c>
      <c r="HG1" t="e">
        <f>AND('5222018'!#REF!,"AAAAAH3zvdY=")</f>
        <v>#REF!</v>
      </c>
      <c r="HH1" t="e">
        <f>AND('5222018'!#REF!,"AAAAAH3zvdc=")</f>
        <v>#REF!</v>
      </c>
      <c r="HI1" t="e">
        <f>AND('5222018'!#REF!,"AAAAAH3zvdg=")</f>
        <v>#REF!</v>
      </c>
      <c r="HJ1" t="e">
        <f>AND('5222018'!#REF!,"AAAAAH3zvdk=")</f>
        <v>#REF!</v>
      </c>
      <c r="HK1" t="e">
        <f>AND('5222018'!#REF!,"AAAAAH3zvdo=")</f>
        <v>#REF!</v>
      </c>
      <c r="HL1" t="e">
        <f>AND('5222018'!#REF!,"AAAAAH3zvds=")</f>
        <v>#REF!</v>
      </c>
      <c r="HM1" t="e">
        <f>AND('5222018'!#REF!,"AAAAAH3zvdw=")</f>
        <v>#REF!</v>
      </c>
      <c r="HN1" t="e">
        <f>AND('5222018'!#REF!,"AAAAAH3zvd0=")</f>
        <v>#REF!</v>
      </c>
      <c r="HO1" t="e">
        <f>AND('5222018'!#REF!,"AAAAAH3zvd4=")</f>
        <v>#REF!</v>
      </c>
      <c r="HP1" t="e">
        <f>AND('5222018'!#REF!,"AAAAAH3zvd8=")</f>
        <v>#REF!</v>
      </c>
      <c r="HQ1" t="e">
        <f>IF('5222018'!#REF!,"AAAAAH3zveA=",0)</f>
        <v>#REF!</v>
      </c>
      <c r="HR1" t="e">
        <f>AND('5222018'!#REF!,"AAAAAH3zveE=")</f>
        <v>#REF!</v>
      </c>
      <c r="HS1" t="e">
        <f>AND('5222018'!#REF!,"AAAAAH3zveI=")</f>
        <v>#REF!</v>
      </c>
      <c r="HT1" t="e">
        <f>AND('5222018'!#REF!,"AAAAAH3zveM=")</f>
        <v>#REF!</v>
      </c>
      <c r="HU1" t="e">
        <f>AND('5222018'!#REF!,"AAAAAH3zveQ=")</f>
        <v>#REF!</v>
      </c>
      <c r="HV1" t="e">
        <f>AND('5222018'!#REF!,"AAAAAH3zveU=")</f>
        <v>#REF!</v>
      </c>
      <c r="HW1" t="e">
        <f>AND('5222018'!#REF!,"AAAAAH3zveY=")</f>
        <v>#REF!</v>
      </c>
      <c r="HX1" t="e">
        <f>AND('5222018'!#REF!,"AAAAAH3zvec=")</f>
        <v>#REF!</v>
      </c>
      <c r="HY1" t="e">
        <f>AND('5222018'!#REF!,"AAAAAH3zveg=")</f>
        <v>#REF!</v>
      </c>
      <c r="HZ1" t="e">
        <f>AND('5222018'!#REF!,"AAAAAH3zvek=")</f>
        <v>#REF!</v>
      </c>
      <c r="IA1" t="e">
        <f>AND('5222018'!#REF!,"AAAAAH3zveo=")</f>
        <v>#REF!</v>
      </c>
      <c r="IB1" t="e">
        <f>AND('5222018'!#REF!,"AAAAAH3zves=")</f>
        <v>#REF!</v>
      </c>
      <c r="IC1" t="e">
        <f>AND('5222018'!#REF!,"AAAAAH3zvew=")</f>
        <v>#REF!</v>
      </c>
      <c r="ID1" t="e">
        <f>AND('5222018'!#REF!,"AAAAAH3zve0=")</f>
        <v>#REF!</v>
      </c>
      <c r="IE1" t="e">
        <f>IF('5222018'!#REF!,"AAAAAH3zve4=",0)</f>
        <v>#REF!</v>
      </c>
      <c r="IF1" t="e">
        <f>AND('5222018'!#REF!,"AAAAAH3zve8=")</f>
        <v>#REF!</v>
      </c>
      <c r="IG1" t="e">
        <f>AND('5222018'!#REF!,"AAAAAH3zvfA=")</f>
        <v>#REF!</v>
      </c>
      <c r="IH1" t="e">
        <f>AND('5222018'!#REF!,"AAAAAH3zvfE=")</f>
        <v>#REF!</v>
      </c>
      <c r="II1" t="e">
        <f>AND('5222018'!#REF!,"AAAAAH3zvfI=")</f>
        <v>#REF!</v>
      </c>
      <c r="IJ1" t="e">
        <f>AND('5222018'!#REF!,"AAAAAH3zvfM=")</f>
        <v>#REF!</v>
      </c>
      <c r="IK1" t="e">
        <f>AND('5222018'!#REF!,"AAAAAH3zvfQ=")</f>
        <v>#REF!</v>
      </c>
      <c r="IL1" t="e">
        <f>AND('5222018'!#REF!,"AAAAAH3zvfU=")</f>
        <v>#REF!</v>
      </c>
      <c r="IM1" t="e">
        <f>AND('5222018'!#REF!,"AAAAAH3zvfY=")</f>
        <v>#REF!</v>
      </c>
      <c r="IN1" t="e">
        <f>AND('5222018'!#REF!,"AAAAAH3zvfc=")</f>
        <v>#REF!</v>
      </c>
      <c r="IO1" t="e">
        <f>AND('5222018'!#REF!,"AAAAAH3zvfg=")</f>
        <v>#REF!</v>
      </c>
      <c r="IP1" t="e">
        <f>AND('5222018'!#REF!,"AAAAAH3zvfk=")</f>
        <v>#REF!</v>
      </c>
      <c r="IQ1" t="e">
        <f>AND('5222018'!#REF!,"AAAAAH3zvfo=")</f>
        <v>#REF!</v>
      </c>
      <c r="IR1" t="e">
        <f>AND('5222018'!#REF!,"AAAAAH3zvfs=")</f>
        <v>#REF!</v>
      </c>
      <c r="IS1" t="e">
        <f>IF('5222018'!#REF!,"AAAAAH3zvfw=",0)</f>
        <v>#REF!</v>
      </c>
      <c r="IT1" t="e">
        <f>AND('5222018'!#REF!,"AAAAAH3zvf0=")</f>
        <v>#REF!</v>
      </c>
      <c r="IU1" t="e">
        <f>AND('5222018'!#REF!,"AAAAAH3zvf4=")</f>
        <v>#REF!</v>
      </c>
      <c r="IV1" t="e">
        <f>AND('5222018'!#REF!,"AAAAAH3zvf8=")</f>
        <v>#REF!</v>
      </c>
    </row>
    <row r="2" spans="1:256" x14ac:dyDescent="0.2">
      <c r="A2" t="e">
        <f>AND('5222018'!#REF!,"AAAAADvfbwA=")</f>
        <v>#REF!</v>
      </c>
      <c r="B2" t="e">
        <f>AND('5222018'!#REF!,"AAAAADvfbwE=")</f>
        <v>#REF!</v>
      </c>
      <c r="C2" t="e">
        <f>AND('5222018'!#REF!,"AAAAADvfbwI=")</f>
        <v>#REF!</v>
      </c>
      <c r="D2" t="e">
        <f>AND('5222018'!#REF!,"AAAAADvfbwM=")</f>
        <v>#REF!</v>
      </c>
      <c r="E2" t="e">
        <f>AND('5222018'!#REF!,"AAAAADvfbwQ=")</f>
        <v>#REF!</v>
      </c>
      <c r="F2" t="e">
        <f>AND('5222018'!#REF!,"AAAAADvfbwU=")</f>
        <v>#REF!</v>
      </c>
      <c r="G2" t="e">
        <f>AND('5222018'!#REF!,"AAAAADvfbwY=")</f>
        <v>#REF!</v>
      </c>
      <c r="H2" t="e">
        <f>AND('5222018'!#REF!,"AAAAADvfbwc=")</f>
        <v>#REF!</v>
      </c>
      <c r="I2" t="e">
        <f>AND('5222018'!#REF!,"AAAAADvfbwg=")</f>
        <v>#REF!</v>
      </c>
      <c r="J2" t="e">
        <f>AND('5222018'!#REF!,"AAAAADvfbwk=")</f>
        <v>#REF!</v>
      </c>
      <c r="K2" t="e">
        <f>IF('5222018'!#REF!,"AAAAADvfbwo=",0)</f>
        <v>#REF!</v>
      </c>
      <c r="L2" t="e">
        <f>AND('5222018'!#REF!,"AAAAADvfbws=")</f>
        <v>#REF!</v>
      </c>
      <c r="M2" t="e">
        <f>AND('5222018'!#REF!,"AAAAADvfbww=")</f>
        <v>#REF!</v>
      </c>
      <c r="N2" t="e">
        <f>AND('5222018'!#REF!,"AAAAADvfbw0=")</f>
        <v>#REF!</v>
      </c>
      <c r="O2" t="e">
        <f>AND('5222018'!#REF!,"AAAAADvfbw4=")</f>
        <v>#REF!</v>
      </c>
      <c r="P2" t="e">
        <f>AND('5222018'!#REF!,"AAAAADvfbw8=")</f>
        <v>#REF!</v>
      </c>
      <c r="Q2" t="e">
        <f>AND('5222018'!#REF!,"AAAAADvfbxA=")</f>
        <v>#REF!</v>
      </c>
      <c r="R2" t="e">
        <f>AND('5222018'!#REF!,"AAAAADvfbxE=")</f>
        <v>#REF!</v>
      </c>
      <c r="S2" t="e">
        <f>AND('5222018'!#REF!,"AAAAADvfbxI=")</f>
        <v>#REF!</v>
      </c>
      <c r="T2" t="e">
        <f>AND('5222018'!#REF!,"AAAAADvfbxM=")</f>
        <v>#REF!</v>
      </c>
      <c r="U2" t="e">
        <f>AND('5222018'!#REF!,"AAAAADvfbxQ=")</f>
        <v>#REF!</v>
      </c>
      <c r="V2" t="e">
        <f>AND('5222018'!#REF!,"AAAAADvfbxU=")</f>
        <v>#REF!</v>
      </c>
      <c r="W2" t="e">
        <f>AND('5222018'!#REF!,"AAAAADvfbxY=")</f>
        <v>#REF!</v>
      </c>
      <c r="X2" t="e">
        <f>AND('5222018'!#REF!,"AAAAADvfbxc=")</f>
        <v>#REF!</v>
      </c>
      <c r="Y2" t="e">
        <f>IF('5222018'!#REF!,"AAAAADvfbxg=",0)</f>
        <v>#REF!</v>
      </c>
      <c r="Z2" t="e">
        <f>AND('5222018'!#REF!,"AAAAADvfbxk=")</f>
        <v>#REF!</v>
      </c>
      <c r="AA2" t="e">
        <f>AND('5222018'!#REF!,"AAAAADvfbxo=")</f>
        <v>#REF!</v>
      </c>
      <c r="AB2" t="e">
        <f>AND('5222018'!#REF!,"AAAAADvfbxs=")</f>
        <v>#REF!</v>
      </c>
      <c r="AC2" t="e">
        <f>AND('5222018'!#REF!,"AAAAADvfbxw=")</f>
        <v>#REF!</v>
      </c>
      <c r="AD2" t="e">
        <f>AND('5222018'!#REF!,"AAAAADvfbx0=")</f>
        <v>#REF!</v>
      </c>
      <c r="AE2" t="e">
        <f>AND('5222018'!#REF!,"AAAAADvfbx4=")</f>
        <v>#REF!</v>
      </c>
      <c r="AF2" t="e">
        <f>AND('5222018'!#REF!,"AAAAADvfbx8=")</f>
        <v>#REF!</v>
      </c>
      <c r="AG2" t="e">
        <f>AND('5222018'!#REF!,"AAAAADvfbyA=")</f>
        <v>#REF!</v>
      </c>
      <c r="AH2" t="e">
        <f>AND('5222018'!#REF!,"AAAAADvfbyE=")</f>
        <v>#REF!</v>
      </c>
      <c r="AI2" t="e">
        <f>AND('5222018'!#REF!,"AAAAADvfbyI=")</f>
        <v>#REF!</v>
      </c>
      <c r="AJ2" t="e">
        <f>AND('5222018'!#REF!,"AAAAADvfbyM=")</f>
        <v>#REF!</v>
      </c>
      <c r="AK2" t="e">
        <f>AND('5222018'!#REF!,"AAAAADvfbyQ=")</f>
        <v>#REF!</v>
      </c>
      <c r="AL2" t="e">
        <f>AND('5222018'!#REF!,"AAAAADvfbyU=")</f>
        <v>#REF!</v>
      </c>
      <c r="AM2" t="e">
        <f>IF('5222018'!#REF!,"AAAAADvfbyY=",0)</f>
        <v>#REF!</v>
      </c>
      <c r="AN2" t="e">
        <f>AND('5222018'!#REF!,"AAAAADvfbyc=")</f>
        <v>#REF!</v>
      </c>
      <c r="AO2" t="e">
        <f>AND('5222018'!#REF!,"AAAAADvfbyg=")</f>
        <v>#REF!</v>
      </c>
      <c r="AP2" t="e">
        <f>AND('5222018'!#REF!,"AAAAADvfbyk=")</f>
        <v>#REF!</v>
      </c>
      <c r="AQ2" t="e">
        <f>AND('5222018'!#REF!,"AAAAADvfbyo=")</f>
        <v>#REF!</v>
      </c>
      <c r="AR2" t="e">
        <f>AND('5222018'!#REF!,"AAAAADvfbys=")</f>
        <v>#REF!</v>
      </c>
      <c r="AS2" t="e">
        <f>AND('5222018'!#REF!,"AAAAADvfbyw=")</f>
        <v>#REF!</v>
      </c>
      <c r="AT2" t="e">
        <f>AND('5222018'!#REF!,"AAAAADvfby0=")</f>
        <v>#REF!</v>
      </c>
      <c r="AU2" t="e">
        <f>AND('5222018'!#REF!,"AAAAADvfby4=")</f>
        <v>#REF!</v>
      </c>
      <c r="AV2" t="e">
        <f>AND('5222018'!#REF!,"AAAAADvfby8=")</f>
        <v>#REF!</v>
      </c>
      <c r="AW2" t="e">
        <f>AND('5222018'!#REF!,"AAAAADvfbzA=")</f>
        <v>#REF!</v>
      </c>
      <c r="AX2" t="e">
        <f>AND('5222018'!#REF!,"AAAAADvfbzE=")</f>
        <v>#REF!</v>
      </c>
      <c r="AY2" t="e">
        <f>AND('5222018'!#REF!,"AAAAADvfbzI=")</f>
        <v>#REF!</v>
      </c>
      <c r="AZ2" t="e">
        <f>AND('5222018'!#REF!,"AAAAADvfbzM=")</f>
        <v>#REF!</v>
      </c>
      <c r="BA2" t="e">
        <f>IF('5222018'!#REF!,"AAAAADvfbzQ=",0)</f>
        <v>#REF!</v>
      </c>
      <c r="BB2" t="e">
        <f>AND('5222018'!#REF!,"AAAAADvfbzU=")</f>
        <v>#REF!</v>
      </c>
      <c r="BC2" t="e">
        <f>AND('5222018'!#REF!,"AAAAADvfbzY=")</f>
        <v>#REF!</v>
      </c>
      <c r="BD2" t="e">
        <f>AND('5222018'!#REF!,"AAAAADvfbzc=")</f>
        <v>#REF!</v>
      </c>
      <c r="BE2" t="e">
        <f>AND('5222018'!#REF!,"AAAAADvfbzg=")</f>
        <v>#REF!</v>
      </c>
      <c r="BF2" t="e">
        <f>AND('5222018'!#REF!,"AAAAADvfbzk=")</f>
        <v>#REF!</v>
      </c>
      <c r="BG2" t="e">
        <f>AND('5222018'!#REF!,"AAAAADvfbzo=")</f>
        <v>#REF!</v>
      </c>
      <c r="BH2" t="e">
        <f>AND('5222018'!#REF!,"AAAAADvfbzs=")</f>
        <v>#REF!</v>
      </c>
      <c r="BI2" t="e">
        <f>AND('5222018'!#REF!,"AAAAADvfbzw=")</f>
        <v>#REF!</v>
      </c>
      <c r="BJ2" t="e">
        <f>AND('5222018'!#REF!,"AAAAADvfbz0=")</f>
        <v>#REF!</v>
      </c>
      <c r="BK2" t="e">
        <f>AND('5222018'!#REF!,"AAAAADvfbz4=")</f>
        <v>#REF!</v>
      </c>
      <c r="BL2" t="e">
        <f>AND('5222018'!#REF!,"AAAAADvfbz8=")</f>
        <v>#REF!</v>
      </c>
      <c r="BM2" t="e">
        <f>AND('5222018'!#REF!,"AAAAADvfb0A=")</f>
        <v>#REF!</v>
      </c>
      <c r="BN2" t="e">
        <f>AND('5222018'!#REF!,"AAAAADvfb0E=")</f>
        <v>#REF!</v>
      </c>
      <c r="BO2" t="e">
        <f>IF('5222018'!#REF!,"AAAAADvfb0I=",0)</f>
        <v>#REF!</v>
      </c>
      <c r="BP2" t="e">
        <f>AND('5222018'!#REF!,"AAAAADvfb0M=")</f>
        <v>#REF!</v>
      </c>
      <c r="BQ2" t="e">
        <f>AND('5222018'!#REF!,"AAAAADvfb0Q=")</f>
        <v>#REF!</v>
      </c>
      <c r="BR2" t="e">
        <f>AND('5222018'!#REF!,"AAAAADvfb0U=")</f>
        <v>#REF!</v>
      </c>
      <c r="BS2" t="e">
        <f>AND('5222018'!#REF!,"AAAAADvfb0Y=")</f>
        <v>#REF!</v>
      </c>
      <c r="BT2" t="e">
        <f>AND('5222018'!#REF!,"AAAAADvfb0c=")</f>
        <v>#REF!</v>
      </c>
      <c r="BU2" t="e">
        <f>AND('5222018'!#REF!,"AAAAADvfb0g=")</f>
        <v>#REF!</v>
      </c>
      <c r="BV2" t="e">
        <f>AND('5222018'!#REF!,"AAAAADvfb0k=")</f>
        <v>#REF!</v>
      </c>
      <c r="BW2" t="e">
        <f>AND('5222018'!#REF!,"AAAAADvfb0o=")</f>
        <v>#REF!</v>
      </c>
      <c r="BX2" t="e">
        <f>AND('5222018'!#REF!,"AAAAADvfb0s=")</f>
        <v>#REF!</v>
      </c>
      <c r="BY2" t="e">
        <f>AND('5222018'!#REF!,"AAAAADvfb0w=")</f>
        <v>#REF!</v>
      </c>
      <c r="BZ2" t="e">
        <f>AND('5222018'!#REF!,"AAAAADvfb00=")</f>
        <v>#REF!</v>
      </c>
      <c r="CA2" t="e">
        <f>AND('5222018'!#REF!,"AAAAADvfb04=")</f>
        <v>#REF!</v>
      </c>
      <c r="CB2" t="e">
        <f>AND('5222018'!#REF!,"AAAAADvfb08=")</f>
        <v>#REF!</v>
      </c>
      <c r="CC2" t="e">
        <f>IF('5222018'!#REF!,"AAAAADvfb1A=",0)</f>
        <v>#REF!</v>
      </c>
      <c r="CD2" t="e">
        <f>AND('5222018'!#REF!,"AAAAADvfb1E=")</f>
        <v>#REF!</v>
      </c>
      <c r="CE2" t="e">
        <f>AND('5222018'!#REF!,"AAAAADvfb1I=")</f>
        <v>#REF!</v>
      </c>
      <c r="CF2" t="e">
        <f>AND('5222018'!#REF!,"AAAAADvfb1M=")</f>
        <v>#REF!</v>
      </c>
      <c r="CG2" t="e">
        <f>AND('5222018'!#REF!,"AAAAADvfb1Q=")</f>
        <v>#REF!</v>
      </c>
      <c r="CH2" t="e">
        <f>AND('5222018'!#REF!,"AAAAADvfb1U=")</f>
        <v>#REF!</v>
      </c>
      <c r="CI2" t="e">
        <f>AND('5222018'!#REF!,"AAAAADvfb1Y=")</f>
        <v>#REF!</v>
      </c>
      <c r="CJ2" t="e">
        <f>AND('5222018'!#REF!,"AAAAADvfb1c=")</f>
        <v>#REF!</v>
      </c>
      <c r="CK2" t="e">
        <f>AND('5222018'!#REF!,"AAAAADvfb1g=")</f>
        <v>#REF!</v>
      </c>
      <c r="CL2" t="e">
        <f>AND('5222018'!#REF!,"AAAAADvfb1k=")</f>
        <v>#REF!</v>
      </c>
      <c r="CM2" t="e">
        <f>AND('5222018'!#REF!,"AAAAADvfb1o=")</f>
        <v>#REF!</v>
      </c>
      <c r="CN2" t="e">
        <f>AND('5222018'!#REF!,"AAAAADvfb1s=")</f>
        <v>#REF!</v>
      </c>
      <c r="CO2" t="e">
        <f>AND('5222018'!#REF!,"AAAAADvfb1w=")</f>
        <v>#REF!</v>
      </c>
      <c r="CP2" t="e">
        <f>AND('5222018'!#REF!,"AAAAADvfb10=")</f>
        <v>#REF!</v>
      </c>
      <c r="CQ2" t="e">
        <f>IF('5222018'!#REF!,"AAAAADvfb14=",0)</f>
        <v>#REF!</v>
      </c>
      <c r="CR2" t="e">
        <f>AND('5222018'!#REF!,"AAAAADvfb18=")</f>
        <v>#REF!</v>
      </c>
      <c r="CS2" t="e">
        <f>AND('5222018'!#REF!,"AAAAADvfb2A=")</f>
        <v>#REF!</v>
      </c>
      <c r="CT2" t="e">
        <f>AND('5222018'!#REF!,"AAAAADvfb2E=")</f>
        <v>#REF!</v>
      </c>
      <c r="CU2" t="e">
        <f>AND('5222018'!#REF!,"AAAAADvfb2I=")</f>
        <v>#REF!</v>
      </c>
      <c r="CV2" t="e">
        <f>AND('5222018'!#REF!,"AAAAADvfb2M=")</f>
        <v>#REF!</v>
      </c>
      <c r="CW2" t="e">
        <f>AND('5222018'!#REF!,"AAAAADvfb2Q=")</f>
        <v>#REF!</v>
      </c>
      <c r="CX2" t="e">
        <f>AND('5222018'!#REF!,"AAAAADvfb2U=")</f>
        <v>#REF!</v>
      </c>
      <c r="CY2" t="e">
        <f>AND('5222018'!#REF!,"AAAAADvfb2Y=")</f>
        <v>#REF!</v>
      </c>
      <c r="CZ2" t="e">
        <f>AND('5222018'!#REF!,"AAAAADvfb2c=")</f>
        <v>#REF!</v>
      </c>
      <c r="DA2" t="e">
        <f>AND('5222018'!#REF!,"AAAAADvfb2g=")</f>
        <v>#REF!</v>
      </c>
      <c r="DB2" t="e">
        <f>AND('5222018'!#REF!,"AAAAADvfb2k=")</f>
        <v>#REF!</v>
      </c>
      <c r="DC2" t="e">
        <f>AND('5222018'!#REF!,"AAAAADvfb2o=")</f>
        <v>#REF!</v>
      </c>
      <c r="DD2" t="e">
        <f>AND('5222018'!#REF!,"AAAAADvfb2s=")</f>
        <v>#REF!</v>
      </c>
      <c r="DE2" t="e">
        <f>IF('5222018'!#REF!,"AAAAADvfb2w=",0)</f>
        <v>#REF!</v>
      </c>
      <c r="DF2" t="e">
        <f>AND('5222018'!#REF!,"AAAAADvfb20=")</f>
        <v>#REF!</v>
      </c>
      <c r="DG2" t="e">
        <f>AND('5222018'!#REF!,"AAAAADvfb24=")</f>
        <v>#REF!</v>
      </c>
      <c r="DH2" t="e">
        <f>AND('5222018'!#REF!,"AAAAADvfb28=")</f>
        <v>#REF!</v>
      </c>
      <c r="DI2" t="e">
        <f>AND('5222018'!#REF!,"AAAAADvfb3A=")</f>
        <v>#REF!</v>
      </c>
      <c r="DJ2" t="e">
        <f>AND('5222018'!#REF!,"AAAAADvfb3E=")</f>
        <v>#REF!</v>
      </c>
      <c r="DK2" t="e">
        <f>AND('5222018'!#REF!,"AAAAADvfb3I=")</f>
        <v>#REF!</v>
      </c>
      <c r="DL2" t="e">
        <f>AND('5222018'!#REF!,"AAAAADvfb3M=")</f>
        <v>#REF!</v>
      </c>
      <c r="DM2" t="e">
        <f>AND('5222018'!#REF!,"AAAAADvfb3Q=")</f>
        <v>#REF!</v>
      </c>
      <c r="DN2" t="e">
        <f>AND('5222018'!#REF!,"AAAAADvfb3U=")</f>
        <v>#REF!</v>
      </c>
      <c r="DO2" t="e">
        <f>AND('5222018'!#REF!,"AAAAADvfb3Y=")</f>
        <v>#REF!</v>
      </c>
      <c r="DP2" t="e">
        <f>AND('5222018'!#REF!,"AAAAADvfb3c=")</f>
        <v>#REF!</v>
      </c>
      <c r="DQ2" t="e">
        <f>AND('5222018'!#REF!,"AAAAADvfb3g=")</f>
        <v>#REF!</v>
      </c>
      <c r="DR2" t="e">
        <f>AND('5222018'!#REF!,"AAAAADvfb3k=")</f>
        <v>#REF!</v>
      </c>
      <c r="DS2" t="e">
        <f>IF('5222018'!#REF!,"AAAAADvfb3o=",0)</f>
        <v>#REF!</v>
      </c>
      <c r="DT2" t="e">
        <f>AND('5222018'!#REF!,"AAAAADvfb3s=")</f>
        <v>#REF!</v>
      </c>
      <c r="DU2" t="e">
        <f>AND('5222018'!#REF!,"AAAAADvfb3w=")</f>
        <v>#REF!</v>
      </c>
      <c r="DV2" t="e">
        <f>AND('5222018'!#REF!,"AAAAADvfb30=")</f>
        <v>#REF!</v>
      </c>
      <c r="DW2" t="e">
        <f>AND('5222018'!#REF!,"AAAAADvfb34=")</f>
        <v>#REF!</v>
      </c>
      <c r="DX2" t="e">
        <f>AND('5222018'!#REF!,"AAAAADvfb38=")</f>
        <v>#REF!</v>
      </c>
      <c r="DY2" t="e">
        <f>AND('5222018'!#REF!,"AAAAADvfb4A=")</f>
        <v>#REF!</v>
      </c>
      <c r="DZ2" t="e">
        <f>AND('5222018'!#REF!,"AAAAADvfb4E=")</f>
        <v>#REF!</v>
      </c>
      <c r="EA2" t="e">
        <f>AND('5222018'!#REF!,"AAAAADvfb4I=")</f>
        <v>#REF!</v>
      </c>
      <c r="EB2" t="e">
        <f>AND('5222018'!#REF!,"AAAAADvfb4M=")</f>
        <v>#REF!</v>
      </c>
      <c r="EC2" t="e">
        <f>AND('5222018'!#REF!,"AAAAADvfb4Q=")</f>
        <v>#REF!</v>
      </c>
      <c r="ED2" t="e">
        <f>AND('5222018'!#REF!,"AAAAADvfb4U=")</f>
        <v>#REF!</v>
      </c>
      <c r="EE2" t="e">
        <f>AND('5222018'!#REF!,"AAAAADvfb4Y=")</f>
        <v>#REF!</v>
      </c>
      <c r="EF2" t="e">
        <f>AND('5222018'!#REF!,"AAAAADvfb4c=")</f>
        <v>#REF!</v>
      </c>
      <c r="EG2" t="e">
        <f>IF('5222018'!#REF!,"AAAAADvfb4g=",0)</f>
        <v>#REF!</v>
      </c>
      <c r="EH2" t="e">
        <f>AND('5222018'!#REF!,"AAAAADvfb4k=")</f>
        <v>#REF!</v>
      </c>
      <c r="EI2" t="e">
        <f>AND('5222018'!#REF!,"AAAAADvfb4o=")</f>
        <v>#REF!</v>
      </c>
      <c r="EJ2" t="e">
        <f>AND('5222018'!#REF!,"AAAAADvfb4s=")</f>
        <v>#REF!</v>
      </c>
      <c r="EK2" t="e">
        <f>AND('5222018'!#REF!,"AAAAADvfb4w=")</f>
        <v>#REF!</v>
      </c>
      <c r="EL2" t="e">
        <f>AND('5222018'!#REF!,"AAAAADvfb40=")</f>
        <v>#REF!</v>
      </c>
      <c r="EM2" t="e">
        <f>AND('5222018'!#REF!,"AAAAADvfb44=")</f>
        <v>#REF!</v>
      </c>
      <c r="EN2" t="e">
        <f>AND('5222018'!#REF!,"AAAAADvfb48=")</f>
        <v>#REF!</v>
      </c>
      <c r="EO2" t="e">
        <f>AND('5222018'!#REF!,"AAAAADvfb5A=")</f>
        <v>#REF!</v>
      </c>
      <c r="EP2" t="e">
        <f>AND('5222018'!#REF!,"AAAAADvfb5E=")</f>
        <v>#REF!</v>
      </c>
      <c r="EQ2" t="e">
        <f>AND('5222018'!#REF!,"AAAAADvfb5I=")</f>
        <v>#REF!</v>
      </c>
      <c r="ER2" t="e">
        <f>AND('5222018'!#REF!,"AAAAADvfb5M=")</f>
        <v>#REF!</v>
      </c>
      <c r="ES2" t="e">
        <f>AND('5222018'!#REF!,"AAAAADvfb5Q=")</f>
        <v>#REF!</v>
      </c>
      <c r="ET2" t="e">
        <f>AND('5222018'!#REF!,"AAAAADvfb5U=")</f>
        <v>#REF!</v>
      </c>
      <c r="EU2" t="e">
        <f>IF('5222018'!#REF!,"AAAAADvfb5Y=",0)</f>
        <v>#REF!</v>
      </c>
      <c r="EV2" t="e">
        <f>AND('5222018'!#REF!,"AAAAADvfb5c=")</f>
        <v>#REF!</v>
      </c>
      <c r="EW2" t="e">
        <f>AND('5222018'!#REF!,"AAAAADvfb5g=")</f>
        <v>#REF!</v>
      </c>
      <c r="EX2" t="e">
        <f>AND('5222018'!#REF!,"AAAAADvfb5k=")</f>
        <v>#REF!</v>
      </c>
      <c r="EY2" t="e">
        <f>AND('5222018'!#REF!,"AAAAADvfb5o=")</f>
        <v>#REF!</v>
      </c>
      <c r="EZ2" t="e">
        <f>AND('5222018'!#REF!,"AAAAADvfb5s=")</f>
        <v>#REF!</v>
      </c>
      <c r="FA2" t="e">
        <f>AND('5222018'!#REF!,"AAAAADvfb5w=")</f>
        <v>#REF!</v>
      </c>
      <c r="FB2" t="e">
        <f>AND('5222018'!#REF!,"AAAAADvfb50=")</f>
        <v>#REF!</v>
      </c>
      <c r="FC2" t="e">
        <f>AND('5222018'!#REF!,"AAAAADvfb54=")</f>
        <v>#REF!</v>
      </c>
      <c r="FD2" t="e">
        <f>AND('5222018'!#REF!,"AAAAADvfb58=")</f>
        <v>#REF!</v>
      </c>
      <c r="FE2" t="e">
        <f>AND('5222018'!#REF!,"AAAAADvfb6A=")</f>
        <v>#REF!</v>
      </c>
      <c r="FF2" t="e">
        <f>AND('5222018'!#REF!,"AAAAADvfb6E=")</f>
        <v>#REF!</v>
      </c>
      <c r="FG2" t="e">
        <f>AND('5222018'!#REF!,"AAAAADvfb6I=")</f>
        <v>#REF!</v>
      </c>
      <c r="FH2" t="e">
        <f>AND('5222018'!#REF!,"AAAAADvfb6M=")</f>
        <v>#REF!</v>
      </c>
      <c r="FI2" t="e">
        <f>IF('5222018'!#REF!,"AAAAADvfb6Q=",0)</f>
        <v>#REF!</v>
      </c>
      <c r="FJ2" t="e">
        <f>AND('5222018'!#REF!,"AAAAADvfb6U=")</f>
        <v>#REF!</v>
      </c>
      <c r="FK2" t="e">
        <f>AND('5222018'!#REF!,"AAAAADvfb6Y=")</f>
        <v>#REF!</v>
      </c>
      <c r="FL2" t="e">
        <f>AND('5222018'!#REF!,"AAAAADvfb6c=")</f>
        <v>#REF!</v>
      </c>
      <c r="FM2" t="e">
        <f>AND('5222018'!#REF!,"AAAAADvfb6g=")</f>
        <v>#REF!</v>
      </c>
      <c r="FN2" t="e">
        <f>AND('5222018'!#REF!,"AAAAADvfb6k=")</f>
        <v>#REF!</v>
      </c>
      <c r="FO2" t="e">
        <f>AND('5222018'!#REF!,"AAAAADvfb6o=")</f>
        <v>#REF!</v>
      </c>
      <c r="FP2" t="e">
        <f>AND('5222018'!#REF!,"AAAAADvfb6s=")</f>
        <v>#REF!</v>
      </c>
      <c r="FQ2" t="e">
        <f>AND('5222018'!#REF!,"AAAAADvfb6w=")</f>
        <v>#REF!</v>
      </c>
      <c r="FR2" t="e">
        <f>AND('5222018'!#REF!,"AAAAADvfb60=")</f>
        <v>#REF!</v>
      </c>
      <c r="FS2" t="e">
        <f>AND('5222018'!#REF!,"AAAAADvfb64=")</f>
        <v>#REF!</v>
      </c>
      <c r="FT2" t="e">
        <f>AND('5222018'!#REF!,"AAAAADvfb68=")</f>
        <v>#REF!</v>
      </c>
      <c r="FU2" t="e">
        <f>AND('5222018'!#REF!,"AAAAADvfb7A=")</f>
        <v>#REF!</v>
      </c>
      <c r="FV2" t="e">
        <f>AND('5222018'!#REF!,"AAAAADvfb7E=")</f>
        <v>#REF!</v>
      </c>
      <c r="FW2" t="e">
        <f>IF('5222018'!#REF!,"AAAAADvfb7I=",0)</f>
        <v>#REF!</v>
      </c>
      <c r="FX2" t="e">
        <f>AND('5222018'!#REF!,"AAAAADvfb7M=")</f>
        <v>#REF!</v>
      </c>
      <c r="FY2" t="e">
        <f>AND('5222018'!#REF!,"AAAAADvfb7Q=")</f>
        <v>#REF!</v>
      </c>
      <c r="FZ2" t="e">
        <f>AND('5222018'!#REF!,"AAAAADvfb7U=")</f>
        <v>#REF!</v>
      </c>
      <c r="GA2" t="e">
        <f>AND('5222018'!#REF!,"AAAAADvfb7Y=")</f>
        <v>#REF!</v>
      </c>
      <c r="GB2" t="e">
        <f>AND('5222018'!#REF!,"AAAAADvfb7c=")</f>
        <v>#REF!</v>
      </c>
      <c r="GC2" t="e">
        <f>AND('5222018'!#REF!,"AAAAADvfb7g=")</f>
        <v>#REF!</v>
      </c>
      <c r="GD2" t="e">
        <f>AND('5222018'!#REF!,"AAAAADvfb7k=")</f>
        <v>#REF!</v>
      </c>
      <c r="GE2" t="e">
        <f>AND('5222018'!#REF!,"AAAAADvfb7o=")</f>
        <v>#REF!</v>
      </c>
      <c r="GF2" t="e">
        <f>AND('5222018'!#REF!,"AAAAADvfb7s=")</f>
        <v>#REF!</v>
      </c>
      <c r="GG2" t="e">
        <f>AND('5222018'!#REF!,"AAAAADvfb7w=")</f>
        <v>#REF!</v>
      </c>
      <c r="GH2" t="e">
        <f>AND('5222018'!#REF!,"AAAAADvfb70=")</f>
        <v>#REF!</v>
      </c>
      <c r="GI2" t="e">
        <f>AND('5222018'!#REF!,"AAAAADvfb74=")</f>
        <v>#REF!</v>
      </c>
      <c r="GJ2" t="e">
        <f>AND('5222018'!#REF!,"AAAAADvfb78=")</f>
        <v>#REF!</v>
      </c>
      <c r="GK2" t="e">
        <f>IF('5222018'!#REF!,"AAAAADvfb8A=",0)</f>
        <v>#REF!</v>
      </c>
      <c r="GL2" t="e">
        <f>AND('5222018'!#REF!,"AAAAADvfb8E=")</f>
        <v>#REF!</v>
      </c>
      <c r="GM2" t="e">
        <f>AND('5222018'!#REF!,"AAAAADvfb8I=")</f>
        <v>#REF!</v>
      </c>
      <c r="GN2" t="e">
        <f>AND('5222018'!#REF!,"AAAAADvfb8M=")</f>
        <v>#REF!</v>
      </c>
      <c r="GO2" t="e">
        <f>AND('5222018'!#REF!,"AAAAADvfb8Q=")</f>
        <v>#REF!</v>
      </c>
      <c r="GP2" t="e">
        <f>AND('5222018'!#REF!,"AAAAADvfb8U=")</f>
        <v>#REF!</v>
      </c>
      <c r="GQ2" t="e">
        <f>AND('5222018'!#REF!,"AAAAADvfb8Y=")</f>
        <v>#REF!</v>
      </c>
      <c r="GR2" t="e">
        <f>AND('5222018'!#REF!,"AAAAADvfb8c=")</f>
        <v>#REF!</v>
      </c>
      <c r="GS2" t="e">
        <f>AND('5222018'!#REF!,"AAAAADvfb8g=")</f>
        <v>#REF!</v>
      </c>
      <c r="GT2" t="e">
        <f>AND('5222018'!#REF!,"AAAAADvfb8k=")</f>
        <v>#REF!</v>
      </c>
      <c r="GU2" t="e">
        <f>AND('5222018'!#REF!,"AAAAADvfb8o=")</f>
        <v>#REF!</v>
      </c>
      <c r="GV2" t="e">
        <f>AND('5222018'!#REF!,"AAAAADvfb8s=")</f>
        <v>#REF!</v>
      </c>
      <c r="GW2" t="e">
        <f>AND('5222018'!#REF!,"AAAAADvfb8w=")</f>
        <v>#REF!</v>
      </c>
      <c r="GX2" t="e">
        <f>AND('5222018'!#REF!,"AAAAADvfb80=")</f>
        <v>#REF!</v>
      </c>
      <c r="GY2" t="e">
        <f>IF('5222018'!#REF!,"AAAAADvfb84=",0)</f>
        <v>#REF!</v>
      </c>
      <c r="GZ2" t="e">
        <f>AND('5222018'!#REF!,"AAAAADvfb88=")</f>
        <v>#REF!</v>
      </c>
      <c r="HA2" t="e">
        <f>AND('5222018'!#REF!,"AAAAADvfb9A=")</f>
        <v>#REF!</v>
      </c>
      <c r="HB2" t="e">
        <f>AND('5222018'!#REF!,"AAAAADvfb9E=")</f>
        <v>#REF!</v>
      </c>
      <c r="HC2" t="e">
        <f>AND('5222018'!#REF!,"AAAAADvfb9I=")</f>
        <v>#REF!</v>
      </c>
      <c r="HD2" t="e">
        <f>AND('5222018'!#REF!,"AAAAADvfb9M=")</f>
        <v>#REF!</v>
      </c>
      <c r="HE2" t="e">
        <f>AND('5222018'!#REF!,"AAAAADvfb9Q=")</f>
        <v>#REF!</v>
      </c>
      <c r="HF2" t="e">
        <f>AND('5222018'!#REF!,"AAAAADvfb9U=")</f>
        <v>#REF!</v>
      </c>
      <c r="HG2" t="e">
        <f>AND('5222018'!#REF!,"AAAAADvfb9Y=")</f>
        <v>#REF!</v>
      </c>
      <c r="HH2" t="e">
        <f>AND('5222018'!#REF!,"AAAAADvfb9c=")</f>
        <v>#REF!</v>
      </c>
      <c r="HI2" t="e">
        <f>AND('5222018'!#REF!,"AAAAADvfb9g=")</f>
        <v>#REF!</v>
      </c>
      <c r="HJ2" t="e">
        <f>AND('5222018'!#REF!,"AAAAADvfb9k=")</f>
        <v>#REF!</v>
      </c>
      <c r="HK2" t="e">
        <f>AND('5222018'!#REF!,"AAAAADvfb9o=")</f>
        <v>#REF!</v>
      </c>
      <c r="HL2" t="e">
        <f>AND('5222018'!#REF!,"AAAAADvfb9s=")</f>
        <v>#REF!</v>
      </c>
      <c r="HM2" t="e">
        <f>IF('5222018'!#REF!,"AAAAADvfb9w=",0)</f>
        <v>#REF!</v>
      </c>
      <c r="HN2" t="e">
        <f>AND('5222018'!#REF!,"AAAAADvfb90=")</f>
        <v>#REF!</v>
      </c>
      <c r="HO2" t="e">
        <f>AND('5222018'!#REF!,"AAAAADvfb94=")</f>
        <v>#REF!</v>
      </c>
      <c r="HP2" t="e">
        <f>AND('5222018'!#REF!,"AAAAADvfb98=")</f>
        <v>#REF!</v>
      </c>
      <c r="HQ2" t="e">
        <f>AND('5222018'!#REF!,"AAAAADvfb+A=")</f>
        <v>#REF!</v>
      </c>
      <c r="HR2" t="e">
        <f>AND('5222018'!#REF!,"AAAAADvfb+E=")</f>
        <v>#REF!</v>
      </c>
      <c r="HS2" t="e">
        <f>AND('5222018'!#REF!,"AAAAADvfb+I=")</f>
        <v>#REF!</v>
      </c>
      <c r="HT2" t="e">
        <f>AND('5222018'!#REF!,"AAAAADvfb+M=")</f>
        <v>#REF!</v>
      </c>
      <c r="HU2" t="e">
        <f>AND('5222018'!#REF!,"AAAAADvfb+Q=")</f>
        <v>#REF!</v>
      </c>
      <c r="HV2" t="e">
        <f>AND('5222018'!#REF!,"AAAAADvfb+U=")</f>
        <v>#REF!</v>
      </c>
      <c r="HW2" t="e">
        <f>AND('5222018'!#REF!,"AAAAADvfb+Y=")</f>
        <v>#REF!</v>
      </c>
      <c r="HX2" t="e">
        <f>AND('5222018'!#REF!,"AAAAADvfb+c=")</f>
        <v>#REF!</v>
      </c>
      <c r="HY2" t="e">
        <f>AND('5222018'!#REF!,"AAAAADvfb+g=")</f>
        <v>#REF!</v>
      </c>
      <c r="HZ2" t="e">
        <f>AND('5222018'!#REF!,"AAAAADvfb+k=")</f>
        <v>#REF!</v>
      </c>
      <c r="IA2" t="e">
        <f>IF('5222018'!#REF!,"AAAAADvfb+o=",0)</f>
        <v>#REF!</v>
      </c>
      <c r="IB2" t="e">
        <f>AND('5222018'!#REF!,"AAAAADvfb+s=")</f>
        <v>#REF!</v>
      </c>
      <c r="IC2" t="e">
        <f>AND('5222018'!#REF!,"AAAAADvfb+w=")</f>
        <v>#REF!</v>
      </c>
      <c r="ID2" t="e">
        <f>AND('5222018'!#REF!,"AAAAADvfb+0=")</f>
        <v>#REF!</v>
      </c>
      <c r="IE2" t="e">
        <f>AND('5222018'!#REF!,"AAAAADvfb+4=")</f>
        <v>#REF!</v>
      </c>
      <c r="IF2" t="e">
        <f>AND('5222018'!#REF!,"AAAAADvfb+8=")</f>
        <v>#REF!</v>
      </c>
      <c r="IG2" t="e">
        <f>AND('5222018'!#REF!,"AAAAADvfb/A=")</f>
        <v>#REF!</v>
      </c>
      <c r="IH2" t="e">
        <f>AND('5222018'!#REF!,"AAAAADvfb/E=")</f>
        <v>#REF!</v>
      </c>
      <c r="II2" t="e">
        <f>AND('5222018'!#REF!,"AAAAADvfb/I=")</f>
        <v>#REF!</v>
      </c>
      <c r="IJ2" t="e">
        <f>AND('5222018'!#REF!,"AAAAADvfb/M=")</f>
        <v>#REF!</v>
      </c>
      <c r="IK2" t="e">
        <f>AND('5222018'!#REF!,"AAAAADvfb/Q=")</f>
        <v>#REF!</v>
      </c>
      <c r="IL2" t="e">
        <f>AND('5222018'!#REF!,"AAAAADvfb/U=")</f>
        <v>#REF!</v>
      </c>
      <c r="IM2" t="e">
        <f>AND('5222018'!#REF!,"AAAAADvfb/Y=")</f>
        <v>#REF!</v>
      </c>
      <c r="IN2" t="e">
        <f>AND('5222018'!#REF!,"AAAAADvfb/c=")</f>
        <v>#REF!</v>
      </c>
      <c r="IO2" t="e">
        <f>IF('5222018'!#REF!,"AAAAADvfb/g=",0)</f>
        <v>#REF!</v>
      </c>
      <c r="IP2" t="e">
        <f>AND('5222018'!#REF!,"AAAAADvfb/k=")</f>
        <v>#REF!</v>
      </c>
      <c r="IQ2" t="e">
        <f>AND('5222018'!#REF!,"AAAAADvfb/o=")</f>
        <v>#REF!</v>
      </c>
      <c r="IR2" t="e">
        <f>AND('5222018'!#REF!,"AAAAADvfb/s=")</f>
        <v>#REF!</v>
      </c>
      <c r="IS2" t="e">
        <f>AND('5222018'!#REF!,"AAAAADvfb/w=")</f>
        <v>#REF!</v>
      </c>
      <c r="IT2" t="e">
        <f>AND('5222018'!#REF!,"AAAAADvfb/0=")</f>
        <v>#REF!</v>
      </c>
      <c r="IU2" t="e">
        <f>AND('5222018'!#REF!,"AAAAADvfb/4=")</f>
        <v>#REF!</v>
      </c>
      <c r="IV2" t="e">
        <f>AND('5222018'!#REF!,"AAAAADvfb/8=")</f>
        <v>#REF!</v>
      </c>
    </row>
    <row r="3" spans="1:256" x14ac:dyDescent="0.2">
      <c r="A3" t="e">
        <f>AND('5222018'!#REF!,"AAAAADZv8wA=")</f>
        <v>#REF!</v>
      </c>
      <c r="B3" t="e">
        <f>AND('5222018'!#REF!,"AAAAADZv8wE=")</f>
        <v>#REF!</v>
      </c>
      <c r="C3" t="e">
        <f>AND('5222018'!#REF!,"AAAAADZv8wI=")</f>
        <v>#REF!</v>
      </c>
      <c r="D3" t="e">
        <f>AND('5222018'!#REF!,"AAAAADZv8wM=")</f>
        <v>#REF!</v>
      </c>
      <c r="E3" t="e">
        <f>AND('5222018'!#REF!,"AAAAADZv8wQ=")</f>
        <v>#REF!</v>
      </c>
      <c r="F3" t="e">
        <f>AND('5222018'!#REF!,"AAAAADZv8wU=")</f>
        <v>#REF!</v>
      </c>
      <c r="G3" t="e">
        <f>IF('5222018'!#REF!,"AAAAADZv8wY=",0)</f>
        <v>#REF!</v>
      </c>
      <c r="H3" t="e">
        <f>AND('5222018'!#REF!,"AAAAADZv8wc=")</f>
        <v>#REF!</v>
      </c>
      <c r="I3" t="e">
        <f>AND('5222018'!#REF!,"AAAAADZv8wg=")</f>
        <v>#REF!</v>
      </c>
      <c r="J3" t="e">
        <f>AND('5222018'!#REF!,"AAAAADZv8wk=")</f>
        <v>#REF!</v>
      </c>
      <c r="K3" t="e">
        <f>AND('5222018'!#REF!,"AAAAADZv8wo=")</f>
        <v>#REF!</v>
      </c>
      <c r="L3" t="e">
        <f>AND('5222018'!#REF!,"AAAAADZv8ws=")</f>
        <v>#REF!</v>
      </c>
      <c r="M3" t="e">
        <f>AND('5222018'!#REF!,"AAAAADZv8ww=")</f>
        <v>#REF!</v>
      </c>
      <c r="N3" t="e">
        <f>AND('5222018'!#REF!,"AAAAADZv8w0=")</f>
        <v>#REF!</v>
      </c>
      <c r="O3" t="e">
        <f>AND('5222018'!#REF!,"AAAAADZv8w4=")</f>
        <v>#REF!</v>
      </c>
      <c r="P3" t="e">
        <f>AND('5222018'!#REF!,"AAAAADZv8w8=")</f>
        <v>#REF!</v>
      </c>
      <c r="Q3" t="e">
        <f>AND('5222018'!#REF!,"AAAAADZv8xA=")</f>
        <v>#REF!</v>
      </c>
      <c r="R3" t="e">
        <f>AND('5222018'!#REF!,"AAAAADZv8xE=")</f>
        <v>#REF!</v>
      </c>
      <c r="S3" t="e">
        <f>AND('5222018'!#REF!,"AAAAADZv8xI=")</f>
        <v>#REF!</v>
      </c>
      <c r="T3" t="e">
        <f>AND('5222018'!#REF!,"AAAAADZv8xM=")</f>
        <v>#REF!</v>
      </c>
      <c r="U3" t="e">
        <f>IF('5222018'!#REF!,"AAAAADZv8xQ=",0)</f>
        <v>#REF!</v>
      </c>
      <c r="V3" t="e">
        <f>AND('5222018'!#REF!,"AAAAADZv8xU=")</f>
        <v>#REF!</v>
      </c>
      <c r="W3" t="e">
        <f>AND('5222018'!#REF!,"AAAAADZv8xY=")</f>
        <v>#REF!</v>
      </c>
      <c r="X3" t="e">
        <f>AND('5222018'!#REF!,"AAAAADZv8xc=")</f>
        <v>#REF!</v>
      </c>
      <c r="Y3" t="e">
        <f>AND('5222018'!#REF!,"AAAAADZv8xg=")</f>
        <v>#REF!</v>
      </c>
      <c r="Z3" t="e">
        <f>AND('5222018'!#REF!,"AAAAADZv8xk=")</f>
        <v>#REF!</v>
      </c>
      <c r="AA3" t="e">
        <f>AND('5222018'!#REF!,"AAAAADZv8xo=")</f>
        <v>#REF!</v>
      </c>
      <c r="AB3" t="e">
        <f>AND('5222018'!#REF!,"AAAAADZv8xs=")</f>
        <v>#REF!</v>
      </c>
      <c r="AC3" t="e">
        <f>AND('5222018'!#REF!,"AAAAADZv8xw=")</f>
        <v>#REF!</v>
      </c>
      <c r="AD3" t="e">
        <f>AND('5222018'!#REF!,"AAAAADZv8x0=")</f>
        <v>#REF!</v>
      </c>
      <c r="AE3" t="e">
        <f>AND('5222018'!#REF!,"AAAAADZv8x4=")</f>
        <v>#REF!</v>
      </c>
      <c r="AF3" t="e">
        <f>AND('5222018'!#REF!,"AAAAADZv8x8=")</f>
        <v>#REF!</v>
      </c>
      <c r="AG3" t="e">
        <f>AND('5222018'!#REF!,"AAAAADZv8yA=")</f>
        <v>#REF!</v>
      </c>
      <c r="AH3" t="e">
        <f>AND('5222018'!#REF!,"AAAAADZv8yE=")</f>
        <v>#REF!</v>
      </c>
      <c r="AI3" t="e">
        <f>IF('5222018'!#REF!,"AAAAADZv8yI=",0)</f>
        <v>#REF!</v>
      </c>
      <c r="AJ3" t="e">
        <f>AND('5222018'!#REF!,"AAAAADZv8yM=")</f>
        <v>#REF!</v>
      </c>
      <c r="AK3" t="e">
        <f>AND('5222018'!#REF!,"AAAAADZv8yQ=")</f>
        <v>#REF!</v>
      </c>
      <c r="AL3" t="e">
        <f>AND('5222018'!#REF!,"AAAAADZv8yU=")</f>
        <v>#REF!</v>
      </c>
      <c r="AM3" t="e">
        <f>AND('5222018'!#REF!,"AAAAADZv8yY=")</f>
        <v>#REF!</v>
      </c>
      <c r="AN3" t="e">
        <f>AND('5222018'!#REF!,"AAAAADZv8yc=")</f>
        <v>#REF!</v>
      </c>
      <c r="AO3" t="e">
        <f>AND('5222018'!#REF!,"AAAAADZv8yg=")</f>
        <v>#REF!</v>
      </c>
      <c r="AP3" t="e">
        <f>AND('5222018'!#REF!,"AAAAADZv8yk=")</f>
        <v>#REF!</v>
      </c>
      <c r="AQ3" t="e">
        <f>AND('5222018'!#REF!,"AAAAADZv8yo=")</f>
        <v>#REF!</v>
      </c>
      <c r="AR3" t="e">
        <f>AND('5222018'!#REF!,"AAAAADZv8ys=")</f>
        <v>#REF!</v>
      </c>
      <c r="AS3" t="e">
        <f>AND('5222018'!#REF!,"AAAAADZv8yw=")</f>
        <v>#REF!</v>
      </c>
      <c r="AT3" t="e">
        <f>AND('5222018'!#REF!,"AAAAADZv8y0=")</f>
        <v>#REF!</v>
      </c>
      <c r="AU3" t="e">
        <f>AND('5222018'!#REF!,"AAAAADZv8y4=")</f>
        <v>#REF!</v>
      </c>
      <c r="AV3" t="e">
        <f>AND('5222018'!#REF!,"AAAAADZv8y8=")</f>
        <v>#REF!</v>
      </c>
      <c r="AW3" t="e">
        <f>IF('5222018'!#REF!,"AAAAADZv8zA=",0)</f>
        <v>#REF!</v>
      </c>
      <c r="AX3" t="e">
        <f>AND('5222018'!#REF!,"AAAAADZv8zE=")</f>
        <v>#REF!</v>
      </c>
      <c r="AY3" t="e">
        <f>AND('5222018'!#REF!,"AAAAADZv8zI=")</f>
        <v>#REF!</v>
      </c>
      <c r="AZ3" t="e">
        <f>AND('5222018'!B21,"AAAAADZv8zM=")</f>
        <v>#VALUE!</v>
      </c>
      <c r="BA3" t="e">
        <f>AND('5222018'!C21,"AAAAADZv8zQ=")</f>
        <v>#VALUE!</v>
      </c>
      <c r="BB3" t="e">
        <f>AND('5222018'!D21,"AAAAADZv8zU=")</f>
        <v>#VALUE!</v>
      </c>
      <c r="BC3" t="e">
        <f>AND('5222018'!E22,"AAAAADZv8zY=")</f>
        <v>#VALUE!</v>
      </c>
      <c r="BD3" t="e">
        <f>AND('5222018'!#REF!,"AAAAADZv8zc=")</f>
        <v>#REF!</v>
      </c>
      <c r="BE3" t="e">
        <f>AND('5222018'!#REF!,"AAAAADZv8zg=")</f>
        <v>#REF!</v>
      </c>
      <c r="BF3" t="e">
        <f>AND('5222018'!#REF!,"AAAAADZv8zk=")</f>
        <v>#REF!</v>
      </c>
      <c r="BG3" t="e">
        <f>AND('5222018'!#REF!,"AAAAADZv8zo=")</f>
        <v>#REF!</v>
      </c>
      <c r="BH3" t="e">
        <f>AND('5222018'!#REF!,"AAAAADZv8zs=")</f>
        <v>#REF!</v>
      </c>
      <c r="BI3" t="e">
        <f>AND('5222018'!#REF!,"AAAAADZv8zw=")</f>
        <v>#REF!</v>
      </c>
      <c r="BJ3" t="e">
        <f>AND('5222018'!#REF!,"AAAAADZv8z0=")</f>
        <v>#REF!</v>
      </c>
      <c r="BK3">
        <f>IF('5222018'!32:32,"AAAAADZv8z4=",0)</f>
        <v>0</v>
      </c>
      <c r="BL3" t="e">
        <f>AND('5222018'!#REF!,"AAAAADZv8z8=")</f>
        <v>#REF!</v>
      </c>
      <c r="BM3" t="e">
        <f>AND('5222018'!A32,"AAAAADZv80A=")</f>
        <v>#VALUE!</v>
      </c>
      <c r="BN3" t="e">
        <f>AND('5222018'!B32,"AAAAADZv80E=")</f>
        <v>#VALUE!</v>
      </c>
      <c r="BO3" t="e">
        <f>AND('5222018'!C32,"AAAAADZv80I=")</f>
        <v>#VALUE!</v>
      </c>
      <c r="BP3" t="e">
        <f>AND('5222018'!D32,"AAAAADZv80M=")</f>
        <v>#VALUE!</v>
      </c>
      <c r="BQ3" t="e">
        <f>AND('5222018'!E32,"AAAAADZv80Q=")</f>
        <v>#VALUE!</v>
      </c>
      <c r="BR3" t="e">
        <f>AND('5222018'!F32,"AAAAADZv80U=")</f>
        <v>#VALUE!</v>
      </c>
      <c r="BS3" t="e">
        <f>AND('5222018'!G32,"AAAAADZv80Y=")</f>
        <v>#VALUE!</v>
      </c>
      <c r="BT3" t="e">
        <f>AND('5222018'!H32,"AAAAADZv80c=")</f>
        <v>#VALUE!</v>
      </c>
      <c r="BU3" t="e">
        <f>AND('5222018'!I32,"AAAAADZv80g=")</f>
        <v>#VALUE!</v>
      </c>
      <c r="BV3" t="e">
        <f>AND('5222018'!J32,"AAAAADZv80k=")</f>
        <v>#VALUE!</v>
      </c>
      <c r="BW3" t="e">
        <f>AND('5222018'!K32,"AAAAADZv80o=")</f>
        <v>#VALUE!</v>
      </c>
      <c r="BX3" t="e">
        <f>AND('5222018'!L32,"AAAAADZv80s=")</f>
        <v>#VALUE!</v>
      </c>
      <c r="BY3">
        <f>IF('5222018'!33:33,"AAAAADZv80w=",0)</f>
        <v>0</v>
      </c>
      <c r="BZ3" t="e">
        <f>AND('5222018'!#REF!,"AAAAADZv800=")</f>
        <v>#REF!</v>
      </c>
      <c r="CA3" t="e">
        <f>AND('5222018'!A33,"AAAAADZv804=")</f>
        <v>#VALUE!</v>
      </c>
      <c r="CB3" t="e">
        <f>AND('5222018'!B33,"AAAAADZv808=")</f>
        <v>#VALUE!</v>
      </c>
      <c r="CC3" t="e">
        <f>AND('5222018'!C33,"AAAAADZv81A=")</f>
        <v>#VALUE!</v>
      </c>
      <c r="CD3" t="e">
        <f>AND('5222018'!D33,"AAAAADZv81E=")</f>
        <v>#VALUE!</v>
      </c>
      <c r="CE3" t="e">
        <f>AND('5222018'!E33,"AAAAADZv81I=")</f>
        <v>#VALUE!</v>
      </c>
      <c r="CF3" t="e">
        <f>AND('5222018'!F33,"AAAAADZv81M=")</f>
        <v>#VALUE!</v>
      </c>
      <c r="CG3" t="e">
        <f>AND('5222018'!G33,"AAAAADZv81Q=")</f>
        <v>#VALUE!</v>
      </c>
      <c r="CH3" t="e">
        <f>AND('5222018'!H33,"AAAAADZv81U=")</f>
        <v>#VALUE!</v>
      </c>
      <c r="CI3" t="e">
        <f>AND('5222018'!I33,"AAAAADZv81Y=")</f>
        <v>#VALUE!</v>
      </c>
      <c r="CJ3" t="e">
        <f>AND('5222018'!J33,"AAAAADZv81c=")</f>
        <v>#VALUE!</v>
      </c>
      <c r="CK3" t="e">
        <f>AND('5222018'!K33,"AAAAADZv81g=")</f>
        <v>#VALUE!</v>
      </c>
      <c r="CL3" t="e">
        <f>AND('5222018'!L33,"AAAAADZv81k=")</f>
        <v>#VALUE!</v>
      </c>
      <c r="CM3">
        <f>IF('5222018'!34:34,"AAAAADZv81o=",0)</f>
        <v>0</v>
      </c>
      <c r="CN3" t="e">
        <f>AND('5222018'!#REF!,"AAAAADZv81s=")</f>
        <v>#REF!</v>
      </c>
      <c r="CO3" t="e">
        <f>AND('5222018'!A34,"AAAAADZv81w=")</f>
        <v>#VALUE!</v>
      </c>
      <c r="CP3" t="e">
        <f>AND('5222018'!B34,"AAAAADZv810=")</f>
        <v>#VALUE!</v>
      </c>
      <c r="CQ3" t="e">
        <f>AND('5222018'!C34,"AAAAADZv814=")</f>
        <v>#VALUE!</v>
      </c>
      <c r="CR3" t="e">
        <f>AND('5222018'!D34,"AAAAADZv818=")</f>
        <v>#VALUE!</v>
      </c>
      <c r="CS3" t="e">
        <f>AND('5222018'!F34,"AAAAADZv82A=")</f>
        <v>#VALUE!</v>
      </c>
      <c r="CT3" t="e">
        <f>AND('5222018'!#REF!,"AAAAADZv82E=")</f>
        <v>#REF!</v>
      </c>
      <c r="CU3" t="e">
        <f>AND('5222018'!#REF!,"AAAAADZv82I=")</f>
        <v>#REF!</v>
      </c>
      <c r="CV3" t="e">
        <f>AND('5222018'!#REF!,"AAAAADZv82M=")</f>
        <v>#REF!</v>
      </c>
      <c r="CW3" t="e">
        <f>AND('5222018'!I34,"AAAAADZv82Q=")</f>
        <v>#VALUE!</v>
      </c>
      <c r="CX3" t="e">
        <f>AND('5222018'!J34,"AAAAADZv82U=")</f>
        <v>#VALUE!</v>
      </c>
      <c r="CY3" t="e">
        <f>AND('5222018'!K34,"AAAAADZv82Y=")</f>
        <v>#VALUE!</v>
      </c>
      <c r="CZ3" t="e">
        <f>AND('5222018'!L34,"AAAAADZv82c=")</f>
        <v>#VALUE!</v>
      </c>
      <c r="DA3">
        <f>IF('5222018'!38:38,"AAAAADZv82g=",0)</f>
        <v>0</v>
      </c>
      <c r="DB3" t="e">
        <f>AND('5222018'!#REF!,"AAAAADZv82k=")</f>
        <v>#REF!</v>
      </c>
      <c r="DC3" t="e">
        <f>AND('5222018'!A38,"AAAAADZv82o=")</f>
        <v>#VALUE!</v>
      </c>
      <c r="DD3" t="e">
        <f>AND('5222018'!B38,"AAAAADZv82s=")</f>
        <v>#VALUE!</v>
      </c>
      <c r="DE3" t="e">
        <f>AND('5222018'!C38,"AAAAADZv82w=")</f>
        <v>#VALUE!</v>
      </c>
      <c r="DF3" t="e">
        <f>AND('5222018'!D38,"AAAAADZv820=")</f>
        <v>#VALUE!</v>
      </c>
      <c r="DG3" t="e">
        <f>AND('5222018'!G34,"AAAAADZv824=")</f>
        <v>#VALUE!</v>
      </c>
      <c r="DH3" t="e">
        <f>AND('5222018'!H34,"AAAAADZv828=")</f>
        <v>#VALUE!</v>
      </c>
      <c r="DI3" t="e">
        <f>AND('5222018'!G38,"AAAAADZv83A=")</f>
        <v>#VALUE!</v>
      </c>
      <c r="DJ3" t="e">
        <f>AND('5222018'!H38,"AAAAADZv83E=")</f>
        <v>#VALUE!</v>
      </c>
      <c r="DK3" t="e">
        <f>AND('5222018'!I38,"AAAAADZv83I=")</f>
        <v>#VALUE!</v>
      </c>
      <c r="DL3" t="e">
        <f>AND('5222018'!J38,"AAAAADZv83M=")</f>
        <v>#VALUE!</v>
      </c>
      <c r="DM3" t="e">
        <f>AND('5222018'!K38,"AAAAADZv83Q=")</f>
        <v>#VALUE!</v>
      </c>
      <c r="DN3" t="e">
        <f>AND('5222018'!L38,"AAAAADZv83U=")</f>
        <v>#VALUE!</v>
      </c>
      <c r="DO3" t="e">
        <f>IF('5222018'!#REF!,"AAAAADZv83Y=",0)</f>
        <v>#REF!</v>
      </c>
      <c r="DP3" t="e">
        <f>AND('5222018'!#REF!,"AAAAADZv83c=")</f>
        <v>#REF!</v>
      </c>
      <c r="DQ3" t="e">
        <f>AND('5222018'!#REF!,"AAAAADZv83g=")</f>
        <v>#REF!</v>
      </c>
      <c r="DR3" t="e">
        <f>AND('5222018'!#REF!,"AAAAADZv83k=")</f>
        <v>#REF!</v>
      </c>
      <c r="DS3" t="e">
        <f>AND('5222018'!#REF!,"AAAAADZv83o=")</f>
        <v>#REF!</v>
      </c>
      <c r="DT3" t="e">
        <f>AND('5222018'!#REF!,"AAAAADZv83s=")</f>
        <v>#REF!</v>
      </c>
      <c r="DU3" t="e">
        <f>AND('5222018'!#REF!,"AAAAADZv83w=")</f>
        <v>#REF!</v>
      </c>
      <c r="DV3" t="e">
        <f>AND('5222018'!#REF!,"AAAAADZv830=")</f>
        <v>#REF!</v>
      </c>
      <c r="DW3" t="e">
        <f>AND('5222018'!#REF!,"AAAAADZv834=")</f>
        <v>#REF!</v>
      </c>
      <c r="DX3" t="e">
        <f>AND('5222018'!#REF!,"AAAAADZv838=")</f>
        <v>#REF!</v>
      </c>
      <c r="DY3" t="e">
        <f>AND('5222018'!#REF!,"AAAAADZv84A=")</f>
        <v>#REF!</v>
      </c>
      <c r="DZ3" t="e">
        <f>AND('5222018'!#REF!,"AAAAADZv84E=")</f>
        <v>#REF!</v>
      </c>
      <c r="EA3" t="e">
        <f>AND('5222018'!#REF!,"AAAAADZv84I=")</f>
        <v>#REF!</v>
      </c>
      <c r="EB3" t="e">
        <f>AND('5222018'!#REF!,"AAAAADZv84M=")</f>
        <v>#REF!</v>
      </c>
      <c r="EC3" t="e">
        <f>IF('5222018'!#REF!,"AAAAADZv84Q=",0)</f>
        <v>#REF!</v>
      </c>
      <c r="ED3" t="e">
        <f>AND('5222018'!#REF!,"AAAAADZv84U=")</f>
        <v>#REF!</v>
      </c>
      <c r="EE3" t="e">
        <f>AND('5222018'!#REF!,"AAAAADZv84Y=")</f>
        <v>#REF!</v>
      </c>
      <c r="EF3" t="e">
        <f>AND('5222018'!#REF!,"AAAAADZv84c=")</f>
        <v>#REF!</v>
      </c>
      <c r="EG3" t="e">
        <f>AND('5222018'!#REF!,"AAAAADZv84g=")</f>
        <v>#REF!</v>
      </c>
      <c r="EH3" t="e">
        <f>AND('5222018'!#REF!,"AAAAADZv84k=")</f>
        <v>#REF!</v>
      </c>
      <c r="EI3" t="e">
        <f>AND('5222018'!#REF!,"AAAAADZv84o=")</f>
        <v>#REF!</v>
      </c>
      <c r="EJ3" t="e">
        <f>AND('5222018'!#REF!,"AAAAADZv84s=")</f>
        <v>#REF!</v>
      </c>
      <c r="EK3" t="e">
        <f>AND('5222018'!#REF!,"AAAAADZv84w=")</f>
        <v>#REF!</v>
      </c>
      <c r="EL3" t="e">
        <f>AND('5222018'!#REF!,"AAAAADZv840=")</f>
        <v>#REF!</v>
      </c>
      <c r="EM3" t="e">
        <f>AND('5222018'!#REF!,"AAAAADZv844=")</f>
        <v>#REF!</v>
      </c>
      <c r="EN3" t="e">
        <f>AND('5222018'!#REF!,"AAAAADZv848=")</f>
        <v>#REF!</v>
      </c>
      <c r="EO3" t="e">
        <f>AND('5222018'!#REF!,"AAAAADZv85A=")</f>
        <v>#REF!</v>
      </c>
      <c r="EP3" t="e">
        <f>AND('5222018'!#REF!,"AAAAADZv85E=")</f>
        <v>#REF!</v>
      </c>
      <c r="EQ3" t="e">
        <f>IF('5222018'!#REF!,"AAAAADZv85I=",0)</f>
        <v>#REF!</v>
      </c>
      <c r="ER3" t="e">
        <f>AND('5222018'!#REF!,"AAAAADZv85M=")</f>
        <v>#REF!</v>
      </c>
      <c r="ES3" t="e">
        <f>AND('5222018'!#REF!,"AAAAADZv85Q=")</f>
        <v>#REF!</v>
      </c>
      <c r="ET3" t="e">
        <f>AND('5222018'!#REF!,"AAAAADZv85U=")</f>
        <v>#REF!</v>
      </c>
      <c r="EU3" t="e">
        <f>AND('5222018'!#REF!,"AAAAADZv85Y=")</f>
        <v>#REF!</v>
      </c>
      <c r="EV3" t="e">
        <f>AND('5222018'!#REF!,"AAAAADZv85c=")</f>
        <v>#REF!</v>
      </c>
      <c r="EW3" t="e">
        <f>AND('5222018'!#REF!,"AAAAADZv85g=")</f>
        <v>#REF!</v>
      </c>
      <c r="EX3" t="e">
        <f>AND('5222018'!#REF!,"AAAAADZv85k=")</f>
        <v>#REF!</v>
      </c>
      <c r="EY3" t="e">
        <f>AND('5222018'!#REF!,"AAAAADZv85o=")</f>
        <v>#REF!</v>
      </c>
      <c r="EZ3" t="e">
        <f>AND('5222018'!#REF!,"AAAAADZv85s=")</f>
        <v>#REF!</v>
      </c>
      <c r="FA3" t="e">
        <f>AND('5222018'!#REF!,"AAAAADZv85w=")</f>
        <v>#REF!</v>
      </c>
      <c r="FB3" t="e">
        <f>AND('5222018'!#REF!,"AAAAADZv850=")</f>
        <v>#REF!</v>
      </c>
      <c r="FC3" t="e">
        <f>AND('5222018'!#REF!,"AAAAADZv854=")</f>
        <v>#REF!</v>
      </c>
      <c r="FD3" t="e">
        <f>AND('5222018'!#REF!,"AAAAADZv858=")</f>
        <v>#REF!</v>
      </c>
      <c r="FE3" t="e">
        <f>IF('5222018'!#REF!,"AAAAADZv86A=",0)</f>
        <v>#REF!</v>
      </c>
      <c r="FF3" t="e">
        <f>AND('5222018'!#REF!,"AAAAADZv86E=")</f>
        <v>#REF!</v>
      </c>
      <c r="FG3" t="e">
        <f>AND('5222018'!#REF!,"AAAAADZv86I=")</f>
        <v>#REF!</v>
      </c>
      <c r="FH3" t="e">
        <f>AND('5222018'!#REF!,"AAAAADZv86M=")</f>
        <v>#REF!</v>
      </c>
      <c r="FI3" t="e">
        <f>AND('5222018'!#REF!,"AAAAADZv86Q=")</f>
        <v>#REF!</v>
      </c>
      <c r="FJ3" t="e">
        <f>AND('5222018'!#REF!,"AAAAADZv86U=")</f>
        <v>#REF!</v>
      </c>
      <c r="FK3" t="e">
        <f>AND('5222018'!#REF!,"AAAAADZv86Y=")</f>
        <v>#REF!</v>
      </c>
      <c r="FL3" t="e">
        <f>AND('5222018'!#REF!,"AAAAADZv86c=")</f>
        <v>#REF!</v>
      </c>
      <c r="FM3" t="e">
        <f>AND('5222018'!#REF!,"AAAAADZv86g=")</f>
        <v>#REF!</v>
      </c>
      <c r="FN3" t="e">
        <f>AND('5222018'!#REF!,"AAAAADZv86k=")</f>
        <v>#REF!</v>
      </c>
      <c r="FO3" t="e">
        <f>AND('5222018'!#REF!,"AAAAADZv86o=")</f>
        <v>#REF!</v>
      </c>
      <c r="FP3" t="e">
        <f>AND('5222018'!#REF!,"AAAAADZv86s=")</f>
        <v>#REF!</v>
      </c>
      <c r="FQ3" t="e">
        <f>AND('5222018'!#REF!,"AAAAADZv86w=")</f>
        <v>#REF!</v>
      </c>
      <c r="FR3" t="e">
        <f>AND('5222018'!#REF!,"AAAAADZv860=")</f>
        <v>#REF!</v>
      </c>
      <c r="FS3" t="e">
        <f>IF('5222018'!#REF!,"AAAAADZv864=",0)</f>
        <v>#REF!</v>
      </c>
      <c r="FT3" t="e">
        <f>AND('5222018'!#REF!,"AAAAADZv868=")</f>
        <v>#REF!</v>
      </c>
      <c r="FU3" t="e">
        <f>AND('5222018'!#REF!,"AAAAADZv87A=")</f>
        <v>#REF!</v>
      </c>
      <c r="FV3" t="e">
        <f>AND('5222018'!#REF!,"AAAAADZv87E=")</f>
        <v>#REF!</v>
      </c>
      <c r="FW3" t="e">
        <f>AND('5222018'!#REF!,"AAAAADZv87I=")</f>
        <v>#REF!</v>
      </c>
      <c r="FX3" t="e">
        <f>AND('5222018'!#REF!,"AAAAADZv87M=")</f>
        <v>#REF!</v>
      </c>
      <c r="FY3" t="e">
        <f>AND('5222018'!#REF!,"AAAAADZv87Q=")</f>
        <v>#REF!</v>
      </c>
      <c r="FZ3" t="e">
        <f>AND('5222018'!#REF!,"AAAAADZv87U=")</f>
        <v>#REF!</v>
      </c>
      <c r="GA3" t="e">
        <f>AND('5222018'!#REF!,"AAAAADZv87Y=")</f>
        <v>#REF!</v>
      </c>
      <c r="GB3" t="e">
        <f>AND('5222018'!#REF!,"AAAAADZv87c=")</f>
        <v>#REF!</v>
      </c>
      <c r="GC3" t="e">
        <f>AND('5222018'!#REF!,"AAAAADZv87g=")</f>
        <v>#REF!</v>
      </c>
      <c r="GD3" t="e">
        <f>AND('5222018'!#REF!,"AAAAADZv87k=")</f>
        <v>#REF!</v>
      </c>
      <c r="GE3" t="e">
        <f>AND('5222018'!#REF!,"AAAAADZv87o=")</f>
        <v>#REF!</v>
      </c>
      <c r="GF3" t="e">
        <f>AND('5222018'!#REF!,"AAAAADZv87s=")</f>
        <v>#REF!</v>
      </c>
      <c r="GG3" t="e">
        <f>IF('5222018'!#REF!,"AAAAADZv87w=",0)</f>
        <v>#REF!</v>
      </c>
      <c r="GH3" t="e">
        <f>AND('5222018'!#REF!,"AAAAADZv870=")</f>
        <v>#REF!</v>
      </c>
      <c r="GI3" t="e">
        <f>AND('5222018'!#REF!,"AAAAADZv874=")</f>
        <v>#REF!</v>
      </c>
      <c r="GJ3" t="e">
        <f>AND('5222018'!#REF!,"AAAAADZv878=")</f>
        <v>#REF!</v>
      </c>
      <c r="GK3" t="e">
        <f>AND('5222018'!#REF!,"AAAAADZv88A=")</f>
        <v>#REF!</v>
      </c>
      <c r="GL3" t="e">
        <f>AND('5222018'!#REF!,"AAAAADZv88E=")</f>
        <v>#REF!</v>
      </c>
      <c r="GM3" t="e">
        <f>AND('5222018'!#REF!,"AAAAADZv88I=")</f>
        <v>#REF!</v>
      </c>
      <c r="GN3" t="e">
        <f>AND('5222018'!#REF!,"AAAAADZv88M=")</f>
        <v>#REF!</v>
      </c>
      <c r="GO3" t="e">
        <f>AND('5222018'!#REF!,"AAAAADZv88Q=")</f>
        <v>#REF!</v>
      </c>
      <c r="GP3" t="e">
        <f>AND('5222018'!#REF!,"AAAAADZv88U=")</f>
        <v>#REF!</v>
      </c>
      <c r="GQ3" t="e">
        <f>AND('5222018'!#REF!,"AAAAADZv88Y=")</f>
        <v>#REF!</v>
      </c>
      <c r="GR3" t="e">
        <f>AND('5222018'!#REF!,"AAAAADZv88c=")</f>
        <v>#REF!</v>
      </c>
      <c r="GS3" t="e">
        <f>AND('5222018'!#REF!,"AAAAADZv88g=")</f>
        <v>#REF!</v>
      </c>
      <c r="GT3" t="e">
        <f>AND('5222018'!#REF!,"AAAAADZv88k=")</f>
        <v>#REF!</v>
      </c>
      <c r="GU3" t="e">
        <f>IF('5222018'!#REF!,"AAAAADZv88o=",0)</f>
        <v>#REF!</v>
      </c>
      <c r="GV3" t="e">
        <f>AND('5222018'!#REF!,"AAAAADZv88s=")</f>
        <v>#REF!</v>
      </c>
      <c r="GW3" t="e">
        <f>AND('5222018'!#REF!,"AAAAADZv88w=")</f>
        <v>#REF!</v>
      </c>
      <c r="GX3" t="e">
        <f>AND('5222018'!#REF!,"AAAAADZv880=")</f>
        <v>#REF!</v>
      </c>
      <c r="GY3" t="e">
        <f>AND('5222018'!#REF!,"AAAAADZv884=")</f>
        <v>#REF!</v>
      </c>
      <c r="GZ3" t="e">
        <f>AND('5222018'!#REF!,"AAAAADZv888=")</f>
        <v>#REF!</v>
      </c>
      <c r="HA3" t="e">
        <f>AND('5222018'!#REF!,"AAAAADZv89A=")</f>
        <v>#REF!</v>
      </c>
      <c r="HB3" t="e">
        <f>AND('5222018'!#REF!,"AAAAADZv89E=")</f>
        <v>#REF!</v>
      </c>
      <c r="HC3" t="e">
        <f>AND('5222018'!#REF!,"AAAAADZv89I=")</f>
        <v>#REF!</v>
      </c>
      <c r="HD3" t="e">
        <f>AND('5222018'!#REF!,"AAAAADZv89M=")</f>
        <v>#REF!</v>
      </c>
      <c r="HE3" t="e">
        <f>AND('5222018'!#REF!,"AAAAADZv89Q=")</f>
        <v>#REF!</v>
      </c>
      <c r="HF3" t="e">
        <f>AND('5222018'!#REF!,"AAAAADZv89U=")</f>
        <v>#REF!</v>
      </c>
      <c r="HG3" t="e">
        <f>AND('5222018'!#REF!,"AAAAADZv89Y=")</f>
        <v>#REF!</v>
      </c>
      <c r="HH3" t="e">
        <f>AND('5222018'!#REF!,"AAAAADZv89c=")</f>
        <v>#REF!</v>
      </c>
      <c r="HI3" t="e">
        <f>IF('5222018'!#REF!,"AAAAADZv89g=",0)</f>
        <v>#REF!</v>
      </c>
      <c r="HJ3" t="e">
        <f>AND('5222018'!#REF!,"AAAAADZv89k=")</f>
        <v>#REF!</v>
      </c>
      <c r="HK3" t="e">
        <f>AND('5222018'!#REF!,"AAAAADZv89o=")</f>
        <v>#REF!</v>
      </c>
      <c r="HL3" t="e">
        <f>AND('5222018'!#REF!,"AAAAADZv89s=")</f>
        <v>#REF!</v>
      </c>
      <c r="HM3" t="e">
        <f>AND('5222018'!#REF!,"AAAAADZv89w=")</f>
        <v>#REF!</v>
      </c>
      <c r="HN3" t="e">
        <f>AND('5222018'!#REF!,"AAAAADZv890=")</f>
        <v>#REF!</v>
      </c>
      <c r="HO3" t="e">
        <f>AND('5222018'!#REF!,"AAAAADZv894=")</f>
        <v>#REF!</v>
      </c>
      <c r="HP3" t="e">
        <f>AND('5222018'!#REF!,"AAAAADZv898=")</f>
        <v>#REF!</v>
      </c>
      <c r="HQ3" t="e">
        <f>AND('5222018'!#REF!,"AAAAADZv8+A=")</f>
        <v>#REF!</v>
      </c>
      <c r="HR3" t="e">
        <f>AND('5222018'!#REF!,"AAAAADZv8+E=")</f>
        <v>#REF!</v>
      </c>
      <c r="HS3" t="e">
        <f>AND('5222018'!#REF!,"AAAAADZv8+I=")</f>
        <v>#REF!</v>
      </c>
      <c r="HT3" t="e">
        <f>AND('5222018'!#REF!,"AAAAADZv8+M=")</f>
        <v>#REF!</v>
      </c>
      <c r="HU3" t="e">
        <f>AND('5222018'!#REF!,"AAAAADZv8+Q=")</f>
        <v>#REF!</v>
      </c>
      <c r="HV3" t="e">
        <f>AND('5222018'!#REF!,"AAAAADZv8+U=")</f>
        <v>#REF!</v>
      </c>
      <c r="HW3" t="e">
        <f>IF('5222018'!#REF!,"AAAAADZv8+Y=",0)</f>
        <v>#REF!</v>
      </c>
      <c r="HX3" t="e">
        <f>AND('5222018'!#REF!,"AAAAADZv8+c=")</f>
        <v>#REF!</v>
      </c>
      <c r="HY3" t="e">
        <f>AND('5222018'!#REF!,"AAAAADZv8+g=")</f>
        <v>#REF!</v>
      </c>
      <c r="HZ3" t="e">
        <f>AND('5222018'!#REF!,"AAAAADZv8+k=")</f>
        <v>#REF!</v>
      </c>
      <c r="IA3" t="e">
        <f>AND('5222018'!#REF!,"AAAAADZv8+o=")</f>
        <v>#REF!</v>
      </c>
      <c r="IB3" t="e">
        <f>AND('5222018'!#REF!,"AAAAADZv8+s=")</f>
        <v>#REF!</v>
      </c>
      <c r="IC3" t="e">
        <f>AND('5222018'!#REF!,"AAAAADZv8+w=")</f>
        <v>#REF!</v>
      </c>
      <c r="ID3" t="e">
        <f>AND('5222018'!#REF!,"AAAAADZv8+0=")</f>
        <v>#REF!</v>
      </c>
      <c r="IE3" t="e">
        <f>AND('5222018'!#REF!,"AAAAADZv8+4=")</f>
        <v>#REF!</v>
      </c>
      <c r="IF3" t="e">
        <f>AND('5222018'!#REF!,"AAAAADZv8+8=")</f>
        <v>#REF!</v>
      </c>
      <c r="IG3" t="e">
        <f>AND('5222018'!#REF!,"AAAAADZv8/A=")</f>
        <v>#REF!</v>
      </c>
      <c r="IH3" t="e">
        <f>AND('5222018'!#REF!,"AAAAADZv8/E=")</f>
        <v>#REF!</v>
      </c>
      <c r="II3" t="e">
        <f>AND('5222018'!#REF!,"AAAAADZv8/I=")</f>
        <v>#REF!</v>
      </c>
      <c r="IJ3" t="e">
        <f>AND('5222018'!#REF!,"AAAAADZv8/M=")</f>
        <v>#REF!</v>
      </c>
      <c r="IK3" t="e">
        <f>IF('5222018'!#REF!,"AAAAADZv8/Q=",0)</f>
        <v>#REF!</v>
      </c>
      <c r="IL3" t="e">
        <f>AND('5222018'!#REF!,"AAAAADZv8/U=")</f>
        <v>#REF!</v>
      </c>
      <c r="IM3" t="e">
        <f>AND('5222018'!#REF!,"AAAAADZv8/Y=")</f>
        <v>#REF!</v>
      </c>
      <c r="IN3" t="e">
        <f>AND('5222018'!#REF!,"AAAAADZv8/c=")</f>
        <v>#REF!</v>
      </c>
      <c r="IO3" t="e">
        <f>AND('5222018'!#REF!,"AAAAADZv8/g=")</f>
        <v>#REF!</v>
      </c>
      <c r="IP3" t="e">
        <f>AND('5222018'!#REF!,"AAAAADZv8/k=")</f>
        <v>#REF!</v>
      </c>
      <c r="IQ3" t="e">
        <f>AND('5222018'!#REF!,"AAAAADZv8/o=")</f>
        <v>#REF!</v>
      </c>
      <c r="IR3" t="e">
        <f>AND('5222018'!#REF!,"AAAAADZv8/s=")</f>
        <v>#REF!</v>
      </c>
      <c r="IS3" t="e">
        <f>AND('5222018'!#REF!,"AAAAADZv8/w=")</f>
        <v>#REF!</v>
      </c>
      <c r="IT3" t="e">
        <f>AND('5222018'!#REF!,"AAAAADZv8/0=")</f>
        <v>#REF!</v>
      </c>
      <c r="IU3" t="e">
        <f>AND('5222018'!#REF!,"AAAAADZv8/4=")</f>
        <v>#REF!</v>
      </c>
      <c r="IV3" t="e">
        <f>AND('5222018'!#REF!,"AAAAADZv8/8=")</f>
        <v>#REF!</v>
      </c>
    </row>
    <row r="4" spans="1:256" x14ac:dyDescent="0.2">
      <c r="A4" t="e">
        <f>AND('5222018'!#REF!,"AAAAAHZt9gA=")</f>
        <v>#REF!</v>
      </c>
      <c r="B4" t="e">
        <f>AND('5222018'!#REF!,"AAAAAHZt9gE=")</f>
        <v>#REF!</v>
      </c>
      <c r="C4" t="e">
        <f>IF('5222018'!#REF!,"AAAAAHZt9gI=",0)</f>
        <v>#REF!</v>
      </c>
      <c r="D4" t="e">
        <f>AND('5222018'!#REF!,"AAAAAHZt9gM=")</f>
        <v>#REF!</v>
      </c>
      <c r="E4" t="e">
        <f>AND('5222018'!#REF!,"AAAAAHZt9gQ=")</f>
        <v>#REF!</v>
      </c>
      <c r="F4" t="e">
        <f>AND('5222018'!#REF!,"AAAAAHZt9gU=")</f>
        <v>#REF!</v>
      </c>
      <c r="G4" t="e">
        <f>AND('5222018'!#REF!,"AAAAAHZt9gY=")</f>
        <v>#REF!</v>
      </c>
      <c r="H4" t="e">
        <f>AND('5222018'!#REF!,"AAAAAHZt9gc=")</f>
        <v>#REF!</v>
      </c>
      <c r="I4" t="e">
        <f>AND('5222018'!#REF!,"AAAAAHZt9gg=")</f>
        <v>#REF!</v>
      </c>
      <c r="J4" t="e">
        <f>AND('5222018'!#REF!,"AAAAAHZt9gk=")</f>
        <v>#REF!</v>
      </c>
      <c r="K4" t="e">
        <f>AND('5222018'!#REF!,"AAAAAHZt9go=")</f>
        <v>#REF!</v>
      </c>
      <c r="L4" t="e">
        <f>AND('5222018'!#REF!,"AAAAAHZt9gs=")</f>
        <v>#REF!</v>
      </c>
      <c r="M4" t="e">
        <f>AND('5222018'!#REF!,"AAAAAHZt9gw=")</f>
        <v>#REF!</v>
      </c>
      <c r="N4" t="e">
        <f>AND('5222018'!#REF!,"AAAAAHZt9g0=")</f>
        <v>#REF!</v>
      </c>
      <c r="O4" t="e">
        <f>AND('5222018'!#REF!,"AAAAAHZt9g4=")</f>
        <v>#REF!</v>
      </c>
      <c r="P4" t="e">
        <f>AND('5222018'!#REF!,"AAAAAHZt9g8=")</f>
        <v>#REF!</v>
      </c>
      <c r="Q4" t="e">
        <f>IF('5222018'!#REF!,"AAAAAHZt9hA=",0)</f>
        <v>#REF!</v>
      </c>
      <c r="R4" t="e">
        <f>AND('5222018'!#REF!,"AAAAAHZt9hE=")</f>
        <v>#REF!</v>
      </c>
      <c r="S4" t="e">
        <f>AND('5222018'!#REF!,"AAAAAHZt9hI=")</f>
        <v>#REF!</v>
      </c>
      <c r="T4" t="e">
        <f>AND('5222018'!#REF!,"AAAAAHZt9hM=")</f>
        <v>#REF!</v>
      </c>
      <c r="U4" t="e">
        <f>AND('5222018'!#REF!,"AAAAAHZt9hQ=")</f>
        <v>#REF!</v>
      </c>
      <c r="V4" t="e">
        <f>AND('5222018'!#REF!,"AAAAAHZt9hU=")</f>
        <v>#REF!</v>
      </c>
      <c r="W4" t="e">
        <f>AND('5222018'!#REF!,"AAAAAHZt9hY=")</f>
        <v>#REF!</v>
      </c>
      <c r="X4" t="e">
        <f>AND('5222018'!#REF!,"AAAAAHZt9hc=")</f>
        <v>#REF!</v>
      </c>
      <c r="Y4" t="e">
        <f>AND('5222018'!#REF!,"AAAAAHZt9hg=")</f>
        <v>#REF!</v>
      </c>
      <c r="Z4" t="e">
        <f>AND('5222018'!#REF!,"AAAAAHZt9hk=")</f>
        <v>#REF!</v>
      </c>
      <c r="AA4" t="e">
        <f>AND('5222018'!#REF!,"AAAAAHZt9ho=")</f>
        <v>#REF!</v>
      </c>
      <c r="AB4" t="e">
        <f>AND('5222018'!#REF!,"AAAAAHZt9hs=")</f>
        <v>#REF!</v>
      </c>
      <c r="AC4" t="e">
        <f>AND('5222018'!#REF!,"AAAAAHZt9hw=")</f>
        <v>#REF!</v>
      </c>
      <c r="AD4" t="e">
        <f>AND('5222018'!#REF!,"AAAAAHZt9h0=")</f>
        <v>#REF!</v>
      </c>
      <c r="AE4" t="e">
        <f>IF('5222018'!#REF!,"AAAAAHZt9h4=",0)</f>
        <v>#REF!</v>
      </c>
      <c r="AF4" t="e">
        <f>AND('5222018'!#REF!,"AAAAAHZt9h8=")</f>
        <v>#REF!</v>
      </c>
      <c r="AG4" t="e">
        <f>AND('5222018'!#REF!,"AAAAAHZt9iA=")</f>
        <v>#REF!</v>
      </c>
      <c r="AH4" t="e">
        <f>AND('5222018'!#REF!,"AAAAAHZt9iE=")</f>
        <v>#REF!</v>
      </c>
      <c r="AI4" t="e">
        <f>AND('5222018'!#REF!,"AAAAAHZt9iI=")</f>
        <v>#REF!</v>
      </c>
      <c r="AJ4" t="e">
        <f>AND('5222018'!#REF!,"AAAAAHZt9iM=")</f>
        <v>#REF!</v>
      </c>
      <c r="AK4" t="e">
        <f>AND('5222018'!#REF!,"AAAAAHZt9iQ=")</f>
        <v>#REF!</v>
      </c>
      <c r="AL4" t="e">
        <f>AND('5222018'!#REF!,"AAAAAHZt9iU=")</f>
        <v>#REF!</v>
      </c>
      <c r="AM4" t="e">
        <f>AND('5222018'!#REF!,"AAAAAHZt9iY=")</f>
        <v>#REF!</v>
      </c>
      <c r="AN4" t="e">
        <f>AND('5222018'!#REF!,"AAAAAHZt9ic=")</f>
        <v>#REF!</v>
      </c>
      <c r="AO4" t="e">
        <f>AND('5222018'!#REF!,"AAAAAHZt9ig=")</f>
        <v>#REF!</v>
      </c>
      <c r="AP4" t="e">
        <f>AND('5222018'!#REF!,"AAAAAHZt9ik=")</f>
        <v>#REF!</v>
      </c>
      <c r="AQ4" t="e">
        <f>AND('5222018'!#REF!,"AAAAAHZt9io=")</f>
        <v>#REF!</v>
      </c>
      <c r="AR4" t="e">
        <f>AND('5222018'!#REF!,"AAAAAHZt9is=")</f>
        <v>#REF!</v>
      </c>
      <c r="AS4" t="e">
        <f>IF('5222018'!#REF!,"AAAAAHZt9iw=",0)</f>
        <v>#REF!</v>
      </c>
      <c r="AT4" t="e">
        <f>AND('5222018'!#REF!,"AAAAAHZt9i0=")</f>
        <v>#REF!</v>
      </c>
      <c r="AU4" t="e">
        <f>AND('5222018'!#REF!,"AAAAAHZt9i4=")</f>
        <v>#REF!</v>
      </c>
      <c r="AV4" t="e">
        <f>AND('5222018'!#REF!,"AAAAAHZt9i8=")</f>
        <v>#REF!</v>
      </c>
      <c r="AW4" t="e">
        <f>AND('5222018'!#REF!,"AAAAAHZt9jA=")</f>
        <v>#REF!</v>
      </c>
      <c r="AX4" t="e">
        <f>AND('5222018'!#REF!,"AAAAAHZt9jE=")</f>
        <v>#REF!</v>
      </c>
      <c r="AY4" t="e">
        <f>AND('5222018'!#REF!,"AAAAAHZt9jI=")</f>
        <v>#REF!</v>
      </c>
      <c r="AZ4" t="e">
        <f>AND('5222018'!#REF!,"AAAAAHZt9jM=")</f>
        <v>#REF!</v>
      </c>
      <c r="BA4" t="e">
        <f>AND('5222018'!#REF!,"AAAAAHZt9jQ=")</f>
        <v>#REF!</v>
      </c>
      <c r="BB4" t="e">
        <f>AND('5222018'!#REF!,"AAAAAHZt9jU=")</f>
        <v>#REF!</v>
      </c>
      <c r="BC4" t="e">
        <f>AND('5222018'!#REF!,"AAAAAHZt9jY=")</f>
        <v>#REF!</v>
      </c>
      <c r="BD4" t="e">
        <f>AND('5222018'!#REF!,"AAAAAHZt9jc=")</f>
        <v>#REF!</v>
      </c>
      <c r="BE4" t="e">
        <f>AND('5222018'!#REF!,"AAAAAHZt9jg=")</f>
        <v>#REF!</v>
      </c>
      <c r="BF4" t="e">
        <f>AND('5222018'!#REF!,"AAAAAHZt9jk=")</f>
        <v>#REF!</v>
      </c>
      <c r="BG4" t="e">
        <f>IF('5222018'!#REF!,"AAAAAHZt9jo=",0)</f>
        <v>#REF!</v>
      </c>
      <c r="BH4" t="e">
        <f>AND('5222018'!#REF!,"AAAAAHZt9js=")</f>
        <v>#REF!</v>
      </c>
      <c r="BI4" t="e">
        <f>AND('5222018'!#REF!,"AAAAAHZt9jw=")</f>
        <v>#REF!</v>
      </c>
      <c r="BJ4" t="e">
        <f>AND('5222018'!#REF!,"AAAAAHZt9j0=")</f>
        <v>#REF!</v>
      </c>
      <c r="BK4" t="e">
        <f>AND('5222018'!#REF!,"AAAAAHZt9j4=")</f>
        <v>#REF!</v>
      </c>
      <c r="BL4" t="e">
        <f>AND('5222018'!#REF!,"AAAAAHZt9j8=")</f>
        <v>#REF!</v>
      </c>
      <c r="BM4" t="e">
        <f>AND('5222018'!#REF!,"AAAAAHZt9kA=")</f>
        <v>#REF!</v>
      </c>
      <c r="BN4" t="e">
        <f>AND('5222018'!#REF!,"AAAAAHZt9kE=")</f>
        <v>#REF!</v>
      </c>
      <c r="BO4" t="e">
        <f>AND('5222018'!#REF!,"AAAAAHZt9kI=")</f>
        <v>#REF!</v>
      </c>
      <c r="BP4" t="e">
        <f>AND('5222018'!#REF!,"AAAAAHZt9kM=")</f>
        <v>#REF!</v>
      </c>
      <c r="BQ4" t="e">
        <f>AND('5222018'!#REF!,"AAAAAHZt9kQ=")</f>
        <v>#REF!</v>
      </c>
      <c r="BR4" t="e">
        <f>AND('5222018'!#REF!,"AAAAAHZt9kU=")</f>
        <v>#REF!</v>
      </c>
      <c r="BS4" t="e">
        <f>AND('5222018'!#REF!,"AAAAAHZt9kY=")</f>
        <v>#REF!</v>
      </c>
      <c r="BT4" t="e">
        <f>AND('5222018'!#REF!,"AAAAAHZt9kc=")</f>
        <v>#REF!</v>
      </c>
      <c r="BU4" t="e">
        <f>IF('5222018'!#REF!,"AAAAAHZt9kg=",0)</f>
        <v>#REF!</v>
      </c>
      <c r="BV4" t="e">
        <f>AND('5222018'!#REF!,"AAAAAHZt9kk=")</f>
        <v>#REF!</v>
      </c>
      <c r="BW4" t="e">
        <f>AND('5222018'!#REF!,"AAAAAHZt9ko=")</f>
        <v>#REF!</v>
      </c>
      <c r="BX4" t="e">
        <f>AND('5222018'!#REF!,"AAAAAHZt9ks=")</f>
        <v>#REF!</v>
      </c>
      <c r="BY4" t="e">
        <f>AND('5222018'!#REF!,"AAAAAHZt9kw=")</f>
        <v>#REF!</v>
      </c>
      <c r="BZ4" t="e">
        <f>AND('5222018'!#REF!,"AAAAAHZt9k0=")</f>
        <v>#REF!</v>
      </c>
      <c r="CA4" t="e">
        <f>AND('5222018'!#REF!,"AAAAAHZt9k4=")</f>
        <v>#REF!</v>
      </c>
      <c r="CB4" t="e">
        <f>AND('5222018'!#REF!,"AAAAAHZt9k8=")</f>
        <v>#REF!</v>
      </c>
      <c r="CC4" t="e">
        <f>AND('5222018'!#REF!,"AAAAAHZt9lA=")</f>
        <v>#REF!</v>
      </c>
      <c r="CD4" t="e">
        <f>AND('5222018'!#REF!,"AAAAAHZt9lE=")</f>
        <v>#REF!</v>
      </c>
      <c r="CE4" t="e">
        <f>AND('5222018'!#REF!,"AAAAAHZt9lI=")</f>
        <v>#REF!</v>
      </c>
      <c r="CF4" t="e">
        <f>AND('5222018'!#REF!,"AAAAAHZt9lM=")</f>
        <v>#REF!</v>
      </c>
      <c r="CG4" t="e">
        <f>AND('5222018'!#REF!,"AAAAAHZt9lQ=")</f>
        <v>#REF!</v>
      </c>
      <c r="CH4" t="e">
        <f>AND('5222018'!#REF!,"AAAAAHZt9lU=")</f>
        <v>#REF!</v>
      </c>
      <c r="CI4" t="e">
        <f>IF('5222018'!#REF!,"AAAAAHZt9lY=",0)</f>
        <v>#REF!</v>
      </c>
      <c r="CJ4" t="e">
        <f>AND('5222018'!#REF!,"AAAAAHZt9lc=")</f>
        <v>#REF!</v>
      </c>
      <c r="CK4" t="e">
        <f>AND('5222018'!#REF!,"AAAAAHZt9lg=")</f>
        <v>#REF!</v>
      </c>
      <c r="CL4" t="e">
        <f>AND('5222018'!#REF!,"AAAAAHZt9lk=")</f>
        <v>#REF!</v>
      </c>
      <c r="CM4" t="e">
        <f>AND('5222018'!#REF!,"AAAAAHZt9lo=")</f>
        <v>#REF!</v>
      </c>
      <c r="CN4" t="e">
        <f>AND('5222018'!#REF!,"AAAAAHZt9ls=")</f>
        <v>#REF!</v>
      </c>
      <c r="CO4" t="e">
        <f>AND('5222018'!#REF!,"AAAAAHZt9lw=")</f>
        <v>#REF!</v>
      </c>
      <c r="CP4" t="e">
        <f>AND('5222018'!#REF!,"AAAAAHZt9l0=")</f>
        <v>#REF!</v>
      </c>
      <c r="CQ4" t="e">
        <f>AND('5222018'!#REF!,"AAAAAHZt9l4=")</f>
        <v>#REF!</v>
      </c>
      <c r="CR4" t="e">
        <f>AND('5222018'!#REF!,"AAAAAHZt9l8=")</f>
        <v>#REF!</v>
      </c>
      <c r="CS4" t="e">
        <f>AND('5222018'!#REF!,"AAAAAHZt9mA=")</f>
        <v>#REF!</v>
      </c>
      <c r="CT4" t="e">
        <f>AND('5222018'!#REF!,"AAAAAHZt9mE=")</f>
        <v>#REF!</v>
      </c>
      <c r="CU4" t="e">
        <f>AND('5222018'!#REF!,"AAAAAHZt9mI=")</f>
        <v>#REF!</v>
      </c>
      <c r="CV4" t="e">
        <f>AND('5222018'!#REF!,"AAAAAHZt9mM=")</f>
        <v>#REF!</v>
      </c>
      <c r="CW4" t="e">
        <f>IF('5222018'!#REF!,"AAAAAHZt9mQ=",0)</f>
        <v>#REF!</v>
      </c>
      <c r="CX4" t="e">
        <f>AND('5222018'!#REF!,"AAAAAHZt9mU=")</f>
        <v>#REF!</v>
      </c>
      <c r="CY4" t="e">
        <f>AND('5222018'!#REF!,"AAAAAHZt9mY=")</f>
        <v>#REF!</v>
      </c>
      <c r="CZ4" t="e">
        <f>AND('5222018'!#REF!,"AAAAAHZt9mc=")</f>
        <v>#REF!</v>
      </c>
      <c r="DA4" t="e">
        <f>AND('5222018'!#REF!,"AAAAAHZt9mg=")</f>
        <v>#REF!</v>
      </c>
      <c r="DB4" t="e">
        <f>AND('5222018'!#REF!,"AAAAAHZt9mk=")</f>
        <v>#REF!</v>
      </c>
      <c r="DC4" t="e">
        <f>AND('5222018'!#REF!,"AAAAAHZt9mo=")</f>
        <v>#REF!</v>
      </c>
      <c r="DD4" t="e">
        <f>AND('5222018'!#REF!,"AAAAAHZt9ms=")</f>
        <v>#REF!</v>
      </c>
      <c r="DE4" t="e">
        <f>AND('5222018'!#REF!,"AAAAAHZt9mw=")</f>
        <v>#REF!</v>
      </c>
      <c r="DF4" t="e">
        <f>AND('5222018'!#REF!,"AAAAAHZt9m0=")</f>
        <v>#REF!</v>
      </c>
      <c r="DG4" t="e">
        <f>AND('5222018'!#REF!,"AAAAAHZt9m4=")</f>
        <v>#REF!</v>
      </c>
      <c r="DH4" t="e">
        <f>AND('5222018'!#REF!,"AAAAAHZt9m8=")</f>
        <v>#REF!</v>
      </c>
      <c r="DI4" t="e">
        <f>AND('5222018'!#REF!,"AAAAAHZt9nA=")</f>
        <v>#REF!</v>
      </c>
      <c r="DJ4" t="e">
        <f>AND('5222018'!#REF!,"AAAAAHZt9nE=")</f>
        <v>#REF!</v>
      </c>
      <c r="DK4" t="e">
        <f>IF('5222018'!#REF!,"AAAAAHZt9nI=",0)</f>
        <v>#REF!</v>
      </c>
      <c r="DL4" t="e">
        <f>AND('5222018'!#REF!,"AAAAAHZt9nM=")</f>
        <v>#REF!</v>
      </c>
      <c r="DM4" t="e">
        <f>AND('5222018'!#REF!,"AAAAAHZt9nQ=")</f>
        <v>#REF!</v>
      </c>
      <c r="DN4" t="e">
        <f>AND('5222018'!#REF!,"AAAAAHZt9nU=")</f>
        <v>#REF!</v>
      </c>
      <c r="DO4" t="e">
        <f>AND('5222018'!#REF!,"AAAAAHZt9nY=")</f>
        <v>#REF!</v>
      </c>
      <c r="DP4" t="e">
        <f>AND('5222018'!#REF!,"AAAAAHZt9nc=")</f>
        <v>#REF!</v>
      </c>
      <c r="DQ4" t="e">
        <f>AND('5222018'!#REF!,"AAAAAHZt9ng=")</f>
        <v>#REF!</v>
      </c>
      <c r="DR4" t="e">
        <f>AND('5222018'!#REF!,"AAAAAHZt9nk=")</f>
        <v>#REF!</v>
      </c>
      <c r="DS4" t="e">
        <f>AND('5222018'!#REF!,"AAAAAHZt9no=")</f>
        <v>#REF!</v>
      </c>
      <c r="DT4" t="e">
        <f>AND('5222018'!#REF!,"AAAAAHZt9ns=")</f>
        <v>#REF!</v>
      </c>
      <c r="DU4" t="e">
        <f>AND('5222018'!#REF!,"AAAAAHZt9nw=")</f>
        <v>#REF!</v>
      </c>
      <c r="DV4" t="e">
        <f>AND('5222018'!#REF!,"AAAAAHZt9n0=")</f>
        <v>#REF!</v>
      </c>
      <c r="DW4" t="e">
        <f>AND('5222018'!#REF!,"AAAAAHZt9n4=")</f>
        <v>#REF!</v>
      </c>
      <c r="DX4" t="e">
        <f>AND('5222018'!#REF!,"AAAAAHZt9n8=")</f>
        <v>#REF!</v>
      </c>
      <c r="DY4" t="e">
        <f>IF('5222018'!#REF!,"AAAAAHZt9oA=",0)</f>
        <v>#REF!</v>
      </c>
      <c r="DZ4" t="e">
        <f>AND('5222018'!#REF!,"AAAAAHZt9oE=")</f>
        <v>#REF!</v>
      </c>
      <c r="EA4" t="e">
        <f>AND('5222018'!#REF!,"AAAAAHZt9oI=")</f>
        <v>#REF!</v>
      </c>
      <c r="EB4" t="e">
        <f>AND('5222018'!#REF!,"AAAAAHZt9oM=")</f>
        <v>#REF!</v>
      </c>
      <c r="EC4" t="e">
        <f>AND('5222018'!#REF!,"AAAAAHZt9oQ=")</f>
        <v>#REF!</v>
      </c>
      <c r="ED4" t="e">
        <f>AND('5222018'!#REF!,"AAAAAHZt9oU=")</f>
        <v>#REF!</v>
      </c>
      <c r="EE4" t="e">
        <f>AND('5222018'!#REF!,"AAAAAHZt9oY=")</f>
        <v>#REF!</v>
      </c>
      <c r="EF4" t="e">
        <f>AND('5222018'!#REF!,"AAAAAHZt9oc=")</f>
        <v>#REF!</v>
      </c>
      <c r="EG4" t="e">
        <f>AND('5222018'!#REF!,"AAAAAHZt9og=")</f>
        <v>#REF!</v>
      </c>
      <c r="EH4" t="e">
        <f>AND('5222018'!#REF!,"AAAAAHZt9ok=")</f>
        <v>#REF!</v>
      </c>
      <c r="EI4" t="e">
        <f>AND('5222018'!#REF!,"AAAAAHZt9oo=")</f>
        <v>#REF!</v>
      </c>
      <c r="EJ4" t="e">
        <f>AND('5222018'!#REF!,"AAAAAHZt9os=")</f>
        <v>#REF!</v>
      </c>
      <c r="EK4" t="e">
        <f>AND('5222018'!#REF!,"AAAAAHZt9ow=")</f>
        <v>#REF!</v>
      </c>
      <c r="EL4" t="e">
        <f>AND('5222018'!#REF!,"AAAAAHZt9o0=")</f>
        <v>#REF!</v>
      </c>
      <c r="EM4" t="e">
        <f>IF('5222018'!#REF!,"AAAAAHZt9o4=",0)</f>
        <v>#REF!</v>
      </c>
      <c r="EN4" t="e">
        <f>AND('5222018'!#REF!,"AAAAAHZt9o8=")</f>
        <v>#REF!</v>
      </c>
      <c r="EO4" t="e">
        <f>AND('5222018'!#REF!,"AAAAAHZt9pA=")</f>
        <v>#REF!</v>
      </c>
      <c r="EP4" t="e">
        <f>AND('5222018'!#REF!,"AAAAAHZt9pE=")</f>
        <v>#REF!</v>
      </c>
      <c r="EQ4" t="e">
        <f>AND('5222018'!#REF!,"AAAAAHZt9pI=")</f>
        <v>#REF!</v>
      </c>
      <c r="ER4" t="e">
        <f>AND('5222018'!#REF!,"AAAAAHZt9pM=")</f>
        <v>#REF!</v>
      </c>
      <c r="ES4" t="e">
        <f>AND('5222018'!#REF!,"AAAAAHZt9pQ=")</f>
        <v>#REF!</v>
      </c>
      <c r="ET4" t="e">
        <f>AND('5222018'!#REF!,"AAAAAHZt9pU=")</f>
        <v>#REF!</v>
      </c>
      <c r="EU4" t="e">
        <f>AND('5222018'!#REF!,"AAAAAHZt9pY=")</f>
        <v>#REF!</v>
      </c>
      <c r="EV4" t="e">
        <f>AND('5222018'!#REF!,"AAAAAHZt9pc=")</f>
        <v>#REF!</v>
      </c>
      <c r="EW4" t="e">
        <f>AND('5222018'!#REF!,"AAAAAHZt9pg=")</f>
        <v>#REF!</v>
      </c>
      <c r="EX4" t="e">
        <f>AND('5222018'!#REF!,"AAAAAHZt9pk=")</f>
        <v>#REF!</v>
      </c>
      <c r="EY4" t="e">
        <f>AND('5222018'!#REF!,"AAAAAHZt9po=")</f>
        <v>#REF!</v>
      </c>
      <c r="EZ4" t="e">
        <f>AND('5222018'!#REF!,"AAAAAHZt9ps=")</f>
        <v>#REF!</v>
      </c>
      <c r="FA4" t="e">
        <f>IF('5222018'!#REF!,"AAAAAHZt9pw=",0)</f>
        <v>#REF!</v>
      </c>
      <c r="FB4" t="e">
        <f>AND('5222018'!#REF!,"AAAAAHZt9p0=")</f>
        <v>#REF!</v>
      </c>
      <c r="FC4" t="e">
        <f>AND('5222018'!#REF!,"AAAAAHZt9p4=")</f>
        <v>#REF!</v>
      </c>
      <c r="FD4" t="e">
        <f>AND('5222018'!#REF!,"AAAAAHZt9p8=")</f>
        <v>#REF!</v>
      </c>
      <c r="FE4" t="e">
        <f>AND('5222018'!#REF!,"AAAAAHZt9qA=")</f>
        <v>#REF!</v>
      </c>
      <c r="FF4" t="e">
        <f>AND('5222018'!#REF!,"AAAAAHZt9qE=")</f>
        <v>#REF!</v>
      </c>
      <c r="FG4" t="e">
        <f>AND('5222018'!#REF!,"AAAAAHZt9qI=")</f>
        <v>#REF!</v>
      </c>
      <c r="FH4" t="e">
        <f>AND('5222018'!#REF!,"AAAAAHZt9qM=")</f>
        <v>#REF!</v>
      </c>
      <c r="FI4" t="e">
        <f>AND('5222018'!#REF!,"AAAAAHZt9qQ=")</f>
        <v>#REF!</v>
      </c>
      <c r="FJ4" t="e">
        <f>AND('5222018'!#REF!,"AAAAAHZt9qU=")</f>
        <v>#REF!</v>
      </c>
      <c r="FK4" t="e">
        <f>AND('5222018'!#REF!,"AAAAAHZt9qY=")</f>
        <v>#REF!</v>
      </c>
      <c r="FL4" t="e">
        <f>AND('5222018'!#REF!,"AAAAAHZt9qc=")</f>
        <v>#REF!</v>
      </c>
      <c r="FM4" t="e">
        <f>AND('5222018'!#REF!,"AAAAAHZt9qg=")</f>
        <v>#REF!</v>
      </c>
      <c r="FN4" t="e">
        <f>AND('5222018'!#REF!,"AAAAAHZt9qk=")</f>
        <v>#REF!</v>
      </c>
      <c r="FO4" t="e">
        <f>IF('5222018'!#REF!,"AAAAAHZt9qo=",0)</f>
        <v>#REF!</v>
      </c>
      <c r="FP4" t="e">
        <f>AND('5222018'!#REF!,"AAAAAHZt9qs=")</f>
        <v>#REF!</v>
      </c>
      <c r="FQ4" t="e">
        <f>AND('5222018'!#REF!,"AAAAAHZt9qw=")</f>
        <v>#REF!</v>
      </c>
      <c r="FR4" t="e">
        <f>AND('5222018'!#REF!,"AAAAAHZt9q0=")</f>
        <v>#REF!</v>
      </c>
      <c r="FS4" t="e">
        <f>AND('5222018'!#REF!,"AAAAAHZt9q4=")</f>
        <v>#REF!</v>
      </c>
      <c r="FT4" t="e">
        <f>AND('5222018'!#REF!,"AAAAAHZt9q8=")</f>
        <v>#REF!</v>
      </c>
      <c r="FU4" t="e">
        <f>AND('5222018'!#REF!,"AAAAAHZt9rA=")</f>
        <v>#REF!</v>
      </c>
      <c r="FV4" t="e">
        <f>AND('5222018'!#REF!,"AAAAAHZt9rE=")</f>
        <v>#REF!</v>
      </c>
      <c r="FW4" t="e">
        <f>AND('5222018'!#REF!,"AAAAAHZt9rI=")</f>
        <v>#REF!</v>
      </c>
      <c r="FX4" t="e">
        <f>AND('5222018'!#REF!,"AAAAAHZt9rM=")</f>
        <v>#REF!</v>
      </c>
      <c r="FY4" t="e">
        <f>AND('5222018'!#REF!,"AAAAAHZt9rQ=")</f>
        <v>#REF!</v>
      </c>
      <c r="FZ4" t="e">
        <f>AND('5222018'!#REF!,"AAAAAHZt9rU=")</f>
        <v>#REF!</v>
      </c>
      <c r="GA4" t="e">
        <f>AND('5222018'!#REF!,"AAAAAHZt9rY=")</f>
        <v>#REF!</v>
      </c>
      <c r="GB4" t="e">
        <f>AND('5222018'!#REF!,"AAAAAHZt9rc=")</f>
        <v>#REF!</v>
      </c>
      <c r="GC4" t="e">
        <f>IF('5222018'!#REF!,"AAAAAHZt9rg=",0)</f>
        <v>#REF!</v>
      </c>
      <c r="GD4" t="e">
        <f>AND('5222018'!#REF!,"AAAAAHZt9rk=")</f>
        <v>#REF!</v>
      </c>
      <c r="GE4" t="e">
        <f>AND('5222018'!#REF!,"AAAAAHZt9ro=")</f>
        <v>#REF!</v>
      </c>
      <c r="GF4" t="e">
        <f>AND('5222018'!#REF!,"AAAAAHZt9rs=")</f>
        <v>#REF!</v>
      </c>
      <c r="GG4" t="e">
        <f>AND('5222018'!#REF!,"AAAAAHZt9rw=")</f>
        <v>#REF!</v>
      </c>
      <c r="GH4" t="e">
        <f>AND('5222018'!#REF!,"AAAAAHZt9r0=")</f>
        <v>#REF!</v>
      </c>
      <c r="GI4" t="e">
        <f>AND('5222018'!#REF!,"AAAAAHZt9r4=")</f>
        <v>#REF!</v>
      </c>
      <c r="GJ4" t="e">
        <f>AND('5222018'!#REF!,"AAAAAHZt9r8=")</f>
        <v>#REF!</v>
      </c>
      <c r="GK4" t="e">
        <f>AND('5222018'!#REF!,"AAAAAHZt9sA=")</f>
        <v>#REF!</v>
      </c>
      <c r="GL4" t="e">
        <f>AND('5222018'!#REF!,"AAAAAHZt9sE=")</f>
        <v>#REF!</v>
      </c>
      <c r="GM4" t="e">
        <f>AND('5222018'!#REF!,"AAAAAHZt9sI=")</f>
        <v>#REF!</v>
      </c>
      <c r="GN4" t="e">
        <f>AND('5222018'!#REF!,"AAAAAHZt9sM=")</f>
        <v>#REF!</v>
      </c>
      <c r="GO4" t="e">
        <f>AND('5222018'!#REF!,"AAAAAHZt9sQ=")</f>
        <v>#REF!</v>
      </c>
      <c r="GP4" t="e">
        <f>AND('5222018'!#REF!,"AAAAAHZt9sU=")</f>
        <v>#REF!</v>
      </c>
      <c r="GQ4" t="e">
        <f>IF('5222018'!#REF!,"AAAAAHZt9sY=",0)</f>
        <v>#REF!</v>
      </c>
      <c r="GR4" t="e">
        <f>AND('5222018'!#REF!,"AAAAAHZt9sc=")</f>
        <v>#REF!</v>
      </c>
      <c r="GS4" t="e">
        <f>AND('5222018'!#REF!,"AAAAAHZt9sg=")</f>
        <v>#REF!</v>
      </c>
      <c r="GT4" t="e">
        <f>AND('5222018'!#REF!,"AAAAAHZt9sk=")</f>
        <v>#REF!</v>
      </c>
      <c r="GU4" t="e">
        <f>AND('5222018'!#REF!,"AAAAAHZt9so=")</f>
        <v>#REF!</v>
      </c>
      <c r="GV4" t="e">
        <f>AND('5222018'!#REF!,"AAAAAHZt9ss=")</f>
        <v>#REF!</v>
      </c>
      <c r="GW4" t="e">
        <f>AND('5222018'!#REF!,"AAAAAHZt9sw=")</f>
        <v>#REF!</v>
      </c>
      <c r="GX4" t="e">
        <f>AND('5222018'!#REF!,"AAAAAHZt9s0=")</f>
        <v>#REF!</v>
      </c>
      <c r="GY4" t="e">
        <f>AND('5222018'!#REF!,"AAAAAHZt9s4=")</f>
        <v>#REF!</v>
      </c>
      <c r="GZ4" t="e">
        <f>AND('5222018'!#REF!,"AAAAAHZt9s8=")</f>
        <v>#REF!</v>
      </c>
      <c r="HA4" t="e">
        <f>AND('5222018'!#REF!,"AAAAAHZt9tA=")</f>
        <v>#REF!</v>
      </c>
      <c r="HB4" t="e">
        <f>AND('5222018'!#REF!,"AAAAAHZt9tE=")</f>
        <v>#REF!</v>
      </c>
      <c r="HC4" t="e">
        <f>AND('5222018'!#REF!,"AAAAAHZt9tI=")</f>
        <v>#REF!</v>
      </c>
      <c r="HD4" t="e">
        <f>AND('5222018'!#REF!,"AAAAAHZt9tM=")</f>
        <v>#REF!</v>
      </c>
      <c r="HE4" t="e">
        <f>IF('5222018'!#REF!,"AAAAAHZt9tQ=",0)</f>
        <v>#REF!</v>
      </c>
      <c r="HF4" t="e">
        <f>AND('5222018'!#REF!,"AAAAAHZt9tU=")</f>
        <v>#REF!</v>
      </c>
      <c r="HG4" t="e">
        <f>AND('5222018'!#REF!,"AAAAAHZt9tY=")</f>
        <v>#REF!</v>
      </c>
      <c r="HH4" t="e">
        <f>AND('5222018'!#REF!,"AAAAAHZt9tc=")</f>
        <v>#REF!</v>
      </c>
      <c r="HI4" t="e">
        <f>AND('5222018'!#REF!,"AAAAAHZt9tg=")</f>
        <v>#REF!</v>
      </c>
      <c r="HJ4" t="e">
        <f>AND('5222018'!#REF!,"AAAAAHZt9tk=")</f>
        <v>#REF!</v>
      </c>
      <c r="HK4" t="e">
        <f>AND('5222018'!#REF!,"AAAAAHZt9to=")</f>
        <v>#REF!</v>
      </c>
      <c r="HL4" t="e">
        <f>AND('5222018'!#REF!,"AAAAAHZt9ts=")</f>
        <v>#REF!</v>
      </c>
      <c r="HM4" t="e">
        <f>AND('5222018'!#REF!,"AAAAAHZt9tw=")</f>
        <v>#REF!</v>
      </c>
      <c r="HN4" t="e">
        <f>AND('5222018'!#REF!,"AAAAAHZt9t0=")</f>
        <v>#REF!</v>
      </c>
      <c r="HO4" t="e">
        <f>AND('5222018'!#REF!,"AAAAAHZt9t4=")</f>
        <v>#REF!</v>
      </c>
      <c r="HP4" t="e">
        <f>AND('5222018'!#REF!,"AAAAAHZt9t8=")</f>
        <v>#REF!</v>
      </c>
      <c r="HQ4" t="e">
        <f>AND('5222018'!#REF!,"AAAAAHZt9uA=")</f>
        <v>#REF!</v>
      </c>
      <c r="HR4" t="e">
        <f>AND('5222018'!#REF!,"AAAAAHZt9uE=")</f>
        <v>#REF!</v>
      </c>
      <c r="HS4" t="e">
        <f>IF('5222018'!#REF!,"AAAAAHZt9uI=",0)</f>
        <v>#REF!</v>
      </c>
      <c r="HT4" t="e">
        <f>AND('5222018'!#REF!,"AAAAAHZt9uM=")</f>
        <v>#REF!</v>
      </c>
      <c r="HU4" t="e">
        <f>AND('5222018'!#REF!,"AAAAAHZt9uQ=")</f>
        <v>#REF!</v>
      </c>
      <c r="HV4" t="e">
        <f>AND('5222018'!#REF!,"AAAAAHZt9uU=")</f>
        <v>#REF!</v>
      </c>
      <c r="HW4" t="e">
        <f>AND('5222018'!#REF!,"AAAAAHZt9uY=")</f>
        <v>#REF!</v>
      </c>
      <c r="HX4" t="e">
        <f>AND('5222018'!#REF!,"AAAAAHZt9uc=")</f>
        <v>#REF!</v>
      </c>
      <c r="HY4" t="e">
        <f>AND('5222018'!#REF!,"AAAAAHZt9ug=")</f>
        <v>#REF!</v>
      </c>
      <c r="HZ4" t="e">
        <f>AND('5222018'!#REF!,"AAAAAHZt9uk=")</f>
        <v>#REF!</v>
      </c>
      <c r="IA4" t="e">
        <f>AND('5222018'!#REF!,"AAAAAHZt9uo=")</f>
        <v>#REF!</v>
      </c>
      <c r="IB4" t="e">
        <f>AND('5222018'!#REF!,"AAAAAHZt9us=")</f>
        <v>#REF!</v>
      </c>
      <c r="IC4" t="e">
        <f>AND('5222018'!#REF!,"AAAAAHZt9uw=")</f>
        <v>#REF!</v>
      </c>
      <c r="ID4" t="e">
        <f>AND('5222018'!#REF!,"AAAAAHZt9u0=")</f>
        <v>#REF!</v>
      </c>
      <c r="IE4" t="e">
        <f>AND('5222018'!#REF!,"AAAAAHZt9u4=")</f>
        <v>#REF!</v>
      </c>
      <c r="IF4" t="e">
        <f>AND('5222018'!#REF!,"AAAAAHZt9u8=")</f>
        <v>#REF!</v>
      </c>
      <c r="IG4" t="e">
        <f>IF('5222018'!#REF!,"AAAAAHZt9vA=",0)</f>
        <v>#REF!</v>
      </c>
      <c r="IH4" t="e">
        <f>AND('5222018'!#REF!,"AAAAAHZt9vE=")</f>
        <v>#REF!</v>
      </c>
      <c r="II4" t="e">
        <f>AND('5222018'!#REF!,"AAAAAHZt9vI=")</f>
        <v>#REF!</v>
      </c>
      <c r="IJ4" t="e">
        <f>AND('5222018'!#REF!,"AAAAAHZt9vM=")</f>
        <v>#REF!</v>
      </c>
      <c r="IK4" t="e">
        <f>AND('5222018'!#REF!,"AAAAAHZt9vQ=")</f>
        <v>#REF!</v>
      </c>
      <c r="IL4" t="e">
        <f>AND('5222018'!#REF!,"AAAAAHZt9vU=")</f>
        <v>#REF!</v>
      </c>
      <c r="IM4" t="e">
        <f>AND('5222018'!#REF!,"AAAAAHZt9vY=")</f>
        <v>#REF!</v>
      </c>
      <c r="IN4" t="e">
        <f>AND('5222018'!#REF!,"AAAAAHZt9vc=")</f>
        <v>#REF!</v>
      </c>
      <c r="IO4" t="e">
        <f>AND('5222018'!#REF!,"AAAAAHZt9vg=")</f>
        <v>#REF!</v>
      </c>
      <c r="IP4" t="e">
        <f>AND('5222018'!#REF!,"AAAAAHZt9vk=")</f>
        <v>#REF!</v>
      </c>
      <c r="IQ4" t="e">
        <f>AND('5222018'!#REF!,"AAAAAHZt9vo=")</f>
        <v>#REF!</v>
      </c>
      <c r="IR4" t="e">
        <f>AND('5222018'!#REF!,"AAAAAHZt9vs=")</f>
        <v>#REF!</v>
      </c>
      <c r="IS4" t="e">
        <f>AND('5222018'!#REF!,"AAAAAHZt9vw=")</f>
        <v>#REF!</v>
      </c>
      <c r="IT4" t="e">
        <f>AND('5222018'!#REF!,"AAAAAHZt9v0=")</f>
        <v>#REF!</v>
      </c>
      <c r="IU4" t="e">
        <f>IF('5222018'!#REF!,"AAAAAHZt9v4=",0)</f>
        <v>#REF!</v>
      </c>
      <c r="IV4" t="e">
        <f>AND('5222018'!#REF!,"AAAAAHZt9v8=")</f>
        <v>#REF!</v>
      </c>
    </row>
    <row r="5" spans="1:256" x14ac:dyDescent="0.2">
      <c r="A5" t="e">
        <f>AND('5222018'!#REF!,"AAAAAH9/rwA=")</f>
        <v>#REF!</v>
      </c>
      <c r="B5" t="e">
        <f>AND('5222018'!#REF!,"AAAAAH9/rwE=")</f>
        <v>#REF!</v>
      </c>
      <c r="C5" t="e">
        <f>AND('5222018'!#REF!,"AAAAAH9/rwI=")</f>
        <v>#REF!</v>
      </c>
      <c r="D5" t="e">
        <f>AND('5222018'!#REF!,"AAAAAH9/rwM=")</f>
        <v>#REF!</v>
      </c>
      <c r="E5" t="e">
        <f>AND('5222018'!#REF!,"AAAAAH9/rwQ=")</f>
        <v>#REF!</v>
      </c>
      <c r="F5" t="e">
        <f>AND('5222018'!#REF!,"AAAAAH9/rwU=")</f>
        <v>#REF!</v>
      </c>
      <c r="G5" t="e">
        <f>AND('5222018'!#REF!,"AAAAAH9/rwY=")</f>
        <v>#REF!</v>
      </c>
      <c r="H5" t="e">
        <f>AND('5222018'!#REF!,"AAAAAH9/rwc=")</f>
        <v>#REF!</v>
      </c>
      <c r="I5" t="e">
        <f>AND('5222018'!#REF!,"AAAAAH9/rwg=")</f>
        <v>#REF!</v>
      </c>
      <c r="J5" t="e">
        <f>AND('5222018'!#REF!,"AAAAAH9/rwk=")</f>
        <v>#REF!</v>
      </c>
      <c r="K5" t="e">
        <f>AND('5222018'!#REF!,"AAAAAH9/rwo=")</f>
        <v>#REF!</v>
      </c>
      <c r="L5" t="e">
        <f>AND('5222018'!#REF!,"AAAAAH9/rws=")</f>
        <v>#REF!</v>
      </c>
      <c r="M5" t="e">
        <f>IF('5222018'!#REF!,"AAAAAH9/rww=",0)</f>
        <v>#REF!</v>
      </c>
      <c r="N5" t="e">
        <f>AND('5222018'!#REF!,"AAAAAH9/rw0=")</f>
        <v>#REF!</v>
      </c>
      <c r="O5" t="e">
        <f>AND('5222018'!#REF!,"AAAAAH9/rw4=")</f>
        <v>#REF!</v>
      </c>
      <c r="P5" t="e">
        <f>AND('5222018'!#REF!,"AAAAAH9/rw8=")</f>
        <v>#REF!</v>
      </c>
      <c r="Q5" t="e">
        <f>AND('5222018'!#REF!,"AAAAAH9/rxA=")</f>
        <v>#REF!</v>
      </c>
      <c r="R5" t="e">
        <f>AND('5222018'!#REF!,"AAAAAH9/rxE=")</f>
        <v>#REF!</v>
      </c>
      <c r="S5" t="e">
        <f>AND('5222018'!#REF!,"AAAAAH9/rxI=")</f>
        <v>#REF!</v>
      </c>
      <c r="T5" t="e">
        <f>AND('5222018'!#REF!,"AAAAAH9/rxM=")</f>
        <v>#REF!</v>
      </c>
      <c r="U5" t="e">
        <f>AND('5222018'!#REF!,"AAAAAH9/rxQ=")</f>
        <v>#REF!</v>
      </c>
      <c r="V5" t="e">
        <f>AND('5222018'!#REF!,"AAAAAH9/rxU=")</f>
        <v>#REF!</v>
      </c>
      <c r="W5" t="e">
        <f>AND('5222018'!#REF!,"AAAAAH9/rxY=")</f>
        <v>#REF!</v>
      </c>
      <c r="X5" t="e">
        <f>AND('5222018'!#REF!,"AAAAAH9/rxc=")</f>
        <v>#REF!</v>
      </c>
      <c r="Y5" t="e">
        <f>AND('5222018'!#REF!,"AAAAAH9/rxg=")</f>
        <v>#REF!</v>
      </c>
      <c r="Z5" t="e">
        <f>AND('5222018'!#REF!,"AAAAAH9/rxk=")</f>
        <v>#REF!</v>
      </c>
      <c r="AA5" t="e">
        <f>IF('5222018'!#REF!,"AAAAAH9/rxo=",0)</f>
        <v>#REF!</v>
      </c>
      <c r="AB5" t="e">
        <f>AND('5222018'!#REF!,"AAAAAH9/rxs=")</f>
        <v>#REF!</v>
      </c>
      <c r="AC5" t="e">
        <f>AND('5222018'!#REF!,"AAAAAH9/rxw=")</f>
        <v>#REF!</v>
      </c>
      <c r="AD5" t="e">
        <f>AND('5222018'!#REF!,"AAAAAH9/rx0=")</f>
        <v>#REF!</v>
      </c>
      <c r="AE5" t="e">
        <f>AND('5222018'!#REF!,"AAAAAH9/rx4=")</f>
        <v>#REF!</v>
      </c>
      <c r="AF5" t="e">
        <f>AND('5222018'!#REF!,"AAAAAH9/rx8=")</f>
        <v>#REF!</v>
      </c>
      <c r="AG5" t="e">
        <f>AND('5222018'!#REF!,"AAAAAH9/ryA=")</f>
        <v>#REF!</v>
      </c>
      <c r="AH5" t="e">
        <f>AND('5222018'!#REF!,"AAAAAH9/ryE=")</f>
        <v>#REF!</v>
      </c>
      <c r="AI5" t="e">
        <f>AND('5222018'!#REF!,"AAAAAH9/ryI=")</f>
        <v>#REF!</v>
      </c>
      <c r="AJ5" t="e">
        <f>AND('5222018'!#REF!,"AAAAAH9/ryM=")</f>
        <v>#REF!</v>
      </c>
      <c r="AK5" t="e">
        <f>AND('5222018'!#REF!,"AAAAAH9/ryQ=")</f>
        <v>#REF!</v>
      </c>
      <c r="AL5" t="e">
        <f>AND('5222018'!#REF!,"AAAAAH9/ryU=")</f>
        <v>#REF!</v>
      </c>
      <c r="AM5" t="e">
        <f>AND('5222018'!#REF!,"AAAAAH9/ryY=")</f>
        <v>#REF!</v>
      </c>
      <c r="AN5" t="e">
        <f>AND('5222018'!#REF!,"AAAAAH9/ryc=")</f>
        <v>#REF!</v>
      </c>
      <c r="AO5" t="e">
        <f>IF('5222018'!#REF!,"AAAAAH9/ryg=",0)</f>
        <v>#REF!</v>
      </c>
      <c r="AP5" t="e">
        <f>AND('5222018'!#REF!,"AAAAAH9/ryk=")</f>
        <v>#REF!</v>
      </c>
      <c r="AQ5" t="e">
        <f>AND('5222018'!#REF!,"AAAAAH9/ryo=")</f>
        <v>#REF!</v>
      </c>
      <c r="AR5" t="e">
        <f>AND('5222018'!#REF!,"AAAAAH9/rys=")</f>
        <v>#REF!</v>
      </c>
      <c r="AS5" t="e">
        <f>AND('5222018'!#REF!,"AAAAAH9/ryw=")</f>
        <v>#REF!</v>
      </c>
      <c r="AT5" t="e">
        <f>AND('5222018'!#REF!,"AAAAAH9/ry0=")</f>
        <v>#REF!</v>
      </c>
      <c r="AU5" t="e">
        <f>AND('5222018'!#REF!,"AAAAAH9/ry4=")</f>
        <v>#REF!</v>
      </c>
      <c r="AV5" t="e">
        <f>AND('5222018'!#REF!,"AAAAAH9/ry8=")</f>
        <v>#REF!</v>
      </c>
      <c r="AW5" t="e">
        <f>AND('5222018'!#REF!,"AAAAAH9/rzA=")</f>
        <v>#REF!</v>
      </c>
      <c r="AX5" t="e">
        <f>AND('5222018'!#REF!,"AAAAAH9/rzE=")</f>
        <v>#REF!</v>
      </c>
      <c r="AY5" t="e">
        <f>AND('5222018'!#REF!,"AAAAAH9/rzI=")</f>
        <v>#REF!</v>
      </c>
      <c r="AZ5" t="e">
        <f>AND('5222018'!#REF!,"AAAAAH9/rzM=")</f>
        <v>#REF!</v>
      </c>
      <c r="BA5" t="e">
        <f>AND('5222018'!#REF!,"AAAAAH9/rzQ=")</f>
        <v>#REF!</v>
      </c>
      <c r="BB5" t="e">
        <f>AND('5222018'!#REF!,"AAAAAH9/rzU=")</f>
        <v>#REF!</v>
      </c>
      <c r="BC5">
        <f>IF('5222018'!43:43,"AAAAAH9/rzY=",0)</f>
        <v>0</v>
      </c>
      <c r="BD5" t="e">
        <f>AND('5222018'!#REF!,"AAAAAH9/rzc=")</f>
        <v>#REF!</v>
      </c>
      <c r="BE5" t="e">
        <f>AND('5222018'!#REF!,"AAAAAH9/rzg=")</f>
        <v>#REF!</v>
      </c>
      <c r="BF5" t="e">
        <f>AND('5222018'!#REF!,"AAAAAH9/rzk=")</f>
        <v>#REF!</v>
      </c>
      <c r="BG5" t="e">
        <f>AND('5222018'!#REF!,"AAAAAH9/rzo=")</f>
        <v>#REF!</v>
      </c>
      <c r="BH5" t="e">
        <f>AND('5222018'!#REF!,"AAAAAH9/rzs=")</f>
        <v>#REF!</v>
      </c>
      <c r="BI5" t="e">
        <f>AND('5222018'!#REF!,"AAAAAH9/rzw=")</f>
        <v>#REF!</v>
      </c>
      <c r="BJ5" t="e">
        <f>AND('5222018'!A43,"AAAAAH9/rz0=")</f>
        <v>#VALUE!</v>
      </c>
      <c r="BK5" t="e">
        <f>AND('5222018'!B43,"AAAAAH9/rz4=")</f>
        <v>#VALUE!</v>
      </c>
      <c r="BL5" t="e">
        <f>AND('5222018'!C43,"AAAAAH9/rz8=")</f>
        <v>#VALUE!</v>
      </c>
      <c r="BM5" t="e">
        <f>AND('5222018'!D43,"AAAAAH9/r0A=")</f>
        <v>#VALUE!</v>
      </c>
      <c r="BN5" t="e">
        <f>AND('5222018'!E43,"AAAAAH9/r0E=")</f>
        <v>#VALUE!</v>
      </c>
      <c r="BO5" t="e">
        <f>AND('5222018'!F43,"AAAAAH9/r0I=")</f>
        <v>#VALUE!</v>
      </c>
      <c r="BP5" t="e">
        <f>AND('5222018'!G43,"AAAAAH9/r0M=")</f>
        <v>#VALUE!</v>
      </c>
      <c r="BQ5">
        <f>IF('5222018'!45:45,"AAAAAH9/r0Q=",0)</f>
        <v>0</v>
      </c>
      <c r="BR5" t="e">
        <f>AND('5222018'!#REF!,"AAAAAH9/r0U=")</f>
        <v>#REF!</v>
      </c>
      <c r="BS5" t="e">
        <f>AND('5222018'!#REF!,"AAAAAH9/r0Y=")</f>
        <v>#REF!</v>
      </c>
      <c r="BT5" t="e">
        <f>AND('5222018'!#REF!,"AAAAAH9/r0c=")</f>
        <v>#REF!</v>
      </c>
      <c r="BU5" t="e">
        <f>AND('5222018'!#REF!,"AAAAAH9/r0g=")</f>
        <v>#REF!</v>
      </c>
      <c r="BV5" t="e">
        <f>AND('5222018'!#REF!,"AAAAAH9/r0k=")</f>
        <v>#REF!</v>
      </c>
      <c r="BW5" t="e">
        <f>AND('5222018'!#REF!,"AAAAAH9/r0o=")</f>
        <v>#REF!</v>
      </c>
      <c r="BX5" t="e">
        <f>AND('5222018'!A45,"AAAAAH9/r0s=")</f>
        <v>#VALUE!</v>
      </c>
      <c r="BY5" t="e">
        <f>AND('5222018'!B45,"AAAAAH9/r0w=")</f>
        <v>#VALUE!</v>
      </c>
      <c r="BZ5" t="e">
        <f>AND('5222018'!C45,"AAAAAH9/r00=")</f>
        <v>#VALUE!</v>
      </c>
      <c r="CA5" t="e">
        <f>AND('5222018'!D45,"AAAAAH9/r04=")</f>
        <v>#VALUE!</v>
      </c>
      <c r="CB5" t="e">
        <f>AND('5222018'!E45,"AAAAAH9/r08=")</f>
        <v>#VALUE!</v>
      </c>
      <c r="CC5" t="e">
        <f>AND('5222018'!F45,"AAAAAH9/r1A=")</f>
        <v>#VALUE!</v>
      </c>
      <c r="CD5" t="e">
        <f>AND('5222018'!G45,"AAAAAH9/r1E=")</f>
        <v>#VALUE!</v>
      </c>
      <c r="CE5">
        <f>IF('5222018'!46:46,"AAAAAH9/r1I=",0)</f>
        <v>0</v>
      </c>
      <c r="CF5" t="e">
        <f>AND('5222018'!#REF!,"AAAAAH9/r1M=")</f>
        <v>#REF!</v>
      </c>
      <c r="CG5" t="e">
        <f>AND('5222018'!#REF!,"AAAAAH9/r1Q=")</f>
        <v>#REF!</v>
      </c>
      <c r="CH5" t="e">
        <f>AND('5222018'!#REF!,"AAAAAH9/r1U=")</f>
        <v>#REF!</v>
      </c>
      <c r="CI5" t="e">
        <f>AND('5222018'!#REF!,"AAAAAH9/r1Y=")</f>
        <v>#REF!</v>
      </c>
      <c r="CJ5" t="e">
        <f>AND('5222018'!#REF!,"AAAAAH9/r1c=")</f>
        <v>#REF!</v>
      </c>
      <c r="CK5" t="e">
        <f>AND('5222018'!#REF!,"AAAAAH9/r1g=")</f>
        <v>#REF!</v>
      </c>
      <c r="CL5" t="e">
        <f>AND('5222018'!A46,"AAAAAH9/r1k=")</f>
        <v>#VALUE!</v>
      </c>
      <c r="CM5" t="e">
        <f>AND('5222018'!B46,"AAAAAH9/r1o=")</f>
        <v>#VALUE!</v>
      </c>
      <c r="CN5" t="e">
        <f>AND('5222018'!C46,"AAAAAH9/r1s=")</f>
        <v>#VALUE!</v>
      </c>
      <c r="CO5" t="e">
        <f>AND('5222018'!D46,"AAAAAH9/r1w=")</f>
        <v>#VALUE!</v>
      </c>
      <c r="CP5" t="e">
        <f>AND('5222018'!E46,"AAAAAH9/r10=")</f>
        <v>#VALUE!</v>
      </c>
      <c r="CQ5" t="e">
        <f>AND('5222018'!F46,"AAAAAH9/r14=")</f>
        <v>#VALUE!</v>
      </c>
      <c r="CR5" t="e">
        <f>AND('5222018'!G46,"AAAAAH9/r18=")</f>
        <v>#VALUE!</v>
      </c>
      <c r="CS5">
        <f>IF('5222018'!47:47,"AAAAAH9/r2A=",0)</f>
        <v>0</v>
      </c>
      <c r="CT5" t="e">
        <f>IF('5222018'!#REF!,"AAAAAH9/r2E=",0)</f>
        <v>#REF!</v>
      </c>
      <c r="CU5" t="e">
        <f>IF('5222018'!A:A,"AAAAAH9/r2I=",0)</f>
        <v>#VALUE!</v>
      </c>
      <c r="CV5">
        <f>IF('5222018'!B:B,"AAAAAH9/r2M=",0)</f>
        <v>0</v>
      </c>
      <c r="CW5">
        <f>IF('5222018'!C:C,"AAAAAH9/r2Q=",0)</f>
        <v>0</v>
      </c>
      <c r="CX5">
        <f>IF('5222018'!D:D,"AAAAAH9/r2U=",0)</f>
        <v>0</v>
      </c>
      <c r="CY5">
        <f>IF('5222018'!E:E,"AAAAAH9/r2Y=",0)</f>
        <v>0</v>
      </c>
      <c r="CZ5">
        <f>IF('5222018'!F:F,"AAAAAH9/r2c=",0)</f>
        <v>0</v>
      </c>
      <c r="DA5">
        <f>IF('5222018'!G:G,"AAAAAH9/r2g=",0)</f>
        <v>0</v>
      </c>
      <c r="DB5">
        <f>IF('5222018'!H:H,"AAAAAH9/r2k=",0)</f>
        <v>0</v>
      </c>
      <c r="DC5">
        <f>IF('5222018'!I:I,"AAAAAH9/r2o=",0)</f>
        <v>0</v>
      </c>
      <c r="DD5">
        <f>IF('5222018'!J:J,"AAAAAH9/r2s=",0)</f>
        <v>0</v>
      </c>
      <c r="DE5">
        <f>IF('5222018'!K:K,"AAAAAH9/r2w=",0)</f>
        <v>0</v>
      </c>
      <c r="DF5">
        <f>IF('5222018'!L:L,"AAAAAH9/r20=",0)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AND(Output!J1,"AAAAAH9/r3c=")</f>
        <v>#VALUE!</v>
      </c>
      <c r="DQ5" t="e">
        <f>AND(Output!K1,"AAAAAH9/r3g=")</f>
        <v>#VALUE!</v>
      </c>
      <c r="DR5" t="e">
        <f>AND(Output!L1,"AAAAAH9/r3k=")</f>
        <v>#VALUE!</v>
      </c>
      <c r="DS5" t="e">
        <f>AND(Output!M1,"AAAAAH9/r3o=")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AND(Output!J2,"AAAAAH9/r4Q=")</f>
        <v>#VALUE!</v>
      </c>
      <c r="ED5" t="e">
        <f>AND(Output!K2,"AAAAAH9/r4U=")</f>
        <v>#VALUE!</v>
      </c>
      <c r="EE5" t="e">
        <f>AND(Output!L2,"AAAAAH9/r4Y=")</f>
        <v>#VALUE!</v>
      </c>
      <c r="EF5" t="e">
        <f>AND(Output!M2,"AAAAAH9/r4c=")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t="e">
        <f>IF(Output!#REF!,"AAAAAH9/r5U=",0)</f>
        <v>#REF!</v>
      </c>
      <c r="EU5" t="e">
        <f>AND(Output!#REF!,"AAAAAH9/r5Y=")</f>
        <v>#REF!</v>
      </c>
      <c r="EV5" t="e">
        <f>AND(Output!#REF!,"AAAAAH9/r5c=")</f>
        <v>#REF!</v>
      </c>
      <c r="EW5" t="e">
        <f>AND(Output!#REF!,"AAAAAH9/r5g=")</f>
        <v>#REF!</v>
      </c>
      <c r="EX5" t="e">
        <f>AND(Output!#REF!,"AAAAAH9/r5k=")</f>
        <v>#REF!</v>
      </c>
      <c r="EY5" t="e">
        <f>AND(Output!#REF!,"AAAAAH9/r5o=")</f>
        <v>#REF!</v>
      </c>
      <c r="EZ5" t="e">
        <f>AND(Output!#REF!,"AAAAAH9/r5s=")</f>
        <v>#REF!</v>
      </c>
      <c r="FA5" t="e">
        <f>AND(Output!#REF!,"AAAAAH9/r5w=")</f>
        <v>#REF!</v>
      </c>
      <c r="FB5" t="e">
        <f>AND(Output!#REF!,"AAAAAH9/r50=")</f>
        <v>#REF!</v>
      </c>
      <c r="FC5" t="e">
        <f>AND(Output!#REF!,"AAAAAH9/r54=")</f>
        <v>#REF!</v>
      </c>
      <c r="FD5" t="e">
        <f>AND(Output!#REF!,"AAAAAH9/r58=")</f>
        <v>#REF!</v>
      </c>
      <c r="FE5" t="e">
        <f>AND(Output!#REF!,"AAAAAH9/r6A=")</f>
        <v>#REF!</v>
      </c>
      <c r="FF5" t="e">
        <f>AND(Output!#REF!,"AAAAAH9/r6E=")</f>
        <v>#REF!</v>
      </c>
      <c r="FG5" t="e">
        <f>IF(Output!#REF!,"AAAAAH9/r6I=",0)</f>
        <v>#REF!</v>
      </c>
      <c r="FH5" t="e">
        <f>AND(Output!#REF!,"AAAAAH9/r6M=")</f>
        <v>#REF!</v>
      </c>
      <c r="FI5" t="e">
        <f>AND(Output!#REF!,"AAAAAH9/r6Q=")</f>
        <v>#REF!</v>
      </c>
      <c r="FJ5" t="e">
        <f>AND(Output!#REF!,"AAAAAH9/r6U=")</f>
        <v>#REF!</v>
      </c>
      <c r="FK5" t="e">
        <f>AND(Output!#REF!,"AAAAAH9/r6Y=")</f>
        <v>#REF!</v>
      </c>
      <c r="FL5" t="e">
        <f>AND(Output!#REF!,"AAAAAH9/r6c=")</f>
        <v>#REF!</v>
      </c>
      <c r="FM5" t="e">
        <f>AND(Output!#REF!,"AAAAAH9/r6g=")</f>
        <v>#REF!</v>
      </c>
      <c r="FN5" t="e">
        <f>AND(Output!#REF!,"AAAAAH9/r6k=")</f>
        <v>#REF!</v>
      </c>
      <c r="FO5" t="e">
        <f>AND(Output!#REF!,"AAAAAH9/r6o=")</f>
        <v>#REF!</v>
      </c>
      <c r="FP5" t="e">
        <f>AND(Output!#REF!,"AAAAAH9/r6s=")</f>
        <v>#REF!</v>
      </c>
      <c r="FQ5" t="e">
        <f>AND(Output!#REF!,"AAAAAH9/r6w=")</f>
        <v>#REF!</v>
      </c>
      <c r="FR5" t="e">
        <f>AND(Output!#REF!,"AAAAAH9/r60=")</f>
        <v>#REF!</v>
      </c>
      <c r="FS5" t="e">
        <f>AND(Output!#REF!,"AAAAAH9/r64=")</f>
        <v>#REF!</v>
      </c>
      <c r="FT5" t="e">
        <f>IF(Output!#REF!,"AAAAAH9/r68=",0)</f>
        <v>#REF!</v>
      </c>
      <c r="FU5" t="e">
        <f>AND(Output!#REF!,"AAAAAH9/r7A=")</f>
        <v>#REF!</v>
      </c>
      <c r="FV5" t="e">
        <f>AND(Output!#REF!,"AAAAAH9/r7E=")</f>
        <v>#REF!</v>
      </c>
      <c r="FW5" t="e">
        <f>AND(Output!#REF!,"AAAAAH9/r7I=")</f>
        <v>#REF!</v>
      </c>
      <c r="FX5" t="e">
        <f>AND(Output!#REF!,"AAAAAH9/r7M=")</f>
        <v>#REF!</v>
      </c>
      <c r="FY5" t="e">
        <f>AND(Output!#REF!,"AAAAAH9/r7Q=")</f>
        <v>#REF!</v>
      </c>
      <c r="FZ5" t="e">
        <f>AND(Output!#REF!,"AAAAAH9/r7U=")</f>
        <v>#REF!</v>
      </c>
      <c r="GA5" t="e">
        <f>AND(Output!#REF!,"AAAAAH9/r7Y=")</f>
        <v>#REF!</v>
      </c>
      <c r="GB5" t="e">
        <f>AND(Output!#REF!,"AAAAAH9/r7c=")</f>
        <v>#REF!</v>
      </c>
      <c r="GC5" t="e">
        <f>AND(Output!#REF!,"AAAAAH9/r7g=")</f>
        <v>#REF!</v>
      </c>
      <c r="GD5" t="e">
        <f>AND(Output!#REF!,"AAAAAH9/r7k=")</f>
        <v>#REF!</v>
      </c>
      <c r="GE5" t="e">
        <f>AND(Output!#REF!,"AAAAAH9/r7o=")</f>
        <v>#REF!</v>
      </c>
      <c r="GF5" t="e">
        <f>AND(Output!#REF!,"AAAAAH9/r7s=")</f>
        <v>#REF!</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
      <c r="A9" t="str">
        <f>IF(Output!D:D,"AAAAAH3//wA=",0)</f>
        <v>AAAAAH3//wA=</v>
      </c>
      <c r="B9" t="e">
        <f>IF(Output!E:E,"AAAAAH3//wE=",0)</f>
        <v>#VALUE!</v>
      </c>
      <c r="C9" t="e">
        <f>IF(Output!F:F,"AAAAAH3//wI=",0)</f>
        <v>#VALUE!</v>
      </c>
      <c r="D9" t="e">
        <f>IF(Output!G:G,"AAAAAH3//wM=",0)</f>
        <v>#VALUE!</v>
      </c>
      <c r="E9" t="e">
        <f>IF(Output!H:H,"AAAAAH3//wQ=",0)</f>
        <v>#VALUE!</v>
      </c>
      <c r="F9" t="e">
        <f>IF(Output!J:J,"AAAAAH3//wU=",0)</f>
        <v>#VALUE!</v>
      </c>
      <c r="G9">
        <f>IF(Output!K:K,"AAAAAH3//wY=",0)</f>
        <v>0</v>
      </c>
      <c r="H9">
        <f>IF(Output!L:L,"AAAAAH3//wc=",0)</f>
        <v>0</v>
      </c>
      <c r="I9">
        <f>IF(Output!M:M,"AAAAAH3//wg=",0)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Heater'!#REF!,"AAAAAGvv7mw=")</f>
        <v>#REF!</v>
      </c>
      <c r="DF25" t="e">
        <f>AND('Auxiliary Heater'!A3,"AAAAAGvv7m0=")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Heater'!4:4,"AAAAAGvv7ns=",0)</f>
        <v>0</v>
      </c>
      <c r="DU25" t="e">
        <f>AND('Auxiliary Heater'!A4,"AAAAAGvv7nw=")</f>
        <v>#VALUE!</v>
      </c>
      <c r="DV25" t="e">
        <f>AND('Auxiliary Heater'!B4,"AAAAAGvv7n0=")</f>
        <v>#VALUE!</v>
      </c>
      <c r="DW25" t="e">
        <f>AND('Auxiliary Heater'!C4,"AAAAAGvv7n4=")</f>
        <v>#VALUE!</v>
      </c>
      <c r="DX25" t="e">
        <f>AND('Auxiliary Heater'!D4,"AAAAAGvv7n8=")</f>
        <v>#VALUE!</v>
      </c>
      <c r="DY25" t="e">
        <f>AND('Auxiliary Heater'!E4,"AAAAAGvv7oA=")</f>
        <v>#VALUE!</v>
      </c>
      <c r="DZ25" t="e">
        <f>AND('Auxiliary Heater'!F4,"AAAAAGvv7oE=")</f>
        <v>#VALUE!</v>
      </c>
      <c r="EA25" t="e">
        <f>AND('Auxiliary Heater'!G4,"AAAAAGvv7oI=")</f>
        <v>#VALUE!</v>
      </c>
      <c r="EB25" t="e">
        <f>AND('Auxiliary Heater'!H4,"AAAAAGvv7oM=")</f>
        <v>#VALUE!</v>
      </c>
      <c r="EC25" t="e">
        <f>AND('Auxiliary Heater'!I5,"AAAAAGvv7oQ=")</f>
        <v>#VALUE!</v>
      </c>
      <c r="ED25" t="e">
        <f>AND('Auxiliary Heater'!J4,"AAAAAGvv7oU=")</f>
        <v>#VALUE!</v>
      </c>
      <c r="EE25" t="e">
        <f>AND('Auxiliary Heater'!K4,"AAAAAGvv7oY=")</f>
        <v>#VALUE!</v>
      </c>
      <c r="EF25" t="e">
        <f>AND('Auxiliary Heater'!L4,"AAAAAGvv7oc=")</f>
        <v>#VALUE!</v>
      </c>
      <c r="EG25" t="e">
        <f>AND('Auxiliary Heater'!M4,"AAAAAGvv7og=")</f>
        <v>#VALUE!</v>
      </c>
      <c r="EH25" t="e">
        <f>AND('Auxiliary Heater'!N4,"AAAAAGvv7ok=")</f>
        <v>#VALUE!</v>
      </c>
      <c r="EI25" t="e">
        <f>AND('Auxiliary Heater'!O4,"AAAAAGvv7oo=")</f>
        <v>#VALUE!</v>
      </c>
      <c r="EJ25">
        <f>IF('Auxiliary Heater'!5:5,"AAAAAGvv7os=",0)</f>
        <v>0</v>
      </c>
      <c r="EK25" t="e">
        <f>AND('Auxiliary Heater'!A5,"AAAAAGvv7ow=")</f>
        <v>#VALUE!</v>
      </c>
      <c r="EL25" t="e">
        <f>AND('Auxiliary Heater'!B5,"AAAAAGvv7o0=")</f>
        <v>#VALUE!</v>
      </c>
      <c r="EM25" t="e">
        <f>AND('Auxiliary Heater'!C5,"AAAAAGvv7o4=")</f>
        <v>#VALUE!</v>
      </c>
      <c r="EN25" t="e">
        <f>AND('Auxiliary Heater'!D5,"AAAAAGvv7o8=")</f>
        <v>#VALUE!</v>
      </c>
      <c r="EO25" t="e">
        <f>AND('Auxiliary Heater'!E5,"AAAAAGvv7pA=")</f>
        <v>#VALUE!</v>
      </c>
      <c r="EP25" t="e">
        <f>AND('Auxiliary Heater'!F5,"AAAAAGvv7pE=")</f>
        <v>#VALUE!</v>
      </c>
      <c r="EQ25" t="e">
        <f>AND('Auxiliary Heater'!G5,"AAAAAGvv7pI=")</f>
        <v>#VALUE!</v>
      </c>
      <c r="ER25" t="e">
        <f>AND('Auxiliary Heater'!H5,"AAAAAGvv7pM=")</f>
        <v>#VALUE!</v>
      </c>
      <c r="ES25" t="e">
        <f>AND('Auxiliary Heater'!I6,"AAAAAGvv7pQ=")</f>
        <v>#VALUE!</v>
      </c>
      <c r="ET25" t="e">
        <f>AND('Auxiliary Heater'!J5,"AAAAAGvv7pU=")</f>
        <v>#VALUE!</v>
      </c>
      <c r="EU25" t="e">
        <f>AND('Auxiliary Heater'!K5,"AAAAAGvv7pY=")</f>
        <v>#VALUE!</v>
      </c>
      <c r="EV25" t="e">
        <f>AND('Auxiliary Heater'!L5,"AAAAAGvv7pc=")</f>
        <v>#VALUE!</v>
      </c>
      <c r="EW25" t="e">
        <f>AND('Auxiliary Heater'!M5,"AAAAAGvv7pg=")</f>
        <v>#VALUE!</v>
      </c>
      <c r="EX25" t="e">
        <f>AND('Auxiliary Heater'!N5,"AAAAAGvv7pk=")</f>
        <v>#VALUE!</v>
      </c>
      <c r="EY25" t="e">
        <f>AND('Auxiliary Heater'!O5,"AAAAAGvv7po=")</f>
        <v>#VALUE!</v>
      </c>
      <c r="EZ25">
        <f>IF('Auxiliary Heater'!6:6,"AAAAAGvv7ps=",0)</f>
        <v>0</v>
      </c>
      <c r="FA25" t="e">
        <f>AND('Auxiliary Heater'!A6,"AAAAAGvv7pw=")</f>
        <v>#VALUE!</v>
      </c>
      <c r="FB25" t="e">
        <f>AND('Auxiliary Heater'!B6,"AAAAAGvv7p0=")</f>
        <v>#VALUE!</v>
      </c>
      <c r="FC25" t="e">
        <f>AND('Auxiliary Heater'!C6,"AAAAAGvv7p4=")</f>
        <v>#VALUE!</v>
      </c>
      <c r="FD25" t="e">
        <f>AND('Auxiliary Heater'!D6,"AAAAAGvv7p8=")</f>
        <v>#VALUE!</v>
      </c>
      <c r="FE25" t="e">
        <f>AND('Auxiliary Heater'!E6,"AAAAAGvv7qA=")</f>
        <v>#VALUE!</v>
      </c>
      <c r="FF25" t="e">
        <f>AND('Auxiliary Heater'!F6,"AAAAAGvv7qE=")</f>
        <v>#VALUE!</v>
      </c>
      <c r="FG25" t="e">
        <f>AND('Auxiliary Heater'!G6,"AAAAAGvv7qI=")</f>
        <v>#VALUE!</v>
      </c>
      <c r="FH25" t="e">
        <f>AND('Auxiliary Heater'!H6,"AAAAAGvv7qM=")</f>
        <v>#VALUE!</v>
      </c>
      <c r="FI25" t="e">
        <f>AND('Auxiliary Heater'!#REF!,"AAAAAGvv7qQ=")</f>
        <v>#REF!</v>
      </c>
      <c r="FJ25" t="e">
        <f>AND('Auxiliary Heater'!J6,"AAAAAGvv7qU=")</f>
        <v>#VALUE!</v>
      </c>
      <c r="FK25" t="e">
        <f>AND('Auxiliary Heater'!K6,"AAAAAGvv7qY=")</f>
        <v>#VALUE!</v>
      </c>
      <c r="FL25" t="e">
        <f>AND('Auxiliary Heater'!L6,"AAAAAGvv7qc=")</f>
        <v>#VALUE!</v>
      </c>
      <c r="FM25" t="e">
        <f>AND('Auxiliary Heater'!M6,"AAAAAGvv7qg=")</f>
        <v>#VALUE!</v>
      </c>
      <c r="FN25" t="e">
        <f>AND('Auxiliary Heater'!N6,"AAAAAGvv7qk=")</f>
        <v>#VALUE!</v>
      </c>
      <c r="FO25" t="e">
        <f>AND('Auxiliary Heater'!O6,"AAAAAGvv7qo=")</f>
        <v>#VALUE!</v>
      </c>
      <c r="FP25">
        <f>IF('Auxiliary Heater'!10:10,"AAAAAGvv7qs=",0)</f>
        <v>0</v>
      </c>
      <c r="FQ25" t="e">
        <f>AND('Auxiliary Heater'!A10,"AAAAAGvv7qw=")</f>
        <v>#VALUE!</v>
      </c>
      <c r="FR25" t="e">
        <f>AND('Auxiliary Heater'!B10,"AAAAAGvv7q0=")</f>
        <v>#VALUE!</v>
      </c>
      <c r="FS25" t="e">
        <f>AND('Auxiliary Heater'!C10,"AAAAAGvv7q4=")</f>
        <v>#VALUE!</v>
      </c>
      <c r="FT25" t="e">
        <f>AND('Auxiliary Heater'!D10,"AAAAAGvv7q8=")</f>
        <v>#VALUE!</v>
      </c>
      <c r="FU25" t="e">
        <f>AND('Auxiliary Heater'!E10,"AAAAAGvv7rA=")</f>
        <v>#VALUE!</v>
      </c>
      <c r="FV25" t="e">
        <f>AND('Auxiliary Heater'!F10,"AAAAAGvv7rE=")</f>
        <v>#VALUE!</v>
      </c>
      <c r="FW25" t="e">
        <f>AND('Auxiliary Heater'!G10,"AAAAAGvv7rI=")</f>
        <v>#VALUE!</v>
      </c>
      <c r="FX25" t="e">
        <f>AND('Auxiliary Heater'!H10,"AAAAAGvv7rM=")</f>
        <v>#VALUE!</v>
      </c>
      <c r="FY25" t="e">
        <f>AND('Auxiliary Heater'!I10,"AAAAAGvv7rQ=")</f>
        <v>#VALUE!</v>
      </c>
      <c r="FZ25" t="e">
        <f>AND('Auxiliary Heater'!J10,"AAAAAGvv7rU=")</f>
        <v>#VALUE!</v>
      </c>
      <c r="GA25" t="e">
        <f>AND('Auxiliary Heater'!K10,"AAAAAGvv7rY=")</f>
        <v>#VALUE!</v>
      </c>
      <c r="GB25" t="e">
        <f>AND('Auxiliary Heater'!L10,"AAAAAGvv7rc=")</f>
        <v>#VALUE!</v>
      </c>
      <c r="GC25" t="e">
        <f>AND('Auxiliary Heater'!M10,"AAAAAGvv7rg=")</f>
        <v>#VALUE!</v>
      </c>
      <c r="GD25" t="e">
        <f>AND('Auxiliary Heater'!N10,"AAAAAGvv7rk=")</f>
        <v>#VALUE!</v>
      </c>
      <c r="GE25" t="e">
        <f>AND('Auxiliary Heater'!O10,"AAAAAGvv7ro=")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x14ac:dyDescent="0.2">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Heater'!11:11,"AAAAAA9y+0s=",0)</f>
        <v>0</v>
      </c>
      <c r="BY26" t="e">
        <f>AND('Auxiliary Heater'!A11,"AAAAAA9y+0w=")</f>
        <v>#VALUE!</v>
      </c>
      <c r="BZ26" t="e">
        <f>AND('Auxiliary Heater'!B11,"AAAAAA9y+00=")</f>
        <v>#VALUE!</v>
      </c>
      <c r="CA26" t="e">
        <f>AND('Auxiliary Heater'!C11,"AAAAAA9y+04=")</f>
        <v>#VALUE!</v>
      </c>
      <c r="CB26" t="e">
        <f>AND('Auxiliary Heater'!D11,"AAAAAA9y+08=")</f>
        <v>#VALUE!</v>
      </c>
      <c r="CC26" t="e">
        <f>AND('Auxiliary Heater'!E11,"AAAAAA9y+1A=")</f>
        <v>#VALUE!</v>
      </c>
      <c r="CD26" t="e">
        <f>AND('Auxiliary Heater'!F11,"AAAAAA9y+1E=")</f>
        <v>#VALUE!</v>
      </c>
      <c r="CE26" t="e">
        <f>AND('Auxiliary Heater'!G11,"AAAAAA9y+1I=")</f>
        <v>#VALUE!</v>
      </c>
      <c r="CF26" t="e">
        <f>AND('Auxiliary Heater'!H11,"AAAAAA9y+1M=")</f>
        <v>#VALUE!</v>
      </c>
      <c r="CG26" t="e">
        <f>AND('Auxiliary Heater'!I11,"AAAAAA9y+1Q=")</f>
        <v>#VALUE!</v>
      </c>
      <c r="CH26" t="e">
        <f>AND('Auxiliary Heater'!J11,"AAAAAA9y+1U=")</f>
        <v>#VALUE!</v>
      </c>
      <c r="CI26" t="e">
        <f>AND('Auxiliary Heater'!K11,"AAAAAA9y+1Y=")</f>
        <v>#VALUE!</v>
      </c>
      <c r="CJ26" t="e">
        <f>AND('Auxiliary Heater'!L11,"AAAAAA9y+1c=")</f>
        <v>#VALUE!</v>
      </c>
      <c r="CK26" t="e">
        <f>AND('Auxiliary Heater'!M11,"AAAAAA9y+1g=")</f>
        <v>#VALUE!</v>
      </c>
      <c r="CL26" t="e">
        <f>AND('Auxiliary Heater'!N11,"AAAAAA9y+1k=")</f>
        <v>#VALUE!</v>
      </c>
      <c r="CM26" t="e">
        <f>AND('Auxiliary Heater'!O11,"AAAAAA9y+1o=")</f>
        <v>#VALUE!</v>
      </c>
      <c r="CN26">
        <f>IF('Auxiliary Heater'!26:26,"AAAAAA9y+1s=",0)</f>
        <v>0</v>
      </c>
      <c r="CO26" t="e">
        <f>AND('Auxiliary Heater'!A26,"AAAAAA9y+1w=")</f>
        <v>#VALUE!</v>
      </c>
      <c r="CP26" t="e">
        <f>AND('Auxiliary Heater'!B26,"AAAAAA9y+10=")</f>
        <v>#VALUE!</v>
      </c>
      <c r="CQ26" t="e">
        <f>AND('Auxiliary Heater'!C26,"AAAAAA9y+14=")</f>
        <v>#VALUE!</v>
      </c>
      <c r="CR26" t="e">
        <f>AND('Auxiliary Heater'!D26,"AAAAAA9y+18=")</f>
        <v>#VALUE!</v>
      </c>
      <c r="CS26" t="e">
        <f>AND('Auxiliary Heater'!E26,"AAAAAA9y+2A=")</f>
        <v>#VALUE!</v>
      </c>
      <c r="CT26" t="e">
        <f>AND('Auxiliary Heater'!F26,"AAAAAA9y+2E=")</f>
        <v>#VALUE!</v>
      </c>
      <c r="CU26" t="e">
        <f>AND('Auxiliary Heater'!G26,"AAAAAA9y+2I=")</f>
        <v>#VALUE!</v>
      </c>
      <c r="CV26" t="e">
        <f>AND('Auxiliary Heater'!H26,"AAAAAA9y+2M=")</f>
        <v>#VALUE!</v>
      </c>
      <c r="CW26" t="e">
        <f>AND('Auxiliary Heater'!I26,"AAAAAA9y+2Q=")</f>
        <v>#VALUE!</v>
      </c>
      <c r="CX26" t="e">
        <f>AND('Auxiliary Heater'!J26,"AAAAAA9y+2U=")</f>
        <v>#VALUE!</v>
      </c>
      <c r="CY26" t="e">
        <f>AND('Auxiliary Heater'!K26,"AAAAAA9y+2Y=")</f>
        <v>#VALUE!</v>
      </c>
      <c r="CZ26" t="e">
        <f>AND('Auxiliary Heater'!L26,"AAAAAA9y+2c=")</f>
        <v>#VALUE!</v>
      </c>
      <c r="DA26" t="e">
        <f>AND('Auxiliary Heater'!M26,"AAAAAA9y+2g=")</f>
        <v>#VALUE!</v>
      </c>
      <c r="DB26" t="e">
        <f>AND('Auxiliary Heater'!N26,"AAAAAA9y+2k=")</f>
        <v>#VALUE!</v>
      </c>
      <c r="DC26" t="e">
        <f>AND('Auxiliary Heater'!O26,"AAAAAA9y+2o=")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x14ac:dyDescent="0.2">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x14ac:dyDescent="0.2">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x14ac:dyDescent="0.2">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Heater'!40:40,"AAAAAHuTb1s=",0)</f>
        <v>0</v>
      </c>
      <c r="CO29" t="e">
        <f>AND('Auxiliary Heater'!A40,"AAAAAHuTb1w=")</f>
        <v>#VALUE!</v>
      </c>
      <c r="CP29" t="e">
        <f>AND('Auxiliary Heater'!B40,"AAAAAHuTb10=")</f>
        <v>#VALUE!</v>
      </c>
      <c r="CQ29" t="e">
        <f>AND('Auxiliary Heater'!C40,"AAAAAHuTb14=")</f>
        <v>#VALUE!</v>
      </c>
      <c r="CR29" t="e">
        <f>AND('Auxiliary Heater'!D40,"AAAAAHuTb18=")</f>
        <v>#VALUE!</v>
      </c>
      <c r="CS29" t="e">
        <f>AND('Auxiliary Heater'!E40,"AAAAAHuTb2A=")</f>
        <v>#VALUE!</v>
      </c>
      <c r="CT29" t="e">
        <f>AND('Auxiliary Heater'!F40,"AAAAAHuTb2E=")</f>
        <v>#VALUE!</v>
      </c>
      <c r="CU29" t="e">
        <f>AND('Auxiliary Heater'!G40,"AAAAAHuTb2I=")</f>
        <v>#VALUE!</v>
      </c>
      <c r="CV29" t="e">
        <f>AND('Auxiliary Heater'!H40,"AAAAAHuTb2M=")</f>
        <v>#VALUE!</v>
      </c>
      <c r="CW29" t="e">
        <f>AND('Auxiliary Heater'!I40,"AAAAAHuTb2Q=")</f>
        <v>#VALUE!</v>
      </c>
      <c r="CX29" t="e">
        <f>AND('Auxiliary Heater'!J40,"AAAAAHuTb2U=")</f>
        <v>#VALUE!</v>
      </c>
      <c r="CY29" t="e">
        <f>AND('Auxiliary Heater'!K40,"AAAAAHuTb2Y=")</f>
        <v>#VALUE!</v>
      </c>
      <c r="CZ29" t="e">
        <f>AND('Auxiliary Heater'!L40,"AAAAAHuTb2c=")</f>
        <v>#VALUE!</v>
      </c>
      <c r="DA29" t="e">
        <f>AND('Auxiliary Heater'!M40,"AAAAAHuTb2g=")</f>
        <v>#VALUE!</v>
      </c>
      <c r="DB29" t="e">
        <f>AND('Auxiliary Heater'!N40,"AAAAAHuTb2k=")</f>
        <v>#VALUE!</v>
      </c>
      <c r="DC29" t="e">
        <f>AND('Auxiliary Heater'!O40,"AAAAAHuTb2o=")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x14ac:dyDescent="0.2">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Heater'!41:41,"AAAAAFLo7ws=",0)</f>
        <v>0</v>
      </c>
      <c r="M30" t="e">
        <f>AND('Auxiliary Heater'!A41,"AAAAAFLo7ww=")</f>
        <v>#VALUE!</v>
      </c>
      <c r="N30" t="e">
        <f>AND('Auxiliary Heater'!B41,"AAAAAFLo7w0=")</f>
        <v>#VALUE!</v>
      </c>
      <c r="O30" t="e">
        <f>AND('Auxiliary Heater'!C41,"AAAAAFLo7w4=")</f>
        <v>#VALUE!</v>
      </c>
      <c r="P30" t="e">
        <f>AND('Auxiliary Heater'!D41,"AAAAAFLo7w8=")</f>
        <v>#VALUE!</v>
      </c>
      <c r="Q30" t="e">
        <f>AND('Auxiliary Heater'!E41,"AAAAAFLo7xA=")</f>
        <v>#VALUE!</v>
      </c>
      <c r="R30" t="e">
        <f>AND('Auxiliary Heater'!F41,"AAAAAFLo7xE=")</f>
        <v>#VALUE!</v>
      </c>
      <c r="S30" t="e">
        <f>AND('Auxiliary Heater'!G41,"AAAAAFLo7xI=")</f>
        <v>#VALUE!</v>
      </c>
      <c r="T30" t="e">
        <f>AND('Auxiliary Heater'!H41,"AAAAAFLo7xM=")</f>
        <v>#VALUE!</v>
      </c>
      <c r="U30" t="e">
        <f>AND('Auxiliary Heater'!I41,"AAAAAFLo7xQ=")</f>
        <v>#VALUE!</v>
      </c>
      <c r="V30" t="e">
        <f>AND('Auxiliary Heater'!J41,"AAAAAFLo7xU=")</f>
        <v>#VALUE!</v>
      </c>
      <c r="W30" t="e">
        <f>AND('Auxiliary Heater'!K41,"AAAAAFLo7xY=")</f>
        <v>#VALUE!</v>
      </c>
      <c r="X30" t="e">
        <f>AND('Auxiliary Heater'!L41,"AAAAAFLo7xc=")</f>
        <v>#VALUE!</v>
      </c>
      <c r="Y30" t="e">
        <f>AND('Auxiliary Heater'!M41,"AAAAAFLo7xg=")</f>
        <v>#VALUE!</v>
      </c>
      <c r="Z30" t="e">
        <f>AND('Auxiliary Heater'!N41,"AAAAAFLo7xk=")</f>
        <v>#VALUE!</v>
      </c>
      <c r="AA30" t="e">
        <f>AND('Auxiliary Heater'!O41,"AAAAAFLo7xo=")</f>
        <v>#VALUE!</v>
      </c>
      <c r="AB30">
        <f>IF('Auxiliary Heater'!42:42,"AAAAAFLo7xs=",0)</f>
        <v>0</v>
      </c>
      <c r="AC30" t="e">
        <f>AND('Auxiliary Heater'!A42,"AAAAAFLo7xw=")</f>
        <v>#VALUE!</v>
      </c>
      <c r="AD30" t="e">
        <f>AND('Auxiliary Heater'!B42,"AAAAAFLo7x0=")</f>
        <v>#VALUE!</v>
      </c>
      <c r="AE30" t="e">
        <f>AND('Auxiliary Heater'!C42,"AAAAAFLo7x4=")</f>
        <v>#VALUE!</v>
      </c>
      <c r="AF30" t="e">
        <f>AND('Auxiliary Heater'!D42,"AAAAAFLo7x8=")</f>
        <v>#VALUE!</v>
      </c>
      <c r="AG30" t="e">
        <f>AND('Auxiliary Heater'!E42,"AAAAAFLo7yA=")</f>
        <v>#VALUE!</v>
      </c>
      <c r="AH30" t="e">
        <f>AND('Auxiliary Heater'!F42,"AAAAAFLo7yE=")</f>
        <v>#VALUE!</v>
      </c>
      <c r="AI30" t="e">
        <f>AND('Auxiliary Heater'!G42,"AAAAAFLo7yI=")</f>
        <v>#VALUE!</v>
      </c>
      <c r="AJ30" t="e">
        <f>AND('Auxiliary Heater'!H42,"AAAAAFLo7yM=")</f>
        <v>#VALUE!</v>
      </c>
      <c r="AK30" t="e">
        <f>AND('Auxiliary Heater'!I42,"AAAAAFLo7yQ=")</f>
        <v>#VALUE!</v>
      </c>
      <c r="AL30" t="e">
        <f>AND('Auxiliary Heater'!J42,"AAAAAFLo7yU=")</f>
        <v>#VALUE!</v>
      </c>
      <c r="AM30" t="e">
        <f>AND('Auxiliary Heater'!K42,"AAAAAFLo7yY=")</f>
        <v>#VALUE!</v>
      </c>
      <c r="AN30" t="e">
        <f>AND('Auxiliary Heater'!L42,"AAAAAFLo7yc=")</f>
        <v>#VALUE!</v>
      </c>
      <c r="AO30" t="e">
        <f>AND('Auxiliary Heater'!M42,"AAAAAFLo7yg=")</f>
        <v>#VALUE!</v>
      </c>
      <c r="AP30" t="e">
        <f>AND('Auxiliary Heater'!N42,"AAAAAFLo7yk=")</f>
        <v>#VALUE!</v>
      </c>
      <c r="AQ30" t="e">
        <f>AND('Auxiliary Heater'!O42,"AAAAAFLo7yo=")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x14ac:dyDescent="0.2">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x14ac:dyDescent="0.2">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t="e">
        <f>IF('Auxiliary Heater'!B:B,"AAAAAHdcng8=",0)</f>
        <v>#VALUE!</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3</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IF("N",'5222018'!_xlnm.Print_Area,"AAAAAH/l/sk=")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R50"/>
  <sheetViews>
    <sheetView workbookViewId="0">
      <selection activeCell="A3" sqref="A3:M3"/>
    </sheetView>
  </sheetViews>
  <sheetFormatPr defaultColWidth="8.7109375" defaultRowHeight="12.75" x14ac:dyDescent="0.2"/>
  <cols>
    <col min="1" max="1" width="5.140625" customWidth="1"/>
    <col min="2" max="2" width="16" customWidth="1"/>
    <col min="3" max="3" width="17.28515625" customWidth="1"/>
    <col min="4" max="4" width="13.42578125" customWidth="1"/>
    <col min="5" max="6" width="11.85546875" customWidth="1"/>
    <col min="9" max="9" width="8.85546875" bestFit="1" customWidth="1"/>
    <col min="10" max="10" width="4.140625" customWidth="1"/>
    <col min="11" max="12" width="8.85546875" bestFit="1" customWidth="1"/>
    <col min="13" max="13" width="12.42578125" customWidth="1"/>
  </cols>
  <sheetData>
    <row r="1" spans="1:18" s="58" customFormat="1" ht="20.25" x14ac:dyDescent="0.3">
      <c r="A1" s="341" t="str">
        <f>'5222018'!A1</f>
        <v>Potential To Emit Calculator for Concrete Batch Plants</v>
      </c>
      <c r="B1" s="341"/>
      <c r="C1" s="341"/>
      <c r="D1" s="341"/>
      <c r="E1" s="341"/>
      <c r="F1" s="341"/>
      <c r="G1" s="341"/>
      <c r="H1" s="341"/>
      <c r="I1" s="341"/>
      <c r="J1" s="341"/>
      <c r="K1" s="341"/>
      <c r="L1" s="341"/>
      <c r="M1" s="341"/>
      <c r="N1" s="238"/>
      <c r="O1" s="9"/>
      <c r="P1" s="9"/>
    </row>
    <row r="2" spans="1:18" s="58" customFormat="1" x14ac:dyDescent="0.2">
      <c r="A2" s="345">
        <v>43242</v>
      </c>
      <c r="B2" s="345"/>
      <c r="C2" s="345"/>
      <c r="D2" s="345"/>
      <c r="E2" s="345"/>
      <c r="F2" s="345"/>
      <c r="G2" s="345"/>
      <c r="H2" s="345"/>
      <c r="I2" s="345"/>
      <c r="J2" s="345"/>
      <c r="K2" s="345"/>
      <c r="L2" s="345"/>
      <c r="M2" s="345"/>
      <c r="N2" s="10"/>
      <c r="O2" s="10"/>
      <c r="P2" s="10"/>
      <c r="Q2" s="10"/>
      <c r="R2" s="10"/>
    </row>
    <row r="3" spans="1:18" ht="15.75" x14ac:dyDescent="0.25">
      <c r="A3" s="369" t="s">
        <v>193</v>
      </c>
      <c r="B3" s="369"/>
      <c r="C3" s="369"/>
      <c r="D3" s="369"/>
      <c r="E3" s="369"/>
      <c r="F3" s="369"/>
      <c r="G3" s="369"/>
      <c r="H3" s="369"/>
      <c r="I3" s="369"/>
      <c r="J3" s="369"/>
      <c r="K3" s="369"/>
      <c r="L3" s="369"/>
      <c r="M3" s="369"/>
    </row>
    <row r="4" spans="1:18" ht="15.75" x14ac:dyDescent="0.25">
      <c r="A4" s="63"/>
      <c r="B4" s="13"/>
    </row>
    <row r="5" spans="1:18" x14ac:dyDescent="0.2">
      <c r="A5" s="59"/>
      <c r="B5" s="123"/>
      <c r="C5" s="180"/>
      <c r="D5" s="97"/>
      <c r="I5" s="5" t="s">
        <v>1</v>
      </c>
      <c r="J5" s="5"/>
    </row>
    <row r="6" spans="1:18" x14ac:dyDescent="0.2">
      <c r="A6" s="59"/>
      <c r="B6" s="123"/>
      <c r="C6" s="180"/>
      <c r="D6" s="97"/>
      <c r="I6" s="2" t="s">
        <v>20</v>
      </c>
      <c r="J6" s="2"/>
    </row>
    <row r="7" spans="1:18" ht="13.5" thickBot="1" x14ac:dyDescent="0.25">
      <c r="A7" s="3"/>
      <c r="B7" s="11"/>
      <c r="C7" s="11"/>
      <c r="D7" s="3"/>
      <c r="J7" s="5"/>
    </row>
    <row r="8" spans="1:18" ht="12" customHeight="1" thickTop="1" x14ac:dyDescent="0.2">
      <c r="A8" s="4"/>
      <c r="B8" s="4"/>
      <c r="C8" s="4"/>
      <c r="D8" s="4"/>
      <c r="E8" s="4"/>
      <c r="F8" s="4"/>
      <c r="G8" s="4"/>
      <c r="H8" s="4"/>
      <c r="I8" s="4"/>
      <c r="J8" s="4"/>
      <c r="K8" s="4"/>
      <c r="L8" s="4"/>
      <c r="M8" s="4"/>
    </row>
    <row r="9" spans="1:18" x14ac:dyDescent="0.2">
      <c r="A9" s="1" t="s">
        <v>187</v>
      </c>
      <c r="B9" s="1"/>
      <c r="D9" s="51"/>
      <c r="E9" s="11"/>
      <c r="F9" s="11"/>
      <c r="G9" s="11"/>
      <c r="H9" s="3" t="s">
        <v>8</v>
      </c>
      <c r="I9" s="3" t="s">
        <v>8</v>
      </c>
      <c r="J9" s="49"/>
      <c r="K9" s="50" t="s">
        <v>8</v>
      </c>
    </row>
    <row r="10" spans="1:18" ht="13.5" thickBot="1" x14ac:dyDescent="0.25">
      <c r="A10" s="1"/>
      <c r="B10" s="1"/>
      <c r="D10" s="51"/>
      <c r="E10" s="11"/>
      <c r="F10" s="11"/>
      <c r="G10" s="11"/>
      <c r="H10" s="3"/>
      <c r="I10" s="3"/>
      <c r="J10" s="49"/>
      <c r="K10" s="50"/>
    </row>
    <row r="11" spans="1:18" s="15" customFormat="1" ht="12.75" customHeight="1" x14ac:dyDescent="0.2">
      <c r="B11" s="370" t="s">
        <v>138</v>
      </c>
      <c r="C11" s="371"/>
      <c r="D11" s="371"/>
      <c r="E11" s="254" t="s">
        <v>179</v>
      </c>
      <c r="F11" s="254"/>
      <c r="G11" s="372" t="s">
        <v>185</v>
      </c>
      <c r="H11" s="372"/>
      <c r="I11" s="372"/>
      <c r="J11" s="74"/>
      <c r="K11" s="372" t="s">
        <v>172</v>
      </c>
      <c r="L11" s="372"/>
      <c r="M11" s="373"/>
      <c r="N11" s="19"/>
      <c r="O11" s="19"/>
    </row>
    <row r="12" spans="1:18" s="15" customFormat="1" ht="15.75" x14ac:dyDescent="0.3">
      <c r="A12" s="19"/>
      <c r="B12" s="367" t="s">
        <v>180</v>
      </c>
      <c r="C12" s="368"/>
      <c r="D12" s="368"/>
      <c r="E12" s="249" t="s">
        <v>143</v>
      </c>
      <c r="F12" s="125" t="s">
        <v>188</v>
      </c>
      <c r="G12" s="248" t="s">
        <v>15</v>
      </c>
      <c r="H12" s="27" t="s">
        <v>5</v>
      </c>
      <c r="I12" s="66" t="s">
        <v>4</v>
      </c>
      <c r="J12" s="245"/>
      <c r="K12" s="66" t="s">
        <v>15</v>
      </c>
      <c r="L12" s="27" t="s">
        <v>5</v>
      </c>
      <c r="M12" s="255" t="s">
        <v>4</v>
      </c>
      <c r="N12" s="19"/>
      <c r="O12" s="19"/>
      <c r="P12" s="19"/>
    </row>
    <row r="13" spans="1:18" s="15" customFormat="1" x14ac:dyDescent="0.2">
      <c r="A13" s="19"/>
      <c r="B13" s="359" t="s">
        <v>210</v>
      </c>
      <c r="C13" s="360"/>
      <c r="D13" s="360"/>
      <c r="E13" s="240">
        <f>'5222018'!C15</f>
        <v>0</v>
      </c>
      <c r="F13" s="240" t="s">
        <v>236</v>
      </c>
      <c r="G13" s="253">
        <f>IF($F13="N",#REF!,0.0021)</f>
        <v>2.0999999999999999E-3</v>
      </c>
      <c r="H13" s="253">
        <f>IF($F13="N",#REF!,0.00099)</f>
        <v>9.8999999999999999E-4</v>
      </c>
      <c r="I13" s="253">
        <f>H13*0.0013/0.01</f>
        <v>1.2869999999999998E-4</v>
      </c>
      <c r="J13" s="19"/>
      <c r="K13" s="141">
        <f t="shared" ref="K13:K23" si="0">E13*G13*8760/2000</f>
        <v>0</v>
      </c>
      <c r="L13" s="141">
        <f>E13*H13*8760/2000</f>
        <v>0</v>
      </c>
      <c r="M13" s="147">
        <f>E13*I13*8760/2000</f>
        <v>0</v>
      </c>
      <c r="N13" s="19"/>
      <c r="O13" s="19"/>
      <c r="P13" s="19"/>
    </row>
    <row r="14" spans="1:18" s="15" customFormat="1" x14ac:dyDescent="0.2">
      <c r="A14" s="19"/>
      <c r="B14" s="359" t="s">
        <v>211</v>
      </c>
      <c r="C14" s="360"/>
      <c r="D14" s="360"/>
      <c r="E14" s="240">
        <f>'5222018'!C16</f>
        <v>0</v>
      </c>
      <c r="F14" s="240" t="s">
        <v>236</v>
      </c>
      <c r="G14" s="253">
        <f>IF($F14="N",#REF!,0.0069)</f>
        <v>6.8999999999999999E-3</v>
      </c>
      <c r="H14" s="253">
        <f>IF($F14="N",#REF!,0.0033)</f>
        <v>3.3E-3</v>
      </c>
      <c r="I14" s="253">
        <f>H14*0.0013/0.01</f>
        <v>4.2899999999999997E-4</v>
      </c>
      <c r="J14" s="19"/>
      <c r="K14" s="141">
        <f t="shared" si="0"/>
        <v>0</v>
      </c>
      <c r="L14" s="141">
        <f t="shared" ref="L14:L23" si="1">E14*H14*8760/2000</f>
        <v>0</v>
      </c>
      <c r="M14" s="147">
        <f>E14*I14*8760/2000</f>
        <v>0</v>
      </c>
      <c r="N14" s="19"/>
      <c r="O14" s="19"/>
      <c r="P14" s="19"/>
    </row>
    <row r="15" spans="1:18" s="15" customFormat="1" x14ac:dyDescent="0.2">
      <c r="A15" s="19"/>
      <c r="B15" s="359" t="s">
        <v>83</v>
      </c>
      <c r="C15" s="360"/>
      <c r="D15" s="360"/>
      <c r="E15" s="240">
        <f>'5222018'!C17</f>
        <v>0</v>
      </c>
      <c r="F15" s="240" t="s">
        <v>236</v>
      </c>
      <c r="G15" s="253">
        <f>IF($F15="N",#REF!,0.00099)</f>
        <v>9.8999999999999999E-4</v>
      </c>
      <c r="H15" s="253">
        <f>IF($F15="N",#REF!,0.00034)</f>
        <v>3.4000000000000002E-4</v>
      </c>
      <c r="I15" s="253">
        <f t="shared" ref="I15:I21" si="2">H15*0.0013/0.01</f>
        <v>4.4200000000000004E-5</v>
      </c>
      <c r="J15" s="234"/>
      <c r="K15" s="141">
        <f t="shared" si="0"/>
        <v>0</v>
      </c>
      <c r="L15" s="141">
        <f t="shared" si="1"/>
        <v>0</v>
      </c>
      <c r="M15" s="147">
        <f t="shared" ref="M15:M21" si="3">E15*I15*8760/2000</f>
        <v>0</v>
      </c>
      <c r="N15" s="19"/>
      <c r="O15" s="19"/>
      <c r="P15" s="19"/>
    </row>
    <row r="16" spans="1:18" s="15" customFormat="1" x14ac:dyDescent="0.2">
      <c r="A16" s="19"/>
      <c r="B16" s="359" t="s">
        <v>137</v>
      </c>
      <c r="C16" s="360"/>
      <c r="D16" s="360"/>
      <c r="E16" s="240">
        <f>'5222018'!C18</f>
        <v>0</v>
      </c>
      <c r="F16" s="240" t="s">
        <v>236</v>
      </c>
      <c r="G16" s="253">
        <f>IF($F16="N",#REF!,0.0089)</f>
        <v>8.8999999999999999E-3</v>
      </c>
      <c r="H16" s="253">
        <f>IF($F16="N",#REF!,0.0049)</f>
        <v>4.8999999999999998E-3</v>
      </c>
      <c r="I16" s="253">
        <f t="shared" si="2"/>
        <v>6.3699999999999987E-4</v>
      </c>
      <c r="J16" s="234"/>
      <c r="K16" s="141">
        <f t="shared" si="0"/>
        <v>0</v>
      </c>
      <c r="L16" s="141">
        <f t="shared" si="1"/>
        <v>0</v>
      </c>
      <c r="M16" s="147">
        <f t="shared" si="3"/>
        <v>0</v>
      </c>
      <c r="N16" s="19"/>
      <c r="O16" s="19"/>
      <c r="P16" s="19"/>
    </row>
    <row r="17" spans="1:16" s="15" customFormat="1" x14ac:dyDescent="0.2">
      <c r="A17" s="19"/>
      <c r="B17" s="359" t="s">
        <v>81</v>
      </c>
      <c r="C17" s="360"/>
      <c r="D17" s="360"/>
      <c r="E17" s="240">
        <f>'5222018'!C19</f>
        <v>0</v>
      </c>
      <c r="F17" s="240" t="s">
        <v>236</v>
      </c>
      <c r="G17" s="253">
        <f>IF($F17="N",#REF!,0.0021)</f>
        <v>2.0999999999999999E-3</v>
      </c>
      <c r="H17" s="253">
        <f>IF($F17="N",#REF!,0.00099)</f>
        <v>9.8999999999999999E-4</v>
      </c>
      <c r="I17" s="253">
        <f t="shared" si="2"/>
        <v>1.2869999999999998E-4</v>
      </c>
      <c r="J17" s="234"/>
      <c r="K17" s="141">
        <f t="shared" si="0"/>
        <v>0</v>
      </c>
      <c r="L17" s="141">
        <f t="shared" si="1"/>
        <v>0</v>
      </c>
      <c r="M17" s="147">
        <f t="shared" si="3"/>
        <v>0</v>
      </c>
      <c r="N17" s="19"/>
      <c r="O17" s="19"/>
      <c r="P17" s="19"/>
    </row>
    <row r="18" spans="1:16" s="15" customFormat="1" x14ac:dyDescent="0.2">
      <c r="A18" s="19"/>
      <c r="B18" s="359" t="s">
        <v>82</v>
      </c>
      <c r="C18" s="360"/>
      <c r="D18" s="360"/>
      <c r="E18" s="240">
        <f>'5222018'!C20</f>
        <v>0</v>
      </c>
      <c r="F18" s="240">
        <f>'5222018'!F20</f>
        <v>0</v>
      </c>
      <c r="G18" s="253">
        <f>IF($F18="N",#REF!,0.0069)</f>
        <v>6.8999999999999999E-3</v>
      </c>
      <c r="H18" s="253">
        <f>IF($F18="N",#REF!,0.0033)</f>
        <v>3.3E-3</v>
      </c>
      <c r="I18" s="253">
        <f t="shared" si="2"/>
        <v>4.2899999999999997E-4</v>
      </c>
      <c r="J18" s="234"/>
      <c r="K18" s="141">
        <f t="shared" si="0"/>
        <v>0</v>
      </c>
      <c r="L18" s="141">
        <f t="shared" si="1"/>
        <v>0</v>
      </c>
      <c r="M18" s="147">
        <f t="shared" si="3"/>
        <v>0</v>
      </c>
      <c r="N18" s="19"/>
      <c r="O18" s="19"/>
      <c r="P18" s="19"/>
    </row>
    <row r="19" spans="1:16" s="15" customFormat="1" x14ac:dyDescent="0.2">
      <c r="A19" s="19"/>
      <c r="B19" s="359" t="s">
        <v>84</v>
      </c>
      <c r="C19" s="360"/>
      <c r="D19" s="360"/>
      <c r="E19" s="240">
        <f>'5222018'!C21</f>
        <v>0</v>
      </c>
      <c r="F19" s="240" t="s">
        <v>236</v>
      </c>
      <c r="G19" s="253">
        <f>IF($F19="N",#REF!,0.0021)</f>
        <v>2.0999999999999999E-3</v>
      </c>
      <c r="H19" s="253">
        <f>IF($F19="N",#REF!,0.00099)</f>
        <v>9.8999999999999999E-4</v>
      </c>
      <c r="I19" s="253">
        <f t="shared" si="2"/>
        <v>1.2869999999999998E-4</v>
      </c>
      <c r="J19" s="234"/>
      <c r="K19" s="141">
        <f t="shared" si="0"/>
        <v>0</v>
      </c>
      <c r="L19" s="141">
        <f t="shared" si="1"/>
        <v>0</v>
      </c>
      <c r="M19" s="147">
        <f t="shared" si="3"/>
        <v>0</v>
      </c>
      <c r="N19" s="19"/>
      <c r="O19" s="19"/>
      <c r="P19" s="19"/>
    </row>
    <row r="20" spans="1:16" s="15" customFormat="1" x14ac:dyDescent="0.2">
      <c r="A20" s="19"/>
      <c r="B20" s="359" t="s">
        <v>85</v>
      </c>
      <c r="C20" s="360"/>
      <c r="D20" s="360"/>
      <c r="E20" s="240">
        <f>'5222018'!C22</f>
        <v>0</v>
      </c>
      <c r="F20" s="240" t="s">
        <v>236</v>
      </c>
      <c r="G20" s="253">
        <f>IF($F20="N",#REF!,0.0069)</f>
        <v>6.8999999999999999E-3</v>
      </c>
      <c r="H20" s="253">
        <f>IF($F20="N",#REF!,0.0033)</f>
        <v>3.3E-3</v>
      </c>
      <c r="I20" s="253">
        <f t="shared" si="2"/>
        <v>4.2899999999999997E-4</v>
      </c>
      <c r="J20" s="234"/>
      <c r="K20" s="141">
        <f t="shared" si="0"/>
        <v>0</v>
      </c>
      <c r="L20" s="141">
        <f t="shared" si="1"/>
        <v>0</v>
      </c>
      <c r="M20" s="147">
        <f t="shared" si="3"/>
        <v>0</v>
      </c>
      <c r="N20" s="19"/>
      <c r="O20" s="19"/>
      <c r="P20" s="19"/>
    </row>
    <row r="21" spans="1:16" s="15" customFormat="1" x14ac:dyDescent="0.2">
      <c r="A21" s="19"/>
      <c r="B21" s="359" t="s">
        <v>86</v>
      </c>
      <c r="C21" s="360"/>
      <c r="D21" s="360"/>
      <c r="E21" s="240">
        <f>'5222018'!C23</f>
        <v>0</v>
      </c>
      <c r="F21" s="240" t="s">
        <v>236</v>
      </c>
      <c r="G21" s="253">
        <f>IF($F21="N",#REF!,0.0048)</f>
        <v>4.7999999999999996E-3</v>
      </c>
      <c r="H21" s="253">
        <f>IF($F21="N",#REF!,0.0028)</f>
        <v>2.8E-3</v>
      </c>
      <c r="I21" s="253">
        <f t="shared" si="2"/>
        <v>3.6399999999999996E-4</v>
      </c>
      <c r="J21" s="234"/>
      <c r="K21" s="141">
        <f t="shared" si="0"/>
        <v>0</v>
      </c>
      <c r="L21" s="141">
        <f t="shared" si="1"/>
        <v>0</v>
      </c>
      <c r="M21" s="147">
        <f t="shared" si="3"/>
        <v>0</v>
      </c>
      <c r="N21" s="19"/>
      <c r="O21" s="19"/>
      <c r="P21" s="19"/>
    </row>
    <row r="22" spans="1:16" s="15" customFormat="1" x14ac:dyDescent="0.2">
      <c r="A22" s="19"/>
      <c r="B22" s="359" t="s">
        <v>87</v>
      </c>
      <c r="C22" s="360"/>
      <c r="D22" s="360"/>
      <c r="E22" s="240">
        <f>'5222018'!C24</f>
        <v>0</v>
      </c>
      <c r="F22" s="240" t="s">
        <v>236</v>
      </c>
      <c r="G22" s="253">
        <f>IF($F22="N",#REF!,0.0184)</f>
        <v>1.84E-2</v>
      </c>
      <c r="H22" s="253">
        <f>IF($F22="N",#REF!,0.0055)</f>
        <v>5.4999999999999997E-3</v>
      </c>
      <c r="I22" s="253">
        <f>H22*0.0013/0.01</f>
        <v>7.1499999999999992E-4</v>
      </c>
      <c r="J22" s="234"/>
      <c r="K22" s="141">
        <f t="shared" si="0"/>
        <v>0</v>
      </c>
      <c r="L22" s="141">
        <f t="shared" si="1"/>
        <v>0</v>
      </c>
      <c r="M22" s="147">
        <f>E22*I22*8760/2000</f>
        <v>0</v>
      </c>
      <c r="N22" s="19"/>
      <c r="O22" s="19"/>
      <c r="P22" s="19"/>
    </row>
    <row r="23" spans="1:16" s="15" customFormat="1" x14ac:dyDescent="0.2">
      <c r="A23" s="19"/>
      <c r="B23" s="359" t="s">
        <v>192</v>
      </c>
      <c r="C23" s="360"/>
      <c r="D23" s="360"/>
      <c r="E23" s="240">
        <f>'5222018'!C25</f>
        <v>0</v>
      </c>
      <c r="F23" s="240" t="s">
        <v>236</v>
      </c>
      <c r="G23" s="253">
        <f>IF($F23="N",#REF!,0.098)</f>
        <v>9.8000000000000004E-2</v>
      </c>
      <c r="H23" s="253">
        <f>IF($F23="N",#REF!,0.0263)</f>
        <v>2.63E-2</v>
      </c>
      <c r="I23" s="253">
        <f>H23*0.0013/0.01</f>
        <v>3.4189999999999997E-3</v>
      </c>
      <c r="J23" s="234"/>
      <c r="K23" s="141">
        <f t="shared" si="0"/>
        <v>0</v>
      </c>
      <c r="L23" s="141">
        <f t="shared" si="1"/>
        <v>0</v>
      </c>
      <c r="M23" s="147">
        <f>E23*I23*8760/2000</f>
        <v>0</v>
      </c>
      <c r="N23" s="19"/>
      <c r="O23" s="19"/>
      <c r="P23" s="19"/>
    </row>
    <row r="24" spans="1:16" s="15" customFormat="1" x14ac:dyDescent="0.2">
      <c r="A24" s="19"/>
      <c r="B24" s="256"/>
      <c r="C24" s="366" t="s">
        <v>184</v>
      </c>
      <c r="D24" s="241"/>
      <c r="E24" s="246"/>
      <c r="F24" s="246"/>
      <c r="G24" s="247"/>
      <c r="H24" s="247"/>
      <c r="I24" s="247"/>
      <c r="J24" s="234"/>
      <c r="K24" s="234"/>
      <c r="L24" s="234"/>
      <c r="M24" s="257"/>
      <c r="N24" s="19"/>
      <c r="O24" s="19"/>
      <c r="P24" s="19"/>
    </row>
    <row r="25" spans="1:16" s="15" customFormat="1" x14ac:dyDescent="0.2">
      <c r="A25" s="19"/>
      <c r="B25" s="258"/>
      <c r="C25" s="366"/>
      <c r="D25" s="209"/>
      <c r="E25" s="251" t="s">
        <v>135</v>
      </c>
      <c r="F25" s="267"/>
      <c r="G25" s="362" t="s">
        <v>186</v>
      </c>
      <c r="H25" s="362"/>
      <c r="I25" s="362"/>
      <c r="J25" s="234"/>
      <c r="K25" s="362" t="s">
        <v>237</v>
      </c>
      <c r="L25" s="362"/>
      <c r="M25" s="363"/>
      <c r="N25" s="19"/>
      <c r="O25" s="19"/>
      <c r="P25" s="19"/>
    </row>
    <row r="26" spans="1:16" s="15" customFormat="1" ht="15.75" x14ac:dyDescent="0.3">
      <c r="A26" s="19"/>
      <c r="B26" s="364" t="s">
        <v>136</v>
      </c>
      <c r="C26" s="365"/>
      <c r="D26" s="365"/>
      <c r="E26" s="240">
        <f>'5222018'!C27</f>
        <v>2000000</v>
      </c>
      <c r="F26" s="267" t="s">
        <v>194</v>
      </c>
      <c r="G26" s="248" t="s">
        <v>15</v>
      </c>
      <c r="H26" s="27" t="s">
        <v>5</v>
      </c>
      <c r="I26" s="66" t="s">
        <v>4</v>
      </c>
      <c r="J26" s="234"/>
      <c r="K26" s="66" t="s">
        <v>15</v>
      </c>
      <c r="L26" s="27" t="s">
        <v>5</v>
      </c>
      <c r="M26" s="255" t="s">
        <v>4</v>
      </c>
      <c r="N26" s="19"/>
      <c r="O26" s="19"/>
      <c r="P26" s="19"/>
    </row>
    <row r="27" spans="1:16" s="15" customFormat="1" x14ac:dyDescent="0.2">
      <c r="A27" s="19"/>
      <c r="B27" s="359" t="s">
        <v>210</v>
      </c>
      <c r="C27" s="360"/>
      <c r="D27" s="360"/>
      <c r="E27" s="240">
        <f>E26</f>
        <v>2000000</v>
      </c>
      <c r="F27" s="240" t="s">
        <v>236</v>
      </c>
      <c r="G27" s="253">
        <f>IF($F27="N",#REF!,0.0015)</f>
        <v>1.5E-3</v>
      </c>
      <c r="H27" s="253">
        <f>IF($F27="N",#REF!,0.0007)</f>
        <v>6.9999999999999999E-4</v>
      </c>
      <c r="I27" s="253">
        <f>H27*0.0013/0.01</f>
        <v>9.0999999999999989E-5</v>
      </c>
      <c r="J27" s="234"/>
      <c r="K27" s="141">
        <f>$E27*G27/2000</f>
        <v>1.5</v>
      </c>
      <c r="L27" s="141">
        <f>$E27*H27/2000</f>
        <v>0.7</v>
      </c>
      <c r="M27" s="147">
        <f>E27*I27/2000</f>
        <v>9.0999999999999984E-2</v>
      </c>
      <c r="N27" s="19"/>
      <c r="O27" s="19"/>
      <c r="P27" s="19"/>
    </row>
    <row r="28" spans="1:16" s="15" customFormat="1" x14ac:dyDescent="0.2">
      <c r="A28" s="19"/>
      <c r="B28" s="359" t="s">
        <v>211</v>
      </c>
      <c r="C28" s="360"/>
      <c r="D28" s="360"/>
      <c r="E28" s="240">
        <f>E27</f>
        <v>2000000</v>
      </c>
      <c r="F28" s="240" t="s">
        <v>236</v>
      </c>
      <c r="G28" s="310">
        <f>IF($F28="N",#REF!,0.0064)</f>
        <v>6.4000000000000003E-3</v>
      </c>
      <c r="H28" s="310">
        <f>IF($F28="N",#REF!,0.0031)</f>
        <v>3.0999999999999999E-3</v>
      </c>
      <c r="I28" s="253">
        <f>H28*0.0013/0.01</f>
        <v>4.0299999999999993E-4</v>
      </c>
      <c r="J28" s="234"/>
      <c r="K28" s="141">
        <f>$E28*G28/2000</f>
        <v>6.4</v>
      </c>
      <c r="L28" s="141">
        <f>$E28*H28/2000</f>
        <v>3.1</v>
      </c>
      <c r="M28" s="147">
        <f>E28*I28/2000</f>
        <v>0.40299999999999997</v>
      </c>
      <c r="N28" s="19"/>
      <c r="O28" s="19"/>
      <c r="P28" s="19"/>
    </row>
    <row r="29" spans="1:16" s="15" customFormat="1" x14ac:dyDescent="0.2">
      <c r="A29" s="19"/>
      <c r="B29" s="359" t="s">
        <v>83</v>
      </c>
      <c r="C29" s="360"/>
      <c r="D29" s="360"/>
      <c r="E29" s="240">
        <f t="shared" ref="E29:E37" si="4">E28</f>
        <v>2000000</v>
      </c>
      <c r="F29" s="240" t="s">
        <v>236</v>
      </c>
      <c r="G29" s="253">
        <f>IF($F29="N",#REF!,0.0002)</f>
        <v>2.0000000000000001E-4</v>
      </c>
      <c r="H29" s="253">
        <f>IF($F29="N",#REF!,0.0001)</f>
        <v>1E-4</v>
      </c>
      <c r="I29" s="253">
        <f t="shared" ref="I29:I35" si="5">H29*0.0013/0.01</f>
        <v>1.2999999999999999E-5</v>
      </c>
      <c r="J29" s="234"/>
      <c r="K29" s="141">
        <f t="shared" ref="K29:L35" si="6">$E29*G29/2000</f>
        <v>0.2</v>
      </c>
      <c r="L29" s="141">
        <f t="shared" si="6"/>
        <v>0.1</v>
      </c>
      <c r="M29" s="147">
        <f t="shared" ref="M29:M36" si="7">E29*I29/2000</f>
        <v>1.2999999999999999E-2</v>
      </c>
      <c r="N29" s="19"/>
      <c r="O29" s="19"/>
      <c r="P29" s="19"/>
    </row>
    <row r="30" spans="1:16" s="15" customFormat="1" x14ac:dyDescent="0.2">
      <c r="A30" s="19"/>
      <c r="B30" s="359" t="s">
        <v>137</v>
      </c>
      <c r="C30" s="360"/>
      <c r="D30" s="360"/>
      <c r="E30" s="240">
        <f t="shared" si="4"/>
        <v>2000000</v>
      </c>
      <c r="F30" s="240" t="s">
        <v>236</v>
      </c>
      <c r="G30" s="253">
        <f>IF($F30="N",#REF!,0.0003)</f>
        <v>2.9999999999999997E-4</v>
      </c>
      <c r="H30" s="253">
        <f>IF($F30="N",#REF!,0.0002)</f>
        <v>2.0000000000000001E-4</v>
      </c>
      <c r="I30" s="253">
        <f t="shared" si="5"/>
        <v>2.5999999999999998E-5</v>
      </c>
      <c r="J30" s="234"/>
      <c r="K30" s="141">
        <f t="shared" si="6"/>
        <v>0.3</v>
      </c>
      <c r="L30" s="141">
        <f>$E30*H30/2000</f>
        <v>0.2</v>
      </c>
      <c r="M30" s="147">
        <f>E30*I30/2000</f>
        <v>2.5999999999999999E-2</v>
      </c>
      <c r="N30" s="19"/>
      <c r="O30" s="19"/>
      <c r="P30" s="19"/>
    </row>
    <row r="31" spans="1:16" s="15" customFormat="1" x14ac:dyDescent="0.2">
      <c r="A31" s="19"/>
      <c r="B31" s="359" t="s">
        <v>81</v>
      </c>
      <c r="C31" s="360"/>
      <c r="D31" s="360"/>
      <c r="E31" s="240">
        <f t="shared" si="4"/>
        <v>2000000</v>
      </c>
      <c r="F31" s="240" t="s">
        <v>236</v>
      </c>
      <c r="G31" s="253">
        <f>IF($F31="N",#REF!,0.0015)</f>
        <v>1.5E-3</v>
      </c>
      <c r="H31" s="253">
        <f>IF($F31="N",#REF!,0.0007)</f>
        <v>6.9999999999999999E-4</v>
      </c>
      <c r="I31" s="253">
        <f t="shared" si="5"/>
        <v>9.0999999999999989E-5</v>
      </c>
      <c r="J31" s="234"/>
      <c r="K31" s="141">
        <f t="shared" si="6"/>
        <v>1.5</v>
      </c>
      <c r="L31" s="141">
        <f t="shared" si="6"/>
        <v>0.7</v>
      </c>
      <c r="M31" s="147">
        <f t="shared" si="7"/>
        <v>9.0999999999999984E-2</v>
      </c>
      <c r="N31" s="19"/>
      <c r="O31" s="19"/>
      <c r="P31" s="19"/>
    </row>
    <row r="32" spans="1:16" s="15" customFormat="1" x14ac:dyDescent="0.2">
      <c r="A32" s="19"/>
      <c r="B32" s="359" t="s">
        <v>82</v>
      </c>
      <c r="C32" s="360"/>
      <c r="D32" s="360"/>
      <c r="E32" s="240">
        <f t="shared" si="4"/>
        <v>2000000</v>
      </c>
      <c r="F32" s="240">
        <f t="shared" ref="F32:F37" si="8">F18</f>
        <v>0</v>
      </c>
      <c r="G32" s="253">
        <f>IF($F32="N",#REF!,0.0064)</f>
        <v>6.4000000000000003E-3</v>
      </c>
      <c r="H32" s="253">
        <f>IF($F32="N",#REF!,0.0031)</f>
        <v>3.0999999999999999E-3</v>
      </c>
      <c r="I32" s="253">
        <f t="shared" si="5"/>
        <v>4.0299999999999993E-4</v>
      </c>
      <c r="J32" s="234"/>
      <c r="K32" s="141">
        <f t="shared" si="6"/>
        <v>6.4</v>
      </c>
      <c r="L32" s="141">
        <f t="shared" si="6"/>
        <v>3.1</v>
      </c>
      <c r="M32" s="147">
        <f t="shared" si="7"/>
        <v>0.40299999999999997</v>
      </c>
      <c r="N32" s="19"/>
      <c r="O32" s="19"/>
      <c r="P32" s="19"/>
    </row>
    <row r="33" spans="1:16" s="15" customFormat="1" x14ac:dyDescent="0.2">
      <c r="A33" s="19"/>
      <c r="B33" s="359" t="s">
        <v>84</v>
      </c>
      <c r="C33" s="360"/>
      <c r="D33" s="360"/>
      <c r="E33" s="240">
        <f t="shared" si="4"/>
        <v>2000000</v>
      </c>
      <c r="F33" s="240" t="s">
        <v>236</v>
      </c>
      <c r="G33" s="253">
        <f>IF($F33="N",#REF!,0.0015*0.1)</f>
        <v>1.5000000000000001E-4</v>
      </c>
      <c r="H33" s="253">
        <f>IF($F33="N",#REF!,0.0007*0.1)</f>
        <v>7.0000000000000007E-5</v>
      </c>
      <c r="I33" s="253">
        <f t="shared" si="5"/>
        <v>9.100000000000001E-6</v>
      </c>
      <c r="J33" s="234"/>
      <c r="K33" s="141">
        <f t="shared" si="6"/>
        <v>0.15</v>
      </c>
      <c r="L33" s="141">
        <f t="shared" si="6"/>
        <v>7.0000000000000021E-2</v>
      </c>
      <c r="M33" s="147">
        <f t="shared" si="7"/>
        <v>9.1000000000000022E-3</v>
      </c>
      <c r="N33" s="19"/>
      <c r="O33" s="19"/>
      <c r="P33" s="19"/>
    </row>
    <row r="34" spans="1:16" s="15" customFormat="1" x14ac:dyDescent="0.2">
      <c r="A34" s="19"/>
      <c r="B34" s="359" t="s">
        <v>85</v>
      </c>
      <c r="C34" s="360"/>
      <c r="D34" s="360"/>
      <c r="E34" s="240">
        <f t="shared" si="4"/>
        <v>2000000</v>
      </c>
      <c r="F34" s="240" t="s">
        <v>236</v>
      </c>
      <c r="G34" s="253">
        <f>IF($F34="N",#REF!,0.0064*0.1)</f>
        <v>6.4000000000000005E-4</v>
      </c>
      <c r="H34" s="253">
        <f>IF($F34="N",#REF!,0.0031*0.1)</f>
        <v>3.1E-4</v>
      </c>
      <c r="I34" s="253">
        <f t="shared" si="5"/>
        <v>4.0299999999999997E-5</v>
      </c>
      <c r="J34" s="234"/>
      <c r="K34" s="141">
        <f t="shared" si="6"/>
        <v>0.64</v>
      </c>
      <c r="L34" s="141">
        <f t="shared" si="6"/>
        <v>0.31</v>
      </c>
      <c r="M34" s="147">
        <f t="shared" si="7"/>
        <v>4.0299999999999996E-2</v>
      </c>
      <c r="N34" s="19"/>
      <c r="O34" s="19"/>
      <c r="P34" s="19"/>
    </row>
    <row r="35" spans="1:16" s="15" customFormat="1" x14ac:dyDescent="0.2">
      <c r="A35" s="19"/>
      <c r="B35" s="359" t="s">
        <v>86</v>
      </c>
      <c r="C35" s="360"/>
      <c r="D35" s="360"/>
      <c r="E35" s="240">
        <f t="shared" si="4"/>
        <v>2000000</v>
      </c>
      <c r="F35" s="240" t="s">
        <v>236</v>
      </c>
      <c r="G35" s="253">
        <f>IF($F35="N",#REF!,0.0079*0.1)</f>
        <v>7.9000000000000012E-4</v>
      </c>
      <c r="H35" s="253">
        <f>IF($F35="N",#REF!,0.0038*0.1)</f>
        <v>3.8000000000000002E-4</v>
      </c>
      <c r="I35" s="253">
        <f t="shared" si="5"/>
        <v>4.9400000000000001E-5</v>
      </c>
      <c r="J35" s="234"/>
      <c r="K35" s="141">
        <f t="shared" si="6"/>
        <v>0.79000000000000015</v>
      </c>
      <c r="L35" s="141">
        <f t="shared" si="6"/>
        <v>0.38</v>
      </c>
      <c r="M35" s="147">
        <f t="shared" si="7"/>
        <v>4.9399999999999999E-2</v>
      </c>
      <c r="N35" s="19"/>
      <c r="O35" s="19"/>
      <c r="P35" s="19"/>
    </row>
    <row r="36" spans="1:16" s="15" customFormat="1" x14ac:dyDescent="0.2">
      <c r="A36" s="19"/>
      <c r="B36" s="359" t="s">
        <v>87</v>
      </c>
      <c r="C36" s="360"/>
      <c r="D36" s="360"/>
      <c r="E36" s="240">
        <f t="shared" si="4"/>
        <v>2000000</v>
      </c>
      <c r="F36" s="240" t="s">
        <v>236</v>
      </c>
      <c r="G36" s="253">
        <f>G22*0.282</f>
        <v>5.1887999999999995E-3</v>
      </c>
      <c r="H36" s="253">
        <f>H22*0.282</f>
        <v>1.5509999999999999E-3</v>
      </c>
      <c r="I36" s="253">
        <f>H36*0.0013/0.01</f>
        <v>2.0162999999999995E-4</v>
      </c>
      <c r="J36" s="140"/>
      <c r="K36" s="141">
        <f>$E36*G36/2000</f>
        <v>5.1887999999999996</v>
      </c>
      <c r="L36" s="141">
        <f>$E36*H36/2000</f>
        <v>1.5509999999999997</v>
      </c>
      <c r="M36" s="147">
        <f t="shared" si="7"/>
        <v>0.20162999999999995</v>
      </c>
      <c r="N36" s="19"/>
      <c r="O36" s="19"/>
      <c r="P36" s="19"/>
    </row>
    <row r="37" spans="1:16" s="15" customFormat="1" x14ac:dyDescent="0.2">
      <c r="A37" s="19"/>
      <c r="B37" s="359" t="s">
        <v>192</v>
      </c>
      <c r="C37" s="360"/>
      <c r="D37" s="360"/>
      <c r="E37" s="240">
        <f t="shared" si="4"/>
        <v>2000000</v>
      </c>
      <c r="F37" s="240" t="str">
        <f t="shared" si="8"/>
        <v>y</v>
      </c>
      <c r="G37" s="253">
        <f>G23*0.282</f>
        <v>2.7635999999999997E-2</v>
      </c>
      <c r="H37" s="253">
        <f>H23*0.282</f>
        <v>7.4165999999999998E-3</v>
      </c>
      <c r="I37" s="253">
        <f>H37*0.0013/0.01</f>
        <v>9.641579999999999E-4</v>
      </c>
      <c r="J37" s="140"/>
      <c r="K37" s="192">
        <f>$E37*G37/2000</f>
        <v>27.635999999999996</v>
      </c>
      <c r="L37" s="192">
        <f>$E37*H37/2000</f>
        <v>7.4165999999999999</v>
      </c>
      <c r="M37" s="263">
        <f t="shared" ref="M37" si="9">E37*I37/2000</f>
        <v>0.96415799999999985</v>
      </c>
      <c r="N37" s="19"/>
      <c r="O37" s="19"/>
      <c r="P37" s="19"/>
    </row>
    <row r="38" spans="1:16" s="15" customFormat="1" ht="13.5" thickBot="1" x14ac:dyDescent="0.25">
      <c r="A38" s="19"/>
      <c r="B38" s="259"/>
      <c r="C38" s="243"/>
      <c r="D38" s="243"/>
      <c r="E38" s="243"/>
      <c r="F38" s="243"/>
      <c r="G38" s="243"/>
      <c r="H38" s="243"/>
      <c r="I38" s="243"/>
      <c r="J38" s="243"/>
      <c r="K38" s="243"/>
      <c r="L38" s="243"/>
      <c r="M38" s="244"/>
      <c r="N38" s="19"/>
      <c r="O38" s="19"/>
      <c r="P38" s="19"/>
    </row>
    <row r="39" spans="1:16" s="15" customFormat="1" ht="13.5" thickTop="1" x14ac:dyDescent="0.2">
      <c r="A39" s="19"/>
      <c r="B39" s="260"/>
      <c r="C39" s="140"/>
      <c r="D39" s="140"/>
      <c r="E39" s="140"/>
      <c r="F39" s="140"/>
      <c r="G39" s="140"/>
      <c r="H39" s="140"/>
      <c r="I39" s="140"/>
      <c r="J39" s="140"/>
      <c r="K39" s="140"/>
      <c r="L39" s="140"/>
      <c r="M39" s="164"/>
      <c r="N39" s="19"/>
      <c r="O39" s="19"/>
      <c r="P39" s="19"/>
    </row>
    <row r="40" spans="1:16" s="14" customFormat="1" x14ac:dyDescent="0.2">
      <c r="A40" s="20"/>
      <c r="B40" s="261"/>
      <c r="C40" s="8" t="s">
        <v>24</v>
      </c>
      <c r="D40" s="26"/>
      <c r="E40" s="26"/>
      <c r="F40" s="26"/>
      <c r="G40" s="107"/>
      <c r="H40" s="107"/>
      <c r="I40" s="107"/>
      <c r="J40" s="107"/>
      <c r="K40" s="107">
        <f>MAX(SUM(K13:K23),SUM(K27:K37))</f>
        <v>50.704799999999992</v>
      </c>
      <c r="L40" s="107">
        <f>MAX(SUM(L13:L23),SUM(L27:L37))</f>
        <v>17.627600000000001</v>
      </c>
      <c r="M40" s="150">
        <f>MAX(SUM(M13:M23),SUM(M27:M37))</f>
        <v>2.291588</v>
      </c>
      <c r="N40" s="20"/>
      <c r="O40" s="20"/>
      <c r="P40" s="20"/>
    </row>
    <row r="41" spans="1:16" s="15" customFormat="1" ht="13.5" thickBot="1" x14ac:dyDescent="0.25">
      <c r="A41" s="19"/>
      <c r="B41" s="262"/>
      <c r="C41" s="41"/>
      <c r="D41" s="41"/>
      <c r="E41" s="41"/>
      <c r="F41" s="41"/>
      <c r="G41" s="151"/>
      <c r="H41" s="16"/>
      <c r="I41" s="16"/>
      <c r="J41" s="16" t="s">
        <v>8</v>
      </c>
      <c r="K41" s="16"/>
      <c r="L41" s="16"/>
      <c r="M41" s="152"/>
      <c r="N41" s="19"/>
      <c r="O41" s="19"/>
      <c r="P41" s="19"/>
    </row>
    <row r="42" spans="1:16" s="15" customFormat="1" ht="12" x14ac:dyDescent="0.2">
      <c r="B42" s="20" t="s">
        <v>10</v>
      </c>
      <c r="C42" s="19"/>
      <c r="D42" s="19"/>
      <c r="E42" s="22"/>
      <c r="F42" s="22"/>
      <c r="G42" s="23"/>
      <c r="H42" s="23"/>
      <c r="I42" s="23"/>
      <c r="J42" s="23"/>
      <c r="K42" s="23"/>
      <c r="L42" s="23"/>
      <c r="M42" s="19"/>
      <c r="N42" s="19"/>
      <c r="O42" s="19"/>
      <c r="P42" s="19"/>
    </row>
    <row r="43" spans="1:16" s="15" customFormat="1" ht="12" x14ac:dyDescent="0.2">
      <c r="B43" s="19" t="s">
        <v>212</v>
      </c>
      <c r="C43" s="19"/>
      <c r="D43" s="19"/>
      <c r="E43" s="22"/>
      <c r="F43" s="22"/>
      <c r="G43" s="23"/>
      <c r="H43" s="23"/>
      <c r="I43" s="23"/>
      <c r="J43" s="23"/>
      <c r="K43" s="23"/>
      <c r="L43" s="23"/>
      <c r="M43" s="19"/>
      <c r="N43" s="19"/>
      <c r="O43" s="19"/>
      <c r="P43" s="19"/>
    </row>
    <row r="44" spans="1:16" s="15" customFormat="1" ht="15" customHeight="1" x14ac:dyDescent="0.2">
      <c r="B44" s="361" t="s">
        <v>134</v>
      </c>
      <c r="C44" s="361"/>
      <c r="D44" s="361"/>
      <c r="E44" s="361"/>
      <c r="F44" s="361"/>
      <c r="G44" s="361"/>
      <c r="H44" s="361"/>
      <c r="I44" s="361"/>
      <c r="J44" s="361"/>
      <c r="K44" s="361"/>
      <c r="L44" s="361"/>
      <c r="M44" s="361"/>
      <c r="N44" s="19"/>
      <c r="O44" s="19"/>
      <c r="P44" s="19"/>
    </row>
    <row r="45" spans="1:16" s="15" customFormat="1" ht="15" customHeight="1" x14ac:dyDescent="0.2">
      <c r="B45" s="358" t="s">
        <v>195</v>
      </c>
      <c r="C45" s="358"/>
      <c r="D45" s="358"/>
      <c r="E45" s="358"/>
      <c r="F45" s="358"/>
      <c r="G45" s="358"/>
      <c r="H45" s="358"/>
      <c r="I45" s="358"/>
      <c r="J45" s="358"/>
      <c r="K45" s="358"/>
      <c r="L45" s="358"/>
      <c r="M45" s="239"/>
      <c r="N45" s="19"/>
      <c r="O45" s="19"/>
      <c r="P45" s="19"/>
    </row>
    <row r="46" spans="1:16" s="15" customFormat="1" ht="12" x14ac:dyDescent="0.2">
      <c r="B46" s="15" t="s">
        <v>240</v>
      </c>
    </row>
    <row r="47" spans="1:16" s="15" customFormat="1" ht="12" x14ac:dyDescent="0.2"/>
    <row r="48" spans="1:16" x14ac:dyDescent="0.2">
      <c r="B48" s="14" t="s">
        <v>9</v>
      </c>
    </row>
    <row r="49" spans="2:2" x14ac:dyDescent="0.2">
      <c r="B49" s="15" t="s">
        <v>181</v>
      </c>
    </row>
    <row r="50" spans="2:2" x14ac:dyDescent="0.2">
      <c r="B50" s="15" t="s">
        <v>213</v>
      </c>
    </row>
  </sheetData>
  <mergeCells count="35">
    <mergeCell ref="A1:M1"/>
    <mergeCell ref="A2:M2"/>
    <mergeCell ref="A3:M3"/>
    <mergeCell ref="B11:D11"/>
    <mergeCell ref="G11:I11"/>
    <mergeCell ref="K11:M11"/>
    <mergeCell ref="G25:I25"/>
    <mergeCell ref="B12:D12"/>
    <mergeCell ref="B13:D13"/>
    <mergeCell ref="B15:D15"/>
    <mergeCell ref="B16:D16"/>
    <mergeCell ref="B17:D17"/>
    <mergeCell ref="B18:D18"/>
    <mergeCell ref="B31:D31"/>
    <mergeCell ref="B19:D19"/>
    <mergeCell ref="B20:D20"/>
    <mergeCell ref="B21:D21"/>
    <mergeCell ref="B22:D22"/>
    <mergeCell ref="C24:C25"/>
    <mergeCell ref="B45:L45"/>
    <mergeCell ref="B23:D23"/>
    <mergeCell ref="B37:D37"/>
    <mergeCell ref="B14:D14"/>
    <mergeCell ref="B28:D28"/>
    <mergeCell ref="B32:D32"/>
    <mergeCell ref="B33:D33"/>
    <mergeCell ref="B34:D34"/>
    <mergeCell ref="B35:D35"/>
    <mergeCell ref="B36:D36"/>
    <mergeCell ref="B44:M44"/>
    <mergeCell ref="K25:M25"/>
    <mergeCell ref="B26:D26"/>
    <mergeCell ref="B27:D27"/>
    <mergeCell ref="B29:D29"/>
    <mergeCell ref="B30:D30"/>
  </mergeCells>
  <pageMargins left="0.75" right="0.75" top="1" bottom="1" header="0.5" footer="0.5"/>
  <pageSetup orientation="portrait"/>
  <headerFooter alignWithMargins="0">
    <oddFooter>Page &amp;P of &amp;N</oddFooter>
  </headerFooter>
  <colBreaks count="1" manualBreakCount="1">
    <brk id="14"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6"/>
  <sheetViews>
    <sheetView workbookViewId="0">
      <selection activeCell="A3" sqref="A3:M3"/>
    </sheetView>
  </sheetViews>
  <sheetFormatPr defaultColWidth="8.7109375" defaultRowHeight="12.75" x14ac:dyDescent="0.2"/>
  <cols>
    <col min="1" max="1" width="11.42578125" customWidth="1"/>
    <col min="2" max="2" width="22.28515625" customWidth="1"/>
    <col min="4" max="4" width="7" customWidth="1"/>
  </cols>
  <sheetData>
    <row r="1" spans="1:15" ht="20.25" x14ac:dyDescent="0.3">
      <c r="A1" s="341" t="str">
        <f>'5222018'!A1</f>
        <v>Potential To Emit Calculator for Concrete Batch Plants</v>
      </c>
      <c r="B1" s="341"/>
      <c r="C1" s="341"/>
      <c r="D1" s="341"/>
      <c r="E1" s="341"/>
      <c r="F1" s="341"/>
      <c r="G1" s="341"/>
      <c r="H1" s="341"/>
      <c r="I1" s="341"/>
      <c r="J1" s="341"/>
      <c r="K1" s="341"/>
      <c r="L1" s="341"/>
      <c r="M1" s="341"/>
      <c r="N1" s="9"/>
      <c r="O1" s="9"/>
    </row>
    <row r="2" spans="1:15" x14ac:dyDescent="0.2">
      <c r="A2" s="345">
        <v>43242</v>
      </c>
      <c r="B2" s="345"/>
      <c r="C2" s="345"/>
      <c r="D2" s="345"/>
      <c r="E2" s="345"/>
      <c r="F2" s="345"/>
      <c r="G2" s="345"/>
      <c r="H2" s="345"/>
      <c r="I2" s="345"/>
      <c r="J2" s="345"/>
      <c r="K2" s="345"/>
      <c r="L2" s="345"/>
      <c r="M2" s="345"/>
      <c r="N2" s="10"/>
      <c r="O2" s="10"/>
    </row>
    <row r="3" spans="1:15" ht="13.35" customHeight="1" x14ac:dyDescent="0.25">
      <c r="A3" s="369" t="s">
        <v>77</v>
      </c>
      <c r="B3" s="369"/>
      <c r="C3" s="369"/>
      <c r="D3" s="369"/>
      <c r="E3" s="369"/>
      <c r="F3" s="369"/>
      <c r="G3" s="369"/>
      <c r="H3" s="369"/>
      <c r="I3" s="369"/>
      <c r="J3" s="369"/>
      <c r="K3" s="369"/>
      <c r="L3" s="369"/>
      <c r="M3" s="369"/>
    </row>
    <row r="4" spans="1:15" x14ac:dyDescent="0.2">
      <c r="A4" s="60"/>
      <c r="B4" s="123"/>
      <c r="C4" s="123" t="s">
        <v>49</v>
      </c>
      <c r="D4" s="124">
        <f>'5222018'!C32</f>
        <v>0</v>
      </c>
      <c r="E4" s="97" t="s">
        <v>31</v>
      </c>
      <c r="F4" s="60"/>
      <c r="G4" s="60"/>
      <c r="H4" s="60"/>
      <c r="I4" s="60"/>
      <c r="J4" s="60"/>
      <c r="K4" s="60"/>
      <c r="L4" s="60"/>
      <c r="M4" s="60"/>
    </row>
    <row r="5" spans="1:15" x14ac:dyDescent="0.2">
      <c r="A5" s="60"/>
      <c r="B5" s="123"/>
      <c r="C5" s="123" t="s">
        <v>50</v>
      </c>
      <c r="D5" s="124">
        <f>'5222018'!C33</f>
        <v>0</v>
      </c>
      <c r="E5" s="97" t="s">
        <v>31</v>
      </c>
      <c r="F5" s="60"/>
      <c r="G5" s="60"/>
      <c r="H5" s="60"/>
      <c r="I5" s="5" t="s">
        <v>1</v>
      </c>
      <c r="J5" s="60"/>
      <c r="K5" s="60"/>
      <c r="L5" s="60"/>
      <c r="M5" s="60"/>
    </row>
    <row r="6" spans="1:15" x14ac:dyDescent="0.2">
      <c r="A6" s="60"/>
      <c r="B6" s="123"/>
      <c r="C6" s="123" t="s">
        <v>51</v>
      </c>
      <c r="D6" s="124">
        <f>'5222018'!C34</f>
        <v>10</v>
      </c>
      <c r="E6" s="97" t="s">
        <v>31</v>
      </c>
      <c r="F6" s="60"/>
      <c r="G6" s="60"/>
      <c r="H6" s="60"/>
      <c r="I6" s="2" t="s">
        <v>20</v>
      </c>
      <c r="J6" s="60"/>
      <c r="K6" s="60"/>
      <c r="L6" s="60"/>
      <c r="M6" s="60"/>
    </row>
    <row r="7" spans="1:15" s="15" customFormat="1" ht="12.75" customHeight="1" thickBot="1" x14ac:dyDescent="0.25">
      <c r="A7" s="60"/>
      <c r="B7" s="122"/>
      <c r="C7" s="122"/>
      <c r="D7" s="122"/>
      <c r="E7" s="122"/>
      <c r="F7" s="122"/>
      <c r="G7" s="122"/>
      <c r="H7" s="122" t="s">
        <v>8</v>
      </c>
      <c r="I7" s="122"/>
      <c r="J7" s="122"/>
      <c r="K7" s="59"/>
      <c r="L7" s="59"/>
      <c r="M7" s="59"/>
      <c r="N7" s="19"/>
    </row>
    <row r="8" spans="1:15" s="15" customFormat="1" ht="15.75" x14ac:dyDescent="0.3">
      <c r="A8" s="59"/>
      <c r="B8" s="26" t="s">
        <v>30</v>
      </c>
      <c r="C8" s="26"/>
      <c r="D8" s="59"/>
      <c r="E8" s="127" t="s">
        <v>15</v>
      </c>
      <c r="F8" s="128" t="s">
        <v>5</v>
      </c>
      <c r="G8" s="128" t="s">
        <v>4</v>
      </c>
      <c r="H8" s="128" t="s">
        <v>6</v>
      </c>
      <c r="I8" s="128" t="s">
        <v>7</v>
      </c>
      <c r="J8" s="128" t="s">
        <v>16</v>
      </c>
      <c r="K8" s="128" t="s">
        <v>18</v>
      </c>
      <c r="L8" s="129" t="s">
        <v>65</v>
      </c>
      <c r="M8" s="59"/>
      <c r="N8" s="19"/>
      <c r="O8" s="19"/>
    </row>
    <row r="9" spans="1:15" s="15" customFormat="1" ht="15" customHeight="1" thickBot="1" x14ac:dyDescent="0.25">
      <c r="A9" s="59"/>
      <c r="B9" s="59" t="s">
        <v>8</v>
      </c>
      <c r="C9" s="59"/>
      <c r="D9" s="59"/>
      <c r="E9" s="84">
        <f>SUM(E17,E32,E47)</f>
        <v>0.62571428571428567</v>
      </c>
      <c r="F9" s="85">
        <f t="shared" ref="F9:K9" si="0">SUM(F17,F32,F47)</f>
        <v>1.0324285714285713</v>
      </c>
      <c r="G9" s="85">
        <f t="shared" si="0"/>
        <v>0.7977857142857141</v>
      </c>
      <c r="H9" s="85">
        <f t="shared" si="0"/>
        <v>6.6638571428571422E-2</v>
      </c>
      <c r="I9" s="85">
        <f t="shared" si="0"/>
        <v>6.2571428571428562</v>
      </c>
      <c r="J9" s="85">
        <f t="shared" si="0"/>
        <v>1.5642857142857141</v>
      </c>
      <c r="K9" s="85">
        <f t="shared" si="0"/>
        <v>0.10637142857142856</v>
      </c>
      <c r="L9" s="130">
        <f>SUM(L17,L32,L47)</f>
        <v>0.17322899999999999</v>
      </c>
      <c r="M9" s="59"/>
      <c r="N9" s="19"/>
      <c r="O9" s="19"/>
    </row>
    <row r="10" spans="1:15" ht="13.5" thickBot="1" x14ac:dyDescent="0.25">
      <c r="A10" s="60"/>
      <c r="B10" s="60"/>
      <c r="C10" s="60"/>
      <c r="D10" s="60"/>
      <c r="E10" s="60"/>
      <c r="F10" s="60"/>
      <c r="G10" s="60"/>
      <c r="H10" s="60"/>
      <c r="I10" s="60"/>
      <c r="J10" s="60"/>
      <c r="K10" s="60"/>
      <c r="L10" s="60"/>
      <c r="M10" s="60"/>
    </row>
    <row r="11" spans="1:15" ht="13.5" thickTop="1" x14ac:dyDescent="0.2">
      <c r="A11" s="112"/>
      <c r="B11" s="112"/>
      <c r="C11" s="112"/>
      <c r="D11" s="112"/>
      <c r="E11" s="112"/>
      <c r="F11" s="112"/>
      <c r="G11" s="112"/>
      <c r="H11" s="112"/>
      <c r="I11" s="112"/>
      <c r="J11" s="112"/>
      <c r="K11" s="112"/>
      <c r="L11" s="112"/>
      <c r="M11" s="60"/>
    </row>
    <row r="12" spans="1:15" ht="13.5" thickBot="1" x14ac:dyDescent="0.25">
      <c r="A12" s="1" t="s">
        <v>22</v>
      </c>
      <c r="B12" s="1" t="s">
        <v>19</v>
      </c>
      <c r="C12" s="60"/>
      <c r="D12" s="113" t="s">
        <v>73</v>
      </c>
      <c r="E12" s="64" t="str">
        <f>IF(D4&gt;0,"Y","")</f>
        <v/>
      </c>
      <c r="F12" s="60"/>
      <c r="G12" s="60"/>
      <c r="H12" s="60"/>
      <c r="I12" s="60"/>
      <c r="J12" s="60"/>
      <c r="K12" s="60"/>
      <c r="L12" s="60"/>
      <c r="M12" s="60"/>
    </row>
    <row r="13" spans="1:15" s="15" customFormat="1" ht="12.75" customHeight="1" x14ac:dyDescent="0.2">
      <c r="A13" s="60"/>
      <c r="B13" s="119"/>
      <c r="C13" s="111"/>
      <c r="D13" s="111"/>
      <c r="E13" s="111"/>
      <c r="F13" s="111"/>
      <c r="G13" s="111"/>
      <c r="H13" s="111" t="s">
        <v>17</v>
      </c>
      <c r="I13" s="111"/>
      <c r="J13" s="111"/>
      <c r="K13" s="133"/>
      <c r="L13" s="134"/>
      <c r="M13" s="59"/>
      <c r="N13" s="19"/>
    </row>
    <row r="14" spans="1:15" s="15" customFormat="1" ht="15.75" x14ac:dyDescent="0.3">
      <c r="A14" s="59"/>
      <c r="B14" s="109"/>
      <c r="C14" s="59"/>
      <c r="D14" s="59"/>
      <c r="E14" s="66" t="s">
        <v>15</v>
      </c>
      <c r="F14" s="66" t="s">
        <v>12</v>
      </c>
      <c r="G14" s="66" t="s">
        <v>4</v>
      </c>
      <c r="H14" s="66" t="s">
        <v>6</v>
      </c>
      <c r="I14" s="66" t="s">
        <v>7</v>
      </c>
      <c r="J14" s="66" t="s">
        <v>16</v>
      </c>
      <c r="K14" s="66" t="s">
        <v>18</v>
      </c>
      <c r="L14" s="136" t="s">
        <v>65</v>
      </c>
      <c r="M14" s="59"/>
      <c r="N14" s="19"/>
      <c r="O14" s="19"/>
    </row>
    <row r="15" spans="1:15" s="15" customFormat="1" ht="15" customHeight="1" thickBot="1" x14ac:dyDescent="0.25">
      <c r="A15" s="59"/>
      <c r="B15" s="114" t="s">
        <v>69</v>
      </c>
      <c r="C15" s="115"/>
      <c r="D15" s="155"/>
      <c r="E15" s="156">
        <v>7.6</v>
      </c>
      <c r="F15" s="156">
        <v>7.6</v>
      </c>
      <c r="G15" s="156">
        <v>7.6</v>
      </c>
      <c r="H15" s="156">
        <v>0.6</v>
      </c>
      <c r="I15" s="156">
        <v>100</v>
      </c>
      <c r="J15" s="156">
        <v>84</v>
      </c>
      <c r="K15" s="157">
        <v>5.5</v>
      </c>
      <c r="L15" s="158">
        <v>1.8869</v>
      </c>
      <c r="M15" s="59"/>
      <c r="N15" s="19"/>
      <c r="O15" s="19"/>
    </row>
    <row r="16" spans="1:15" s="15" customFormat="1" ht="13.5" thickTop="1" x14ac:dyDescent="0.2">
      <c r="A16" s="59"/>
      <c r="B16" s="109"/>
      <c r="C16" s="59"/>
      <c r="D16" s="59"/>
      <c r="E16" s="132"/>
      <c r="F16" s="132"/>
      <c r="G16" s="132"/>
      <c r="H16" s="132"/>
      <c r="I16" s="132"/>
      <c r="J16" s="132"/>
      <c r="K16" s="132"/>
      <c r="L16" s="154"/>
      <c r="M16" s="59"/>
      <c r="N16" s="19"/>
      <c r="O16" s="19"/>
    </row>
    <row r="17" spans="1:15" s="14" customFormat="1" x14ac:dyDescent="0.2">
      <c r="A17" s="26"/>
      <c r="B17" s="109" t="s">
        <v>24</v>
      </c>
      <c r="C17" s="26"/>
      <c r="D17" s="26"/>
      <c r="E17" s="70">
        <f>IF($E$12="Y",$D$4/1020*E15*8760/2000,0)</f>
        <v>0</v>
      </c>
      <c r="F17" s="70">
        <f t="shared" ref="F17:L17" si="1">IF($E$12="Y",$D$4/1020*F15*8760/2000,0)</f>
        <v>0</v>
      </c>
      <c r="G17" s="70">
        <f t="shared" si="1"/>
        <v>0</v>
      </c>
      <c r="H17" s="70">
        <f t="shared" si="1"/>
        <v>0</v>
      </c>
      <c r="I17" s="70">
        <f t="shared" si="1"/>
        <v>0</v>
      </c>
      <c r="J17" s="70">
        <f t="shared" si="1"/>
        <v>0</v>
      </c>
      <c r="K17" s="70">
        <f t="shared" si="1"/>
        <v>0</v>
      </c>
      <c r="L17" s="110">
        <f t="shared" si="1"/>
        <v>0</v>
      </c>
      <c r="M17" s="26"/>
      <c r="N17" s="20"/>
      <c r="O17" s="20"/>
    </row>
    <row r="18" spans="1:15" s="15" customFormat="1" ht="13.5" thickBot="1" x14ac:dyDescent="0.25">
      <c r="A18" s="59"/>
      <c r="B18" s="116"/>
      <c r="C18" s="117"/>
      <c r="D18" s="117"/>
      <c r="E18" s="135"/>
      <c r="F18" s="118"/>
      <c r="G18" s="118"/>
      <c r="H18" s="118" t="s">
        <v>8</v>
      </c>
      <c r="I18" s="118"/>
      <c r="J18" s="118"/>
      <c r="K18" s="118"/>
      <c r="L18" s="120"/>
      <c r="M18" s="59"/>
      <c r="N18" s="19"/>
      <c r="O18" s="19"/>
    </row>
    <row r="19" spans="1:15" s="15" customFormat="1" x14ac:dyDescent="0.2">
      <c r="A19" s="60"/>
      <c r="B19" s="26" t="s">
        <v>10</v>
      </c>
      <c r="C19" s="59"/>
      <c r="D19" s="59"/>
      <c r="E19" s="121"/>
      <c r="F19" s="122"/>
      <c r="G19" s="122"/>
      <c r="H19" s="122"/>
      <c r="I19" s="122"/>
      <c r="J19" s="122"/>
      <c r="K19" s="122"/>
      <c r="L19" s="59"/>
      <c r="M19" s="59"/>
      <c r="N19" s="19"/>
      <c r="O19" s="19"/>
    </row>
    <row r="20" spans="1:15" s="15" customFormat="1" x14ac:dyDescent="0.2">
      <c r="A20" s="60"/>
      <c r="B20" s="59" t="s">
        <v>76</v>
      </c>
      <c r="C20" s="59"/>
      <c r="D20" s="59"/>
      <c r="E20" s="121"/>
      <c r="F20" s="122"/>
      <c r="G20" s="122"/>
      <c r="H20" s="122"/>
      <c r="I20" s="122"/>
      <c r="J20" s="122"/>
      <c r="K20" s="122"/>
      <c r="L20" s="59"/>
      <c r="M20" s="59"/>
      <c r="N20" s="19"/>
      <c r="O20" s="19"/>
    </row>
    <row r="21" spans="1:15" s="15" customFormat="1" ht="15.75" x14ac:dyDescent="0.3">
      <c r="A21" s="60"/>
      <c r="B21" s="60" t="s">
        <v>72</v>
      </c>
      <c r="C21" s="60"/>
      <c r="D21" s="60"/>
      <c r="E21" s="60"/>
      <c r="F21" s="60"/>
      <c r="G21" s="60"/>
      <c r="H21" s="60"/>
      <c r="I21" s="60"/>
      <c r="J21" s="60"/>
      <c r="K21" s="60"/>
      <c r="L21" s="60"/>
      <c r="M21" s="60"/>
    </row>
    <row r="22" spans="1:15" s="15" customFormat="1" x14ac:dyDescent="0.2">
      <c r="A22" s="60"/>
      <c r="B22" s="60"/>
      <c r="C22" s="60"/>
      <c r="D22" s="60"/>
      <c r="E22" s="60"/>
      <c r="F22" s="60"/>
      <c r="G22" s="60"/>
      <c r="H22" s="60"/>
      <c r="I22" s="60"/>
      <c r="J22" s="60"/>
      <c r="K22" s="60"/>
      <c r="L22" s="60"/>
      <c r="M22" s="60"/>
    </row>
    <row r="23" spans="1:15" s="15" customFormat="1" x14ac:dyDescent="0.2">
      <c r="A23" s="60"/>
      <c r="B23" s="1" t="s">
        <v>9</v>
      </c>
      <c r="C23" s="60"/>
      <c r="D23" s="60"/>
      <c r="E23" s="60"/>
      <c r="F23" s="60"/>
      <c r="G23" s="60"/>
      <c r="H23" s="60"/>
      <c r="I23" s="60"/>
      <c r="J23" s="60"/>
      <c r="K23" s="60"/>
      <c r="L23" s="60"/>
      <c r="M23" s="60"/>
    </row>
    <row r="24" spans="1:15" s="15" customFormat="1" x14ac:dyDescent="0.2">
      <c r="A24" s="60"/>
      <c r="B24" s="60" t="s">
        <v>25</v>
      </c>
      <c r="C24" s="60"/>
      <c r="D24" s="60"/>
      <c r="E24" s="60"/>
      <c r="F24" s="60"/>
      <c r="G24" s="60"/>
      <c r="H24" s="60"/>
      <c r="I24" s="60"/>
      <c r="J24" s="60"/>
      <c r="K24" s="60"/>
      <c r="L24" s="60"/>
      <c r="M24" s="60"/>
    </row>
    <row r="25" spans="1:15" s="15" customFormat="1" x14ac:dyDescent="0.2">
      <c r="A25" s="60"/>
      <c r="B25" s="60"/>
      <c r="C25" s="60"/>
      <c r="D25" s="60"/>
      <c r="E25" s="60"/>
      <c r="F25" s="60"/>
      <c r="G25" s="60"/>
      <c r="H25" s="60"/>
      <c r="I25" s="60"/>
      <c r="J25" s="60"/>
      <c r="K25" s="60"/>
      <c r="L25" s="60"/>
      <c r="M25" s="60"/>
    </row>
    <row r="26" spans="1:15" x14ac:dyDescent="0.2">
      <c r="A26" s="60"/>
      <c r="B26" s="60"/>
      <c r="C26" s="60"/>
      <c r="D26" s="60"/>
      <c r="E26" s="60"/>
      <c r="F26" s="60"/>
      <c r="G26" s="60"/>
      <c r="H26" s="60"/>
      <c r="I26" s="60"/>
      <c r="J26" s="60"/>
      <c r="K26" s="60"/>
      <c r="L26" s="60"/>
      <c r="M26" s="60"/>
    </row>
    <row r="27" spans="1:15" ht="13.5" thickBot="1" x14ac:dyDescent="0.25">
      <c r="A27" s="1" t="s">
        <v>22</v>
      </c>
      <c r="B27" s="1" t="s">
        <v>26</v>
      </c>
      <c r="C27" s="60"/>
      <c r="D27" s="113" t="s">
        <v>73</v>
      </c>
      <c r="E27" s="64" t="str">
        <f>IF(D5&gt;0,"Y","")</f>
        <v/>
      </c>
      <c r="F27" s="60"/>
      <c r="G27" s="60" t="s">
        <v>27</v>
      </c>
      <c r="H27" s="60"/>
      <c r="I27" s="138">
        <f>'5222018'!G33</f>
        <v>1.5E-3</v>
      </c>
      <c r="J27" s="60" t="s">
        <v>0</v>
      </c>
      <c r="K27" s="60"/>
      <c r="L27" s="60"/>
      <c r="M27" s="60"/>
    </row>
    <row r="28" spans="1:15" s="15" customFormat="1" ht="12.75" customHeight="1" x14ac:dyDescent="0.2">
      <c r="A28" s="60"/>
      <c r="B28" s="119"/>
      <c r="C28" s="111"/>
      <c r="D28" s="111"/>
      <c r="E28" s="111"/>
      <c r="F28" s="111"/>
      <c r="G28" s="111"/>
      <c r="H28" s="111" t="s">
        <v>17</v>
      </c>
      <c r="I28" s="111"/>
      <c r="J28" s="111"/>
      <c r="K28" s="133"/>
      <c r="L28" s="134"/>
      <c r="M28" s="59"/>
      <c r="N28" s="19"/>
    </row>
    <row r="29" spans="1:15" s="15" customFormat="1" ht="15.75" x14ac:dyDescent="0.3">
      <c r="A29" s="59"/>
      <c r="B29" s="109"/>
      <c r="C29" s="59"/>
      <c r="D29" s="59"/>
      <c r="E29" s="66" t="s">
        <v>15</v>
      </c>
      <c r="F29" s="66" t="s">
        <v>12</v>
      </c>
      <c r="G29" s="66" t="s">
        <v>4</v>
      </c>
      <c r="H29" s="66" t="s">
        <v>6</v>
      </c>
      <c r="I29" s="66" t="s">
        <v>7</v>
      </c>
      <c r="J29" s="66" t="s">
        <v>16</v>
      </c>
      <c r="K29" s="66" t="s">
        <v>18</v>
      </c>
      <c r="L29" s="136" t="s">
        <v>65</v>
      </c>
      <c r="M29" s="59"/>
      <c r="N29" s="19"/>
      <c r="O29" s="19"/>
    </row>
    <row r="30" spans="1:15" s="15" customFormat="1" ht="15" customHeight="1" thickBot="1" x14ac:dyDescent="0.25">
      <c r="A30" s="59"/>
      <c r="B30" s="114" t="s">
        <v>70</v>
      </c>
      <c r="C30" s="115"/>
      <c r="D30" s="155"/>
      <c r="E30" s="156">
        <v>0.7</v>
      </c>
      <c r="F30" s="156">
        <v>0.7</v>
      </c>
      <c r="G30" s="156">
        <v>0.7</v>
      </c>
      <c r="H30" s="156">
        <f>0.1*I27</f>
        <v>1.5000000000000001E-4</v>
      </c>
      <c r="I30" s="156">
        <v>13</v>
      </c>
      <c r="J30" s="156">
        <v>7.5</v>
      </c>
      <c r="K30" s="157">
        <v>1</v>
      </c>
      <c r="L30" s="159"/>
      <c r="M30" s="59"/>
      <c r="N30" s="19"/>
      <c r="O30" s="19"/>
    </row>
    <row r="31" spans="1:15" s="15" customFormat="1" ht="13.5" thickTop="1" x14ac:dyDescent="0.2">
      <c r="A31" s="59"/>
      <c r="B31" s="109"/>
      <c r="C31" s="59"/>
      <c r="D31" s="59"/>
      <c r="E31" s="132"/>
      <c r="F31" s="132"/>
      <c r="G31" s="132"/>
      <c r="H31" s="132"/>
      <c r="I31" s="132"/>
      <c r="J31" s="132"/>
      <c r="K31" s="132"/>
      <c r="L31" s="154"/>
      <c r="M31" s="59"/>
      <c r="N31" s="19"/>
      <c r="O31" s="19"/>
    </row>
    <row r="32" spans="1:15" s="14" customFormat="1" x14ac:dyDescent="0.2">
      <c r="A32" s="26"/>
      <c r="B32" s="109" t="s">
        <v>24</v>
      </c>
      <c r="C32" s="26"/>
      <c r="D32" s="26"/>
      <c r="E32" s="70">
        <f>IF($E$27="Y",$D$5/91.5*E30*8760/2000,0)</f>
        <v>0</v>
      </c>
      <c r="F32" s="70">
        <f t="shared" ref="F32:L32" si="2">IF($E$27="Y",$D$5/91.5*F30*8760/2000,0)</f>
        <v>0</v>
      </c>
      <c r="G32" s="70">
        <f t="shared" si="2"/>
        <v>0</v>
      </c>
      <c r="H32" s="70">
        <f t="shared" si="2"/>
        <v>0</v>
      </c>
      <c r="I32" s="70">
        <f t="shared" si="2"/>
        <v>0</v>
      </c>
      <c r="J32" s="70">
        <f t="shared" si="2"/>
        <v>0</v>
      </c>
      <c r="K32" s="70">
        <f t="shared" si="2"/>
        <v>0</v>
      </c>
      <c r="L32" s="110">
        <f t="shared" si="2"/>
        <v>0</v>
      </c>
      <c r="M32" s="26"/>
      <c r="N32" s="20"/>
      <c r="O32" s="20"/>
    </row>
    <row r="33" spans="1:15" s="15" customFormat="1" ht="13.5" thickBot="1" x14ac:dyDescent="0.25">
      <c r="A33" s="59"/>
      <c r="B33" s="116"/>
      <c r="C33" s="117"/>
      <c r="D33" s="117"/>
      <c r="E33" s="135"/>
      <c r="F33" s="118"/>
      <c r="G33" s="118"/>
      <c r="H33" s="118" t="s">
        <v>8</v>
      </c>
      <c r="I33" s="118"/>
      <c r="J33" s="118"/>
      <c r="K33" s="118"/>
      <c r="L33" s="120"/>
      <c r="M33" s="59"/>
      <c r="N33" s="19"/>
      <c r="O33" s="19"/>
    </row>
    <row r="34" spans="1:15" s="15" customFormat="1" x14ac:dyDescent="0.2">
      <c r="A34" s="60"/>
      <c r="B34" s="26" t="s">
        <v>10</v>
      </c>
      <c r="C34" s="59"/>
      <c r="D34" s="59"/>
      <c r="E34" s="121"/>
      <c r="F34" s="122"/>
      <c r="G34" s="122"/>
      <c r="H34" s="122"/>
      <c r="I34" s="122"/>
      <c r="J34" s="122"/>
      <c r="K34" s="122"/>
      <c r="L34" s="59"/>
      <c r="M34" s="59"/>
      <c r="N34" s="19"/>
      <c r="O34" s="19"/>
    </row>
    <row r="35" spans="1:15" s="15" customFormat="1" x14ac:dyDescent="0.2">
      <c r="A35" s="60"/>
      <c r="B35" s="59" t="s">
        <v>32</v>
      </c>
      <c r="C35" s="59"/>
      <c r="D35" s="59"/>
      <c r="E35" s="121"/>
      <c r="F35" s="122"/>
      <c r="G35" s="122"/>
      <c r="H35" s="122"/>
      <c r="I35" s="122"/>
      <c r="J35" s="122"/>
      <c r="K35" s="122"/>
      <c r="L35" s="59"/>
      <c r="M35" s="59"/>
      <c r="N35" s="19"/>
      <c r="O35" s="19"/>
    </row>
    <row r="36" spans="1:15" s="15" customFormat="1" ht="15.75" x14ac:dyDescent="0.3">
      <c r="A36" s="60"/>
      <c r="B36" s="60" t="s">
        <v>72</v>
      </c>
      <c r="C36" s="60"/>
      <c r="D36" s="60"/>
      <c r="E36" s="60"/>
      <c r="F36" s="60"/>
      <c r="G36" s="60"/>
      <c r="H36" s="60"/>
      <c r="I36" s="60"/>
      <c r="J36" s="60"/>
      <c r="K36" s="60"/>
      <c r="L36" s="60"/>
      <c r="M36" s="60"/>
    </row>
    <row r="37" spans="1:15" s="15" customFormat="1" x14ac:dyDescent="0.2">
      <c r="A37" s="60"/>
      <c r="B37" s="60"/>
      <c r="C37" s="60"/>
      <c r="D37" s="60"/>
      <c r="E37" s="60"/>
      <c r="F37" s="60"/>
      <c r="G37" s="60"/>
      <c r="H37" s="60"/>
      <c r="I37" s="60"/>
      <c r="J37" s="60"/>
      <c r="K37" s="60"/>
      <c r="L37" s="60"/>
      <c r="M37" s="60"/>
    </row>
    <row r="38" spans="1:15" s="15" customFormat="1" x14ac:dyDescent="0.2">
      <c r="A38" s="60"/>
      <c r="B38" s="1" t="s">
        <v>9</v>
      </c>
      <c r="C38" s="60"/>
      <c r="D38" s="60"/>
      <c r="E38" s="60"/>
      <c r="F38" s="60"/>
      <c r="G38" s="60"/>
      <c r="H38" s="60"/>
      <c r="I38" s="60"/>
      <c r="J38" s="60"/>
      <c r="K38" s="60"/>
      <c r="L38" s="60"/>
      <c r="M38" s="60"/>
    </row>
    <row r="39" spans="1:15" s="15" customFormat="1" x14ac:dyDescent="0.2">
      <c r="A39" s="60"/>
      <c r="B39" s="60" t="s">
        <v>28</v>
      </c>
      <c r="C39" s="60"/>
      <c r="D39" s="60"/>
      <c r="E39" s="60"/>
      <c r="F39" s="60"/>
      <c r="G39" s="60"/>
      <c r="H39" s="60"/>
      <c r="I39" s="60"/>
      <c r="J39" s="60"/>
      <c r="K39" s="60"/>
      <c r="L39" s="60"/>
      <c r="M39" s="60"/>
    </row>
    <row r="40" spans="1:15" x14ac:dyDescent="0.2">
      <c r="A40" s="60"/>
      <c r="B40" s="60"/>
      <c r="C40" s="60"/>
      <c r="D40" s="60"/>
      <c r="E40" s="60"/>
      <c r="F40" s="60"/>
      <c r="G40" s="60"/>
      <c r="H40" s="60"/>
      <c r="I40" s="60"/>
      <c r="J40" s="60"/>
      <c r="K40" s="60"/>
      <c r="L40" s="60"/>
      <c r="M40" s="60"/>
    </row>
    <row r="41" spans="1:15" x14ac:dyDescent="0.2">
      <c r="A41" s="60"/>
      <c r="B41" s="60"/>
      <c r="C41" s="60"/>
      <c r="D41" s="60"/>
      <c r="E41" s="60"/>
      <c r="F41" s="60"/>
      <c r="G41" s="60"/>
      <c r="H41" s="60"/>
      <c r="I41" s="60"/>
      <c r="J41" s="60"/>
      <c r="K41" s="60"/>
      <c r="L41" s="60"/>
      <c r="M41" s="60"/>
    </row>
    <row r="42" spans="1:15" ht="13.5" thickBot="1" x14ac:dyDescent="0.25">
      <c r="A42" s="1" t="s">
        <v>22</v>
      </c>
      <c r="B42" s="1" t="s">
        <v>68</v>
      </c>
      <c r="C42" s="60"/>
      <c r="D42" s="113" t="s">
        <v>73</v>
      </c>
      <c r="E42" s="64" t="str">
        <f>IF(D6&gt;0,"Y","")</f>
        <v>Y</v>
      </c>
      <c r="F42" s="60"/>
      <c r="G42" s="60" t="s">
        <v>27</v>
      </c>
      <c r="H42" s="60"/>
      <c r="I42" s="138">
        <f>'5222018'!G34</f>
        <v>1.5E-3</v>
      </c>
      <c r="J42" s="60" t="s">
        <v>0</v>
      </c>
      <c r="K42" s="60"/>
      <c r="L42" s="60"/>
      <c r="M42" s="60"/>
    </row>
    <row r="43" spans="1:15" s="15" customFormat="1" ht="12.75" customHeight="1" x14ac:dyDescent="0.2">
      <c r="A43" s="60"/>
      <c r="B43" s="119"/>
      <c r="C43" s="111"/>
      <c r="D43" s="111"/>
      <c r="E43" s="111"/>
      <c r="F43" s="111"/>
      <c r="G43" s="111"/>
      <c r="H43" s="111" t="s">
        <v>17</v>
      </c>
      <c r="I43" s="111"/>
      <c r="J43" s="111"/>
      <c r="K43" s="133"/>
      <c r="L43" s="134"/>
      <c r="M43" s="59"/>
      <c r="N43" s="19"/>
    </row>
    <row r="44" spans="1:15" s="15" customFormat="1" ht="15.75" x14ac:dyDescent="0.2">
      <c r="A44" s="59"/>
      <c r="B44" s="109"/>
      <c r="C44" s="59"/>
      <c r="D44" s="59"/>
      <c r="E44" s="126" t="s">
        <v>36</v>
      </c>
      <c r="F44" s="126" t="s">
        <v>5</v>
      </c>
      <c r="G44" s="126" t="s">
        <v>4</v>
      </c>
      <c r="H44" s="126" t="s">
        <v>6</v>
      </c>
      <c r="I44" s="126" t="s">
        <v>7</v>
      </c>
      <c r="J44" s="126" t="s">
        <v>16</v>
      </c>
      <c r="K44" s="126" t="s">
        <v>18</v>
      </c>
      <c r="L44" s="87" t="s">
        <v>65</v>
      </c>
      <c r="M44" s="59"/>
      <c r="N44" s="19"/>
      <c r="O44" s="19"/>
    </row>
    <row r="45" spans="1:15" s="15" customFormat="1" ht="15" customHeight="1" thickBot="1" x14ac:dyDescent="0.25">
      <c r="A45" s="59"/>
      <c r="B45" s="114" t="s">
        <v>71</v>
      </c>
      <c r="C45" s="115"/>
      <c r="D45" s="115"/>
      <c r="E45" s="160">
        <v>2</v>
      </c>
      <c r="F45" s="161">
        <v>3.3</v>
      </c>
      <c r="G45" s="161">
        <v>2.5499999999999998</v>
      </c>
      <c r="H45" s="161">
        <f>142*I42</f>
        <v>0.21299999999999999</v>
      </c>
      <c r="I45" s="161">
        <v>20</v>
      </c>
      <c r="J45" s="160">
        <v>5</v>
      </c>
      <c r="K45" s="162">
        <v>0.34</v>
      </c>
      <c r="L45" s="163">
        <v>0.55369999999999997</v>
      </c>
      <c r="M45" s="59"/>
      <c r="N45" s="19"/>
      <c r="O45" s="19"/>
    </row>
    <row r="46" spans="1:15" s="15" customFormat="1" ht="13.5" thickTop="1" x14ac:dyDescent="0.2">
      <c r="A46" s="59"/>
      <c r="B46" s="109"/>
      <c r="C46" s="59"/>
      <c r="D46" s="59"/>
      <c r="E46" s="132"/>
      <c r="F46" s="132"/>
      <c r="G46" s="132"/>
      <c r="H46" s="132"/>
      <c r="I46" s="132"/>
      <c r="J46" s="132"/>
      <c r="K46" s="132"/>
      <c r="L46" s="154"/>
      <c r="M46" s="59"/>
      <c r="N46" s="19"/>
      <c r="O46" s="19"/>
    </row>
    <row r="47" spans="1:15" s="14" customFormat="1" x14ac:dyDescent="0.2">
      <c r="A47" s="26"/>
      <c r="B47" s="109" t="s">
        <v>24</v>
      </c>
      <c r="C47" s="26"/>
      <c r="D47" s="26"/>
      <c r="E47" s="70">
        <f>IF($E$42="Y",$D$6/140*E45*8760/2000,0)</f>
        <v>0.62571428571428567</v>
      </c>
      <c r="F47" s="70">
        <f t="shared" ref="F47:L47" si="3">IF($E$42="Y",$D$6/140*F45*8760/2000,0)</f>
        <v>1.0324285714285713</v>
      </c>
      <c r="G47" s="70">
        <f t="shared" si="3"/>
        <v>0.7977857142857141</v>
      </c>
      <c r="H47" s="70">
        <f t="shared" si="3"/>
        <v>6.6638571428571422E-2</v>
      </c>
      <c r="I47" s="70">
        <f t="shared" si="3"/>
        <v>6.2571428571428562</v>
      </c>
      <c r="J47" s="70">
        <f t="shared" si="3"/>
        <v>1.5642857142857141</v>
      </c>
      <c r="K47" s="70">
        <f t="shared" si="3"/>
        <v>0.10637142857142856</v>
      </c>
      <c r="L47" s="110">
        <f t="shared" si="3"/>
        <v>0.17322899999999999</v>
      </c>
      <c r="M47" s="26"/>
      <c r="N47" s="20"/>
      <c r="O47" s="20"/>
    </row>
    <row r="48" spans="1:15" s="15" customFormat="1" ht="13.5" thickBot="1" x14ac:dyDescent="0.25">
      <c r="A48" s="59"/>
      <c r="B48" s="116"/>
      <c r="C48" s="117"/>
      <c r="D48" s="117"/>
      <c r="E48" s="135"/>
      <c r="F48" s="118"/>
      <c r="G48" s="118"/>
      <c r="H48" s="118" t="s">
        <v>8</v>
      </c>
      <c r="I48" s="118"/>
      <c r="J48" s="118"/>
      <c r="K48" s="118"/>
      <c r="L48" s="120"/>
      <c r="M48" s="59"/>
      <c r="N48" s="19"/>
      <c r="O48" s="19"/>
    </row>
    <row r="49" spans="1:15" s="15" customFormat="1" x14ac:dyDescent="0.2">
      <c r="A49" s="60"/>
      <c r="B49" s="26" t="s">
        <v>10</v>
      </c>
      <c r="C49" s="59"/>
      <c r="D49" s="59"/>
      <c r="E49" s="121"/>
      <c r="F49" s="122"/>
      <c r="G49" s="122"/>
      <c r="H49" s="122"/>
      <c r="I49" s="122"/>
      <c r="J49" s="122"/>
      <c r="K49" s="122"/>
      <c r="L49" s="59"/>
      <c r="M49" s="59"/>
      <c r="N49" s="19"/>
      <c r="O49" s="19"/>
    </row>
    <row r="50" spans="1:15" s="15" customFormat="1" x14ac:dyDescent="0.2">
      <c r="A50" s="60"/>
      <c r="B50" s="59" t="s">
        <v>75</v>
      </c>
      <c r="C50" s="59"/>
      <c r="D50" s="59"/>
      <c r="E50" s="121"/>
      <c r="F50" s="122"/>
      <c r="G50" s="122"/>
      <c r="H50" s="122"/>
      <c r="I50" s="122"/>
      <c r="J50" s="122"/>
      <c r="K50" s="122"/>
      <c r="L50" s="59"/>
      <c r="M50" s="59"/>
      <c r="N50" s="19"/>
      <c r="O50" s="19"/>
    </row>
    <row r="51" spans="1:15" s="15" customFormat="1" x14ac:dyDescent="0.2">
      <c r="A51" s="60"/>
      <c r="B51" s="60" t="s">
        <v>44</v>
      </c>
      <c r="C51" s="60"/>
      <c r="D51" s="60"/>
      <c r="E51" s="60"/>
      <c r="F51" s="60"/>
      <c r="G51" s="60"/>
      <c r="H51" s="60"/>
      <c r="I51" s="60"/>
      <c r="J51" s="60"/>
      <c r="K51" s="59"/>
      <c r="L51" s="59"/>
      <c r="M51" s="59"/>
      <c r="N51" s="19"/>
    </row>
    <row r="52" spans="1:15" s="15" customFormat="1" x14ac:dyDescent="0.2">
      <c r="A52" s="60"/>
      <c r="B52" s="60"/>
      <c r="C52" s="60"/>
      <c r="D52" s="60"/>
      <c r="E52" s="60"/>
      <c r="F52" s="60"/>
      <c r="G52" s="60"/>
      <c r="H52" s="60"/>
      <c r="I52" s="60"/>
      <c r="J52" s="60"/>
      <c r="K52" s="60"/>
      <c r="L52" s="60"/>
      <c r="M52" s="60"/>
    </row>
    <row r="53" spans="1:15" s="15" customFormat="1" x14ac:dyDescent="0.2">
      <c r="A53" s="60"/>
      <c r="B53" s="1" t="s">
        <v>9</v>
      </c>
      <c r="C53" s="60"/>
      <c r="D53" s="60"/>
      <c r="E53" s="60"/>
      <c r="F53" s="60"/>
      <c r="G53" s="60"/>
      <c r="H53" s="60"/>
      <c r="I53" s="60"/>
      <c r="J53" s="60"/>
      <c r="K53" s="60"/>
      <c r="L53" s="60"/>
      <c r="M53" s="60"/>
    </row>
    <row r="54" spans="1:15" s="15" customFormat="1" x14ac:dyDescent="0.2">
      <c r="A54" s="60"/>
      <c r="B54" s="60" t="s">
        <v>29</v>
      </c>
      <c r="C54" s="60"/>
      <c r="D54" s="60"/>
      <c r="E54" s="60"/>
      <c r="F54" s="60"/>
      <c r="G54" s="60"/>
      <c r="H54" s="60"/>
      <c r="I54" s="60"/>
      <c r="J54" s="60"/>
      <c r="K54" s="60"/>
      <c r="L54" s="60"/>
      <c r="M54" s="60"/>
    </row>
    <row r="55" spans="1:15" x14ac:dyDescent="0.2">
      <c r="A55" s="60"/>
      <c r="B55" s="60"/>
      <c r="C55" s="60"/>
      <c r="D55" s="60"/>
      <c r="E55" s="60"/>
      <c r="F55" s="60"/>
      <c r="G55" s="60"/>
      <c r="H55" s="60"/>
      <c r="I55" s="60"/>
      <c r="J55" s="60"/>
      <c r="K55" s="60"/>
      <c r="L55" s="60"/>
      <c r="M55" s="60"/>
    </row>
    <row r="56" spans="1:15" x14ac:dyDescent="0.2">
      <c r="A56" s="60"/>
      <c r="B56" s="60"/>
      <c r="C56" s="60"/>
      <c r="D56" s="60"/>
      <c r="E56" s="60"/>
      <c r="F56" s="60"/>
      <c r="G56" s="60"/>
      <c r="H56" s="60"/>
      <c r="I56" s="60"/>
      <c r="J56" s="60"/>
      <c r="K56" s="60"/>
      <c r="L56" s="60"/>
      <c r="M56" s="60"/>
    </row>
  </sheetData>
  <mergeCells count="3">
    <mergeCell ref="A1:M1"/>
    <mergeCell ref="A2:M2"/>
    <mergeCell ref="A3:M3"/>
  </mergeCells>
  <phoneticPr fontId="2"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9"/>
  <sheetViews>
    <sheetView workbookViewId="0">
      <selection activeCell="A3" sqref="A3:L3"/>
    </sheetView>
  </sheetViews>
  <sheetFormatPr defaultColWidth="8.7109375" defaultRowHeight="12.75" x14ac:dyDescent="0.2"/>
  <cols>
    <col min="1" max="1" width="18.85546875" customWidth="1"/>
    <col min="2" max="2" width="14.28515625" customWidth="1"/>
    <col min="3" max="3" width="10.28515625" customWidth="1"/>
    <col min="5" max="5" width="10.28515625" customWidth="1"/>
    <col min="12" max="12" width="12.42578125" customWidth="1"/>
  </cols>
  <sheetData>
    <row r="1" spans="1:17" s="58" customFormat="1" ht="20.25" x14ac:dyDescent="0.3">
      <c r="A1" s="341" t="str">
        <f>'5222018'!A1</f>
        <v>Potential To Emit Calculator for Concrete Batch Plants</v>
      </c>
      <c r="B1" s="341"/>
      <c r="C1" s="341"/>
      <c r="D1" s="341"/>
      <c r="E1" s="341"/>
      <c r="F1" s="341"/>
      <c r="G1" s="341"/>
      <c r="H1" s="341"/>
      <c r="I1" s="341"/>
      <c r="J1" s="341"/>
      <c r="K1" s="341"/>
      <c r="L1" s="341"/>
      <c r="M1" s="311"/>
      <c r="N1" s="9"/>
      <c r="O1" s="9"/>
    </row>
    <row r="2" spans="1:17" s="58" customFormat="1" x14ac:dyDescent="0.2">
      <c r="A2" s="345">
        <v>43242</v>
      </c>
      <c r="B2" s="345"/>
      <c r="C2" s="345"/>
      <c r="D2" s="345"/>
      <c r="E2" s="345"/>
      <c r="F2" s="345"/>
      <c r="G2" s="345"/>
      <c r="H2" s="345"/>
      <c r="I2" s="345"/>
      <c r="J2" s="345"/>
      <c r="K2" s="345"/>
      <c r="L2" s="345"/>
      <c r="M2" s="10"/>
      <c r="N2" s="10"/>
      <c r="O2" s="10"/>
      <c r="P2" s="10"/>
      <c r="Q2" s="10"/>
    </row>
    <row r="3" spans="1:17" ht="13.35" customHeight="1" x14ac:dyDescent="0.25">
      <c r="A3" s="369" t="s">
        <v>248</v>
      </c>
      <c r="B3" s="369"/>
      <c r="C3" s="369"/>
      <c r="D3" s="369"/>
      <c r="E3" s="369"/>
      <c r="F3" s="369"/>
      <c r="G3" s="369"/>
      <c r="H3" s="369"/>
      <c r="I3" s="369"/>
      <c r="J3" s="369"/>
      <c r="K3" s="369"/>
      <c r="L3" s="369"/>
    </row>
    <row r="4" spans="1:17" ht="15.75" x14ac:dyDescent="0.25">
      <c r="B4" s="13"/>
    </row>
    <row r="5" spans="1:17" x14ac:dyDescent="0.2">
      <c r="A5" s="374" t="s">
        <v>54</v>
      </c>
      <c r="B5" s="374"/>
      <c r="C5" s="374"/>
      <c r="D5" s="64">
        <f>'5222018'!C35</f>
        <v>750</v>
      </c>
      <c r="E5" s="3" t="s">
        <v>35</v>
      </c>
      <c r="I5" s="5" t="s">
        <v>1</v>
      </c>
    </row>
    <row r="6" spans="1:17" x14ac:dyDescent="0.2">
      <c r="A6" s="374"/>
      <c r="B6" s="374"/>
      <c r="C6" s="374"/>
      <c r="D6" s="64"/>
      <c r="E6" s="3"/>
      <c r="I6" s="2" t="s">
        <v>20</v>
      </c>
    </row>
    <row r="7" spans="1:17" ht="13.5" thickBot="1" x14ac:dyDescent="0.25">
      <c r="A7" s="3"/>
      <c r="C7" s="11"/>
      <c r="D7" s="3"/>
      <c r="I7" s="5"/>
    </row>
    <row r="8" spans="1:17" s="15" customFormat="1" ht="15.75" x14ac:dyDescent="0.2">
      <c r="A8" s="19"/>
      <c r="B8" s="26" t="s">
        <v>30</v>
      </c>
      <c r="C8" s="26"/>
      <c r="D8" s="8"/>
      <c r="E8" s="82" t="s">
        <v>15</v>
      </c>
      <c r="F8" s="83" t="s">
        <v>5</v>
      </c>
      <c r="G8" s="83" t="s">
        <v>4</v>
      </c>
      <c r="H8" s="83" t="s">
        <v>6</v>
      </c>
      <c r="I8" s="83" t="s">
        <v>7</v>
      </c>
      <c r="J8" s="83" t="s">
        <v>16</v>
      </c>
      <c r="K8" s="83" t="s">
        <v>18</v>
      </c>
      <c r="L8" s="89" t="s">
        <v>65</v>
      </c>
      <c r="M8" s="19"/>
      <c r="N8" s="19"/>
      <c r="O8" s="19"/>
    </row>
    <row r="9" spans="1:17" s="15" customFormat="1" ht="15" customHeight="1" thickBot="1" x14ac:dyDescent="0.25">
      <c r="A9" s="19"/>
      <c r="B9" s="8" t="s">
        <v>8</v>
      </c>
      <c r="C9" s="8"/>
      <c r="D9" s="8"/>
      <c r="E9" s="84">
        <f>MAX(E17,E33)+E49</f>
        <v>2.2995000000000001</v>
      </c>
      <c r="F9" s="85">
        <f t="shared" ref="F9:K9" si="0">MAX(F17,F33)+F49</f>
        <v>2.2995000000000001</v>
      </c>
      <c r="G9" s="85">
        <f t="shared" si="0"/>
        <v>2.2995000000000001</v>
      </c>
      <c r="H9" s="85">
        <f t="shared" si="0"/>
        <v>3.9863475000000002E-2</v>
      </c>
      <c r="I9" s="85">
        <f t="shared" si="0"/>
        <v>78.84</v>
      </c>
      <c r="J9" s="85">
        <f t="shared" si="0"/>
        <v>18.067499999999999</v>
      </c>
      <c r="K9" s="85">
        <f t="shared" si="0"/>
        <v>2.315925</v>
      </c>
      <c r="L9" s="86">
        <f>MAX(L17,L33)</f>
        <v>9.8464130100000005E-2</v>
      </c>
      <c r="M9" s="19"/>
      <c r="N9" s="19"/>
      <c r="O9" s="19"/>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39</v>
      </c>
      <c r="B12" s="1" t="s">
        <v>40</v>
      </c>
      <c r="D12" s="51" t="s">
        <v>23</v>
      </c>
      <c r="E12" s="11" t="str">
        <f>IF(D5&gt;600,"No","Yes")</f>
        <v>No</v>
      </c>
      <c r="F12" s="11"/>
      <c r="G12" s="3" t="s">
        <v>8</v>
      </c>
      <c r="H12" s="3" t="s">
        <v>8</v>
      </c>
      <c r="I12" s="49"/>
      <c r="J12" s="50" t="s">
        <v>8</v>
      </c>
    </row>
    <row r="13" spans="1:17" s="15" customFormat="1" ht="12.75" customHeight="1" x14ac:dyDescent="0.2">
      <c r="B13" s="73"/>
      <c r="C13" s="74"/>
      <c r="D13" s="74"/>
      <c r="E13" s="73"/>
      <c r="F13" s="74"/>
      <c r="G13" s="74"/>
      <c r="H13" s="74" t="s">
        <v>17</v>
      </c>
      <c r="I13" s="74"/>
      <c r="J13" s="74"/>
      <c r="K13" s="75"/>
      <c r="L13" s="76"/>
      <c r="M13" s="19"/>
      <c r="N13" s="19"/>
    </row>
    <row r="14" spans="1:17" s="15" customFormat="1" ht="15.75" x14ac:dyDescent="0.2">
      <c r="A14" s="19"/>
      <c r="B14" s="77"/>
      <c r="C14" s="8"/>
      <c r="D14" s="8"/>
      <c r="E14" s="67" t="s">
        <v>36</v>
      </c>
      <c r="F14" s="68" t="s">
        <v>5</v>
      </c>
      <c r="G14" s="68" t="s">
        <v>13</v>
      </c>
      <c r="H14" s="68" t="s">
        <v>6</v>
      </c>
      <c r="I14" s="68" t="s">
        <v>7</v>
      </c>
      <c r="J14" s="68" t="s">
        <v>16</v>
      </c>
      <c r="K14" s="68" t="s">
        <v>11</v>
      </c>
      <c r="L14" s="87" t="s">
        <v>65</v>
      </c>
      <c r="M14" s="19"/>
      <c r="N14" s="19"/>
      <c r="O14" s="19"/>
    </row>
    <row r="15" spans="1:17" s="15" customFormat="1" ht="15" customHeight="1" thickBot="1" x14ac:dyDescent="0.25">
      <c r="A15" s="19"/>
      <c r="B15" s="78" t="s">
        <v>41</v>
      </c>
      <c r="C15" s="41"/>
      <c r="D15" s="41"/>
      <c r="E15" s="53">
        <v>2.2000000000000001E-3</v>
      </c>
      <c r="F15" s="54">
        <v>2.2000000000000001E-3</v>
      </c>
      <c r="G15" s="54">
        <v>2.2000000000000001E-3</v>
      </c>
      <c r="H15" s="52">
        <v>2.0500000000000002E-3</v>
      </c>
      <c r="I15" s="55">
        <v>3.1E-2</v>
      </c>
      <c r="J15" s="52">
        <v>6.6800000000000002E-3</v>
      </c>
      <c r="K15" s="71">
        <v>2.47E-3</v>
      </c>
      <c r="L15" s="88">
        <f>(0.000933+0.000409+0.000285+0.0000391+0.00118+0.000767+0.0000925+0.0000848)*7000/1000000</f>
        <v>2.6532799999999998E-5</v>
      </c>
      <c r="M15" s="19"/>
      <c r="N15" s="19"/>
      <c r="O15" s="19"/>
    </row>
    <row r="16" spans="1:17" s="15" customFormat="1" x14ac:dyDescent="0.2">
      <c r="A16" s="19"/>
      <c r="B16" s="77"/>
      <c r="C16" s="8"/>
      <c r="D16" s="8"/>
      <c r="E16" s="35"/>
      <c r="F16" s="25"/>
      <c r="G16" s="25"/>
      <c r="H16" s="24"/>
      <c r="I16" s="24"/>
      <c r="J16" s="24"/>
      <c r="K16" s="72"/>
      <c r="L16" s="79"/>
      <c r="M16" s="19"/>
      <c r="N16" s="19"/>
      <c r="O16" s="19"/>
    </row>
    <row r="17" spans="1:15" s="14" customFormat="1" x14ac:dyDescent="0.2">
      <c r="A17" s="20"/>
      <c r="B17" s="77" t="s">
        <v>24</v>
      </c>
      <c r="C17" s="26"/>
      <c r="D17" s="26"/>
      <c r="E17" s="46">
        <f t="shared" ref="E17:L17" si="1">IF($E$12="Yes",$D$5*E15*8760/2000,0)</f>
        <v>0</v>
      </c>
      <c r="F17" s="47">
        <f t="shared" si="1"/>
        <v>0</v>
      </c>
      <c r="G17" s="47">
        <f t="shared" si="1"/>
        <v>0</v>
      </c>
      <c r="H17" s="47">
        <f t="shared" si="1"/>
        <v>0</v>
      </c>
      <c r="I17" s="47">
        <f t="shared" si="1"/>
        <v>0</v>
      </c>
      <c r="J17" s="47">
        <f t="shared" si="1"/>
        <v>0</v>
      </c>
      <c r="K17" s="70">
        <f t="shared" si="1"/>
        <v>0</v>
      </c>
      <c r="L17" s="80">
        <f t="shared" si="1"/>
        <v>0</v>
      </c>
      <c r="M17" s="20"/>
      <c r="N17" s="20"/>
      <c r="O17" s="20"/>
    </row>
    <row r="18" spans="1:15" s="15" customFormat="1" ht="13.5" thickBot="1" x14ac:dyDescent="0.25">
      <c r="A18" s="19"/>
      <c r="B18" s="78"/>
      <c r="C18" s="41"/>
      <c r="D18" s="41"/>
      <c r="E18" s="45"/>
      <c r="F18" s="43"/>
      <c r="G18" s="43"/>
      <c r="H18" s="44" t="s">
        <v>8</v>
      </c>
      <c r="I18" s="44"/>
      <c r="J18" s="44"/>
      <c r="K18" s="44"/>
      <c r="L18" s="81"/>
      <c r="M18" s="19"/>
      <c r="N18" s="19"/>
      <c r="O18" s="19"/>
    </row>
    <row r="19" spans="1:15" s="15" customFormat="1" ht="12" x14ac:dyDescent="0.2">
      <c r="B19" s="20" t="s">
        <v>10</v>
      </c>
      <c r="C19" s="19"/>
      <c r="D19" s="19"/>
      <c r="E19" s="22"/>
      <c r="F19" s="23"/>
      <c r="G19" s="23"/>
      <c r="H19" s="23"/>
      <c r="I19" s="23"/>
      <c r="J19" s="23"/>
      <c r="K19" s="23"/>
      <c r="L19" s="19"/>
      <c r="M19" s="19"/>
      <c r="N19" s="19"/>
      <c r="O19" s="19"/>
    </row>
    <row r="20" spans="1:15" s="15" customFormat="1" ht="12" x14ac:dyDescent="0.2">
      <c r="B20" s="19" t="s">
        <v>64</v>
      </c>
      <c r="C20" s="19"/>
      <c r="D20" s="19"/>
      <c r="E20" s="22"/>
      <c r="F20" s="23"/>
      <c r="G20" s="23"/>
      <c r="H20" s="23"/>
      <c r="I20" s="23"/>
      <c r="J20" s="23"/>
      <c r="K20" s="23"/>
      <c r="L20" s="19"/>
      <c r="M20" s="19"/>
      <c r="N20" s="19"/>
      <c r="O20" s="19"/>
    </row>
    <row r="21" spans="1:15" s="15" customFormat="1" ht="13.5" x14ac:dyDescent="0.25">
      <c r="B21" s="15" t="s">
        <v>37</v>
      </c>
    </row>
    <row r="22" spans="1:15" s="15" customFormat="1" ht="12" x14ac:dyDescent="0.2">
      <c r="B22" s="15" t="s">
        <v>33</v>
      </c>
    </row>
    <row r="23" spans="1:15" s="15" customFormat="1" ht="12" x14ac:dyDescent="0.2">
      <c r="B23" s="15" t="s">
        <v>45</v>
      </c>
    </row>
    <row r="24" spans="1:15" s="15" customFormat="1" ht="12" x14ac:dyDescent="0.2">
      <c r="B24" s="14" t="s">
        <v>9</v>
      </c>
    </row>
    <row r="25" spans="1:15" s="15" customFormat="1" ht="12" x14ac:dyDescent="0.2">
      <c r="B25" s="15" t="s">
        <v>63</v>
      </c>
    </row>
    <row r="28" spans="1:15" ht="13.5" thickBot="1" x14ac:dyDescent="0.25">
      <c r="A28" s="1" t="s">
        <v>39</v>
      </c>
      <c r="B28" s="1" t="s">
        <v>38</v>
      </c>
      <c r="D28" s="21" t="s">
        <v>23</v>
      </c>
      <c r="E28" s="11" t="str">
        <f>IF(D5&gt;600,"Yes","No")</f>
        <v>Yes</v>
      </c>
      <c r="F28" s="11"/>
      <c r="G28" s="3" t="s">
        <v>27</v>
      </c>
      <c r="H28" s="3"/>
      <c r="I28" s="65">
        <f>'5222018'!G36</f>
        <v>1.5E-3</v>
      </c>
      <c r="J28" s="60" t="s">
        <v>0</v>
      </c>
    </row>
    <row r="29" spans="1:15" s="15" customFormat="1" ht="12.75" customHeight="1" x14ac:dyDescent="0.2">
      <c r="B29" s="73"/>
      <c r="C29" s="74"/>
      <c r="D29" s="74"/>
      <c r="E29" s="73"/>
      <c r="F29" s="74"/>
      <c r="G29" s="74"/>
      <c r="H29" s="74" t="s">
        <v>17</v>
      </c>
      <c r="I29" s="74"/>
      <c r="J29" s="74"/>
      <c r="K29" s="75"/>
      <c r="L29" s="76"/>
      <c r="M29" s="19"/>
      <c r="N29" s="19"/>
    </row>
    <row r="30" spans="1:15" s="15" customFormat="1" ht="15.75" x14ac:dyDescent="0.3">
      <c r="A30" s="19"/>
      <c r="B30" s="77"/>
      <c r="C30" s="8"/>
      <c r="D30" s="8"/>
      <c r="E30" s="38" t="s">
        <v>15</v>
      </c>
      <c r="F30" s="27" t="s">
        <v>5</v>
      </c>
      <c r="G30" s="27" t="s">
        <v>13</v>
      </c>
      <c r="H30" s="27" t="s">
        <v>6</v>
      </c>
      <c r="I30" s="27" t="s">
        <v>7</v>
      </c>
      <c r="J30" s="27" t="s">
        <v>16</v>
      </c>
      <c r="K30" s="27" t="s">
        <v>11</v>
      </c>
      <c r="L30" s="87" t="s">
        <v>65</v>
      </c>
      <c r="M30" s="19"/>
      <c r="N30" s="19"/>
      <c r="O30" s="19"/>
    </row>
    <row r="31" spans="1:15" s="15" customFormat="1" ht="15" customHeight="1" thickBot="1" x14ac:dyDescent="0.25">
      <c r="A31" s="19"/>
      <c r="B31" s="78" t="s">
        <v>41</v>
      </c>
      <c r="C31" s="41"/>
      <c r="D31" s="41"/>
      <c r="E31" s="42">
        <v>6.9999999999999999E-4</v>
      </c>
      <c r="F31" s="43">
        <v>6.9999999999999999E-4</v>
      </c>
      <c r="G31" s="43">
        <v>6.9999999999999999E-4</v>
      </c>
      <c r="H31" s="52">
        <f>0.00809*I28</f>
        <v>1.2135E-5</v>
      </c>
      <c r="I31" s="16">
        <v>2.4E-2</v>
      </c>
      <c r="J31" s="52">
        <v>5.4999999999999997E-3</v>
      </c>
      <c r="K31" s="71">
        <v>7.0500000000000001E-4</v>
      </c>
      <c r="L31" s="88">
        <f>(0.000776+0.000281+0.000193+0.00279+0.0000789+0.0000252+0.00000788+0.00013)*7000/1000000</f>
        <v>2.9973860000000002E-5</v>
      </c>
      <c r="M31" s="19"/>
      <c r="N31" s="19"/>
      <c r="O31" s="19"/>
    </row>
    <row r="32" spans="1:15" s="15" customFormat="1" x14ac:dyDescent="0.2">
      <c r="A32" s="19"/>
      <c r="B32" s="77"/>
      <c r="C32" s="8"/>
      <c r="D32" s="8"/>
      <c r="E32" s="35"/>
      <c r="F32" s="25"/>
      <c r="G32" s="25"/>
      <c r="H32" s="24"/>
      <c r="I32" s="24"/>
      <c r="J32" s="24"/>
      <c r="K32" s="69"/>
      <c r="L32" s="91"/>
      <c r="M32" s="19"/>
      <c r="N32" s="19"/>
      <c r="O32" s="19"/>
    </row>
    <row r="33" spans="1:15" s="14" customFormat="1" x14ac:dyDescent="0.2">
      <c r="A33" s="20"/>
      <c r="B33" s="77" t="s">
        <v>34</v>
      </c>
      <c r="C33" s="26"/>
      <c r="D33" s="26"/>
      <c r="E33" s="46">
        <f t="shared" ref="E33:L33" si="2">IF($E$28="Yes",$D$5*E31*8760/2000,0)</f>
        <v>2.2995000000000001</v>
      </c>
      <c r="F33" s="47">
        <f t="shared" si="2"/>
        <v>2.2995000000000001</v>
      </c>
      <c r="G33" s="47">
        <f t="shared" si="2"/>
        <v>2.2995000000000001</v>
      </c>
      <c r="H33" s="47">
        <f t="shared" si="2"/>
        <v>3.9863475000000002E-2</v>
      </c>
      <c r="I33" s="47">
        <f t="shared" si="2"/>
        <v>78.84</v>
      </c>
      <c r="J33" s="47">
        <f t="shared" si="2"/>
        <v>18.067499999999999</v>
      </c>
      <c r="K33" s="70">
        <f t="shared" si="2"/>
        <v>2.315925</v>
      </c>
      <c r="L33" s="80">
        <f t="shared" si="2"/>
        <v>9.8464130100000005E-2</v>
      </c>
      <c r="M33" s="20"/>
      <c r="N33" s="20"/>
      <c r="O33" s="20"/>
    </row>
    <row r="34" spans="1:15" s="15" customFormat="1" ht="13.5" thickBot="1" x14ac:dyDescent="0.25">
      <c r="A34" s="19"/>
      <c r="B34" s="78"/>
      <c r="C34" s="41"/>
      <c r="D34" s="41"/>
      <c r="E34" s="45"/>
      <c r="F34" s="43"/>
      <c r="G34" s="43"/>
      <c r="H34" s="44" t="s">
        <v>8</v>
      </c>
      <c r="I34" s="44"/>
      <c r="J34" s="44"/>
      <c r="K34" s="92"/>
      <c r="L34" s="93"/>
      <c r="M34" s="19"/>
      <c r="N34" s="19"/>
      <c r="O34" s="19"/>
    </row>
    <row r="35" spans="1:15" s="15" customFormat="1" ht="12" x14ac:dyDescent="0.2">
      <c r="B35" s="20" t="s">
        <v>10</v>
      </c>
      <c r="C35" s="19"/>
      <c r="D35" s="19"/>
      <c r="E35" s="22"/>
      <c r="F35" s="23"/>
      <c r="G35" s="23"/>
      <c r="H35" s="23"/>
      <c r="I35" s="23"/>
      <c r="J35" s="23"/>
      <c r="K35" s="23"/>
      <c r="L35" s="19"/>
      <c r="M35" s="19"/>
      <c r="N35" s="19"/>
      <c r="O35" s="19"/>
    </row>
    <row r="36" spans="1:15" s="15" customFormat="1" ht="12" x14ac:dyDescent="0.2">
      <c r="B36" s="19" t="s">
        <v>60</v>
      </c>
      <c r="C36" s="19"/>
      <c r="D36" s="19"/>
      <c r="E36" s="22"/>
      <c r="F36" s="23"/>
      <c r="G36" s="23"/>
      <c r="H36" s="23"/>
      <c r="I36" s="23"/>
      <c r="J36" s="23"/>
      <c r="K36" s="23"/>
      <c r="L36" s="19"/>
      <c r="M36" s="19"/>
      <c r="N36" s="19"/>
      <c r="O36" s="19"/>
    </row>
    <row r="37" spans="1:15" s="15" customFormat="1" ht="13.5" x14ac:dyDescent="0.25">
      <c r="B37" s="15" t="s">
        <v>14</v>
      </c>
    </row>
    <row r="38" spans="1:15" s="15" customFormat="1" ht="12" x14ac:dyDescent="0.2">
      <c r="B38" s="15" t="s">
        <v>33</v>
      </c>
    </row>
    <row r="39" spans="1:15" s="15" customFormat="1" ht="12" x14ac:dyDescent="0.2">
      <c r="B39" s="15" t="s">
        <v>45</v>
      </c>
    </row>
    <row r="40" spans="1:15" s="15" customFormat="1" ht="12" x14ac:dyDescent="0.2">
      <c r="B40" s="14" t="s">
        <v>9</v>
      </c>
    </row>
    <row r="41" spans="1:15" s="15" customFormat="1" ht="12" x14ac:dyDescent="0.2">
      <c r="B41" s="15" t="s">
        <v>63</v>
      </c>
    </row>
    <row r="43" spans="1:15" x14ac:dyDescent="0.2">
      <c r="A43" s="6"/>
      <c r="B43" s="6"/>
      <c r="C43" s="6"/>
      <c r="D43" s="6"/>
      <c r="E43" s="6"/>
      <c r="F43" s="6"/>
      <c r="G43" s="6"/>
      <c r="H43" s="6"/>
      <c r="I43" s="6"/>
      <c r="J43" s="6"/>
      <c r="K43" s="6"/>
      <c r="L43" s="6"/>
      <c r="M43" s="6"/>
    </row>
    <row r="44" spans="1:15" x14ac:dyDescent="0.2">
      <c r="A44" s="26"/>
      <c r="B44" s="26"/>
      <c r="C44" s="6"/>
      <c r="D44" s="21"/>
      <c r="E44" s="313"/>
      <c r="F44" s="313"/>
      <c r="G44" s="8"/>
      <c r="H44" s="8"/>
      <c r="I44" s="314"/>
      <c r="J44" s="315"/>
      <c r="K44" s="6"/>
      <c r="L44" s="6"/>
      <c r="M44" s="6"/>
    </row>
    <row r="45" spans="1:15" x14ac:dyDescent="0.2">
      <c r="A45" s="19"/>
      <c r="B45" s="23"/>
      <c r="C45" s="23"/>
      <c r="D45" s="23"/>
      <c r="E45" s="23"/>
      <c r="F45" s="23"/>
      <c r="G45" s="23"/>
      <c r="H45" s="23"/>
      <c r="I45" s="23"/>
      <c r="J45" s="23"/>
      <c r="K45" s="19"/>
      <c r="L45" s="6"/>
      <c r="M45" s="6"/>
    </row>
    <row r="46" spans="1:15" x14ac:dyDescent="0.2">
      <c r="A46" s="19"/>
      <c r="B46" s="8"/>
      <c r="C46" s="8"/>
      <c r="D46" s="8"/>
      <c r="E46" s="245"/>
      <c r="F46" s="245"/>
      <c r="G46" s="245"/>
      <c r="H46" s="245"/>
      <c r="I46" s="245"/>
      <c r="J46" s="245"/>
      <c r="K46" s="245"/>
      <c r="L46" s="6"/>
      <c r="M46" s="6"/>
    </row>
    <row r="47" spans="1:15" x14ac:dyDescent="0.2">
      <c r="A47" s="19"/>
      <c r="B47" s="8"/>
      <c r="C47" s="8"/>
      <c r="D47" s="8"/>
      <c r="E47" s="316"/>
      <c r="F47" s="316"/>
      <c r="G47" s="316"/>
      <c r="H47" s="316"/>
      <c r="I47" s="140"/>
      <c r="J47" s="316"/>
      <c r="K47" s="316"/>
      <c r="L47" s="6"/>
      <c r="M47" s="6"/>
    </row>
    <row r="48" spans="1:15" x14ac:dyDescent="0.2">
      <c r="A48" s="19"/>
      <c r="B48" s="8"/>
      <c r="C48" s="8"/>
      <c r="D48" s="8"/>
      <c r="E48" s="140"/>
      <c r="F48" s="140"/>
      <c r="G48" s="140"/>
      <c r="H48" s="140"/>
      <c r="I48" s="140"/>
      <c r="J48" s="140"/>
      <c r="K48" s="140"/>
      <c r="L48" s="6"/>
      <c r="M48" s="6"/>
    </row>
    <row r="49" spans="1:13" x14ac:dyDescent="0.2">
      <c r="A49" s="20"/>
      <c r="B49" s="8"/>
      <c r="C49" s="26"/>
      <c r="D49" s="26"/>
      <c r="E49" s="107"/>
      <c r="F49" s="107"/>
      <c r="G49" s="107"/>
      <c r="H49" s="107"/>
      <c r="I49" s="107"/>
      <c r="J49" s="107"/>
      <c r="K49" s="107"/>
      <c r="L49" s="6"/>
      <c r="M49" s="6"/>
    </row>
    <row r="50" spans="1:13" x14ac:dyDescent="0.2">
      <c r="A50" s="19"/>
      <c r="B50" s="8"/>
      <c r="C50" s="8"/>
      <c r="D50" s="8"/>
      <c r="E50" s="317"/>
      <c r="F50" s="140"/>
      <c r="G50" s="140"/>
      <c r="H50" s="140"/>
      <c r="I50" s="140"/>
      <c r="J50" s="140"/>
      <c r="K50" s="140"/>
      <c r="L50" s="6"/>
      <c r="M50" s="6"/>
    </row>
    <row r="51" spans="1:13" x14ac:dyDescent="0.2">
      <c r="A51" s="19"/>
      <c r="B51" s="20"/>
      <c r="C51" s="19"/>
      <c r="D51" s="19"/>
      <c r="E51" s="22"/>
      <c r="F51" s="23"/>
      <c r="G51" s="23"/>
      <c r="H51" s="23"/>
      <c r="I51" s="23"/>
      <c r="J51" s="23"/>
      <c r="K51" s="23"/>
      <c r="L51" s="6"/>
      <c r="M51" s="6"/>
    </row>
    <row r="52" spans="1:13" x14ac:dyDescent="0.2">
      <c r="A52" s="19"/>
      <c r="B52" s="19"/>
      <c r="C52" s="19"/>
      <c r="D52" s="19"/>
      <c r="E52" s="22"/>
      <c r="F52" s="23"/>
      <c r="G52" s="23"/>
      <c r="H52" s="23"/>
      <c r="I52" s="23"/>
      <c r="J52" s="23"/>
      <c r="K52" s="23"/>
      <c r="L52" s="6"/>
      <c r="M52" s="6"/>
    </row>
    <row r="53" spans="1:13" x14ac:dyDescent="0.2">
      <c r="A53" s="19"/>
      <c r="B53" s="19"/>
      <c r="C53" s="19"/>
      <c r="D53" s="19"/>
      <c r="E53" s="19"/>
      <c r="F53" s="19"/>
      <c r="G53" s="19"/>
      <c r="H53" s="19"/>
      <c r="I53" s="19"/>
      <c r="J53" s="19"/>
      <c r="K53" s="19"/>
      <c r="L53" s="6"/>
      <c r="M53" s="6"/>
    </row>
    <row r="54" spans="1:13" x14ac:dyDescent="0.2">
      <c r="A54" s="19"/>
      <c r="B54" s="19"/>
      <c r="C54" s="19"/>
      <c r="D54" s="19"/>
      <c r="E54" s="19"/>
      <c r="F54" s="19"/>
      <c r="G54" s="19"/>
      <c r="H54" s="19"/>
      <c r="I54" s="19"/>
      <c r="J54" s="19"/>
      <c r="K54" s="19"/>
      <c r="L54" s="6"/>
      <c r="M54" s="6"/>
    </row>
    <row r="55" spans="1:13" x14ac:dyDescent="0.2">
      <c r="A55" s="19"/>
      <c r="B55" s="19"/>
      <c r="C55" s="19"/>
      <c r="D55" s="19"/>
      <c r="E55" s="19"/>
      <c r="F55" s="19"/>
      <c r="G55" s="19"/>
      <c r="H55" s="19"/>
      <c r="I55" s="19"/>
      <c r="J55" s="19"/>
      <c r="K55" s="19"/>
      <c r="L55" s="6"/>
      <c r="M55" s="6"/>
    </row>
    <row r="56" spans="1:13" x14ac:dyDescent="0.2">
      <c r="A56" s="19"/>
      <c r="B56" s="20"/>
      <c r="C56" s="19"/>
      <c r="D56" s="19"/>
      <c r="E56" s="19"/>
      <c r="F56" s="19"/>
      <c r="G56" s="19"/>
      <c r="H56" s="19"/>
      <c r="I56" s="19"/>
      <c r="J56" s="19"/>
      <c r="K56" s="19"/>
      <c r="L56" s="6"/>
      <c r="M56" s="6"/>
    </row>
    <row r="57" spans="1:13" x14ac:dyDescent="0.2">
      <c r="A57" s="19"/>
      <c r="B57" s="19"/>
      <c r="C57" s="19"/>
      <c r="D57" s="19"/>
      <c r="E57" s="19"/>
      <c r="F57" s="19"/>
      <c r="G57" s="19"/>
      <c r="H57" s="19"/>
      <c r="I57" s="19"/>
      <c r="J57" s="19"/>
      <c r="K57" s="19"/>
      <c r="L57" s="6"/>
      <c r="M57" s="6"/>
    </row>
    <row r="58" spans="1:13" x14ac:dyDescent="0.2">
      <c r="A58" s="6"/>
      <c r="B58" s="6"/>
      <c r="C58" s="6"/>
      <c r="D58" s="6"/>
      <c r="E58" s="6"/>
      <c r="F58" s="6"/>
      <c r="G58" s="6"/>
      <c r="H58" s="6"/>
      <c r="I58" s="6"/>
      <c r="J58" s="6"/>
      <c r="K58" s="6"/>
      <c r="L58" s="6"/>
      <c r="M58" s="6"/>
    </row>
    <row r="59" spans="1:13" x14ac:dyDescent="0.2">
      <c r="A59" s="6"/>
      <c r="B59" s="6"/>
      <c r="C59" s="6"/>
      <c r="D59" s="6"/>
      <c r="E59" s="6"/>
      <c r="F59" s="6"/>
      <c r="G59" s="6"/>
      <c r="H59" s="6"/>
      <c r="I59" s="6"/>
      <c r="J59" s="6"/>
      <c r="K59" s="6"/>
      <c r="L59" s="6"/>
      <c r="M59" s="6"/>
    </row>
  </sheetData>
  <mergeCells count="5">
    <mergeCell ref="A1:L1"/>
    <mergeCell ref="A2:L2"/>
    <mergeCell ref="A3:L3"/>
    <mergeCell ref="A5:C5"/>
    <mergeCell ref="A6:C6"/>
  </mergeCells>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7"/>
  <sheetViews>
    <sheetView workbookViewId="0">
      <selection activeCell="A3" sqref="A3:L3"/>
    </sheetView>
  </sheetViews>
  <sheetFormatPr defaultColWidth="8.7109375" defaultRowHeight="12.75" x14ac:dyDescent="0.2"/>
  <cols>
    <col min="1" max="1" width="18.85546875" customWidth="1"/>
    <col min="2" max="2" width="14.28515625" customWidth="1"/>
    <col min="3" max="3" width="10.28515625" customWidth="1"/>
    <col min="5" max="5" width="10.28515625" customWidth="1"/>
    <col min="12" max="12" width="12.42578125" customWidth="1"/>
  </cols>
  <sheetData>
    <row r="1" spans="1:17" s="58" customFormat="1" ht="20.25" x14ac:dyDescent="0.3">
      <c r="A1" s="341" t="str">
        <f>'5222018'!A1</f>
        <v>Potential To Emit Calculator for Concrete Batch Plants</v>
      </c>
      <c r="B1" s="341"/>
      <c r="C1" s="341"/>
      <c r="D1" s="341"/>
      <c r="E1" s="341"/>
      <c r="F1" s="341"/>
      <c r="G1" s="341"/>
      <c r="H1" s="341"/>
      <c r="I1" s="341"/>
      <c r="J1" s="341"/>
      <c r="K1" s="341"/>
      <c r="L1" s="341"/>
      <c r="M1" s="57"/>
      <c r="N1" s="9"/>
      <c r="O1" s="9"/>
    </row>
    <row r="2" spans="1:17" s="58" customFormat="1" x14ac:dyDescent="0.2">
      <c r="A2" s="345">
        <v>43242</v>
      </c>
      <c r="B2" s="345"/>
      <c r="C2" s="345"/>
      <c r="D2" s="345"/>
      <c r="E2" s="345"/>
      <c r="F2" s="345"/>
      <c r="G2" s="345"/>
      <c r="H2" s="345"/>
      <c r="I2" s="345"/>
      <c r="J2" s="345"/>
      <c r="K2" s="345"/>
      <c r="L2" s="345"/>
      <c r="M2" s="10"/>
      <c r="N2" s="10"/>
      <c r="O2" s="10"/>
      <c r="P2" s="10"/>
      <c r="Q2" s="10"/>
    </row>
    <row r="3" spans="1:17" ht="13.35" customHeight="1" x14ac:dyDescent="0.25">
      <c r="A3" s="369" t="s">
        <v>66</v>
      </c>
      <c r="B3" s="369"/>
      <c r="C3" s="369"/>
      <c r="D3" s="369"/>
      <c r="E3" s="369"/>
      <c r="F3" s="369"/>
      <c r="G3" s="369"/>
      <c r="H3" s="369"/>
      <c r="I3" s="369"/>
      <c r="J3" s="369"/>
      <c r="K3" s="369"/>
      <c r="L3" s="369"/>
    </row>
    <row r="4" spans="1:17" ht="15.75" x14ac:dyDescent="0.25">
      <c r="B4" s="13"/>
    </row>
    <row r="5" spans="1:17" x14ac:dyDescent="0.2">
      <c r="A5" s="374" t="s">
        <v>54</v>
      </c>
      <c r="B5" s="374"/>
      <c r="C5" s="374"/>
      <c r="D5" s="64">
        <f>'5222018'!C36</f>
        <v>1000</v>
      </c>
      <c r="E5" s="3" t="s">
        <v>35</v>
      </c>
      <c r="I5" s="5" t="s">
        <v>1</v>
      </c>
    </row>
    <row r="6" spans="1:17" x14ac:dyDescent="0.2">
      <c r="A6" s="374" t="s">
        <v>55</v>
      </c>
      <c r="B6" s="374"/>
      <c r="C6" s="374"/>
      <c r="D6" s="64">
        <f>'5222018'!C38</f>
        <v>0</v>
      </c>
      <c r="E6" s="3" t="s">
        <v>35</v>
      </c>
      <c r="I6" s="2" t="s">
        <v>20</v>
      </c>
    </row>
    <row r="7" spans="1:17" ht="13.5" thickBot="1" x14ac:dyDescent="0.25">
      <c r="A7" s="3"/>
      <c r="C7" s="11"/>
      <c r="D7" s="3"/>
      <c r="I7" s="5"/>
    </row>
    <row r="8" spans="1:17" s="15" customFormat="1" ht="15.75" x14ac:dyDescent="0.2">
      <c r="A8" s="19"/>
      <c r="B8" s="26" t="s">
        <v>30</v>
      </c>
      <c r="C8" s="26"/>
      <c r="D8" s="8"/>
      <c r="E8" s="82" t="s">
        <v>15</v>
      </c>
      <c r="F8" s="83" t="s">
        <v>5</v>
      </c>
      <c r="G8" s="83" t="s">
        <v>4</v>
      </c>
      <c r="H8" s="83" t="s">
        <v>6</v>
      </c>
      <c r="I8" s="83" t="s">
        <v>7</v>
      </c>
      <c r="J8" s="83" t="s">
        <v>16</v>
      </c>
      <c r="K8" s="83" t="s">
        <v>18</v>
      </c>
      <c r="L8" s="89" t="s">
        <v>65</v>
      </c>
      <c r="M8" s="19"/>
      <c r="N8" s="19"/>
      <c r="O8" s="19"/>
    </row>
    <row r="9" spans="1:17" s="15" customFormat="1" ht="15" customHeight="1" thickBot="1" x14ac:dyDescent="0.25">
      <c r="A9" s="19"/>
      <c r="B9" s="8" t="s">
        <v>8</v>
      </c>
      <c r="C9" s="8"/>
      <c r="D9" s="8"/>
      <c r="E9" s="84">
        <f>MAX(E17,E33)+E49</f>
        <v>0.17499999999999999</v>
      </c>
      <c r="F9" s="85">
        <f t="shared" ref="F9:K9" si="0">MAX(F17,F33)+F49</f>
        <v>0.17499999999999999</v>
      </c>
      <c r="G9" s="85">
        <f t="shared" si="0"/>
        <v>0.17499999999999999</v>
      </c>
      <c r="H9" s="85">
        <f t="shared" si="0"/>
        <v>3.03375E-3</v>
      </c>
      <c r="I9" s="85">
        <f t="shared" si="0"/>
        <v>6</v>
      </c>
      <c r="J9" s="85">
        <f t="shared" si="0"/>
        <v>1.375</v>
      </c>
      <c r="K9" s="85">
        <f t="shared" si="0"/>
        <v>0.17624999999999999</v>
      </c>
      <c r="L9" s="86">
        <f>MAX(L17,L33)</f>
        <v>7.4934650000000004E-3</v>
      </c>
      <c r="M9" s="19"/>
      <c r="N9" s="19"/>
      <c r="O9" s="19"/>
    </row>
    <row r="10" spans="1:17" ht="13.5" thickBot="1" x14ac:dyDescent="0.25"/>
    <row r="11" spans="1:17" ht="12" customHeight="1" thickTop="1" x14ac:dyDescent="0.2">
      <c r="A11" s="4"/>
      <c r="B11" s="4"/>
      <c r="C11" s="4"/>
      <c r="D11" s="4"/>
      <c r="E11" s="4"/>
      <c r="F11" s="4"/>
      <c r="G11" s="4"/>
      <c r="H11" s="4"/>
      <c r="I11" s="4"/>
      <c r="J11" s="4"/>
      <c r="K11" s="4"/>
      <c r="L11" s="4"/>
    </row>
    <row r="12" spans="1:17" ht="13.5" thickBot="1" x14ac:dyDescent="0.25">
      <c r="A12" s="1" t="s">
        <v>39</v>
      </c>
      <c r="B12" s="1" t="s">
        <v>40</v>
      </c>
      <c r="D12" s="51" t="s">
        <v>23</v>
      </c>
      <c r="E12" s="11" t="str">
        <f>IF(D5&gt;600,"No","Yes")</f>
        <v>No</v>
      </c>
      <c r="F12" s="11"/>
      <c r="G12" s="3" t="s">
        <v>8</v>
      </c>
      <c r="H12" s="3" t="s">
        <v>8</v>
      </c>
      <c r="I12" s="49"/>
      <c r="J12" s="50" t="s">
        <v>8</v>
      </c>
    </row>
    <row r="13" spans="1:17" s="15" customFormat="1" ht="12.75" customHeight="1" x14ac:dyDescent="0.2">
      <c r="B13" s="73"/>
      <c r="C13" s="74"/>
      <c r="D13" s="74"/>
      <c r="E13" s="73"/>
      <c r="F13" s="74"/>
      <c r="G13" s="74"/>
      <c r="H13" s="74" t="s">
        <v>17</v>
      </c>
      <c r="I13" s="74"/>
      <c r="J13" s="74"/>
      <c r="K13" s="75"/>
      <c r="L13" s="76"/>
      <c r="M13" s="19"/>
      <c r="N13" s="19"/>
    </row>
    <row r="14" spans="1:17" s="15" customFormat="1" ht="15.75" x14ac:dyDescent="0.2">
      <c r="A14" s="19"/>
      <c r="B14" s="77"/>
      <c r="C14" s="8"/>
      <c r="D14" s="8"/>
      <c r="E14" s="67" t="s">
        <v>36</v>
      </c>
      <c r="F14" s="68" t="s">
        <v>5</v>
      </c>
      <c r="G14" s="68" t="s">
        <v>13</v>
      </c>
      <c r="H14" s="68" t="s">
        <v>6</v>
      </c>
      <c r="I14" s="68" t="s">
        <v>7</v>
      </c>
      <c r="J14" s="68" t="s">
        <v>16</v>
      </c>
      <c r="K14" s="68" t="s">
        <v>11</v>
      </c>
      <c r="L14" s="87" t="s">
        <v>65</v>
      </c>
      <c r="M14" s="19"/>
      <c r="N14" s="19"/>
      <c r="O14" s="19"/>
    </row>
    <row r="15" spans="1:17" s="15" customFormat="1" ht="15" customHeight="1" thickBot="1" x14ac:dyDescent="0.25">
      <c r="A15" s="19"/>
      <c r="B15" s="78" t="s">
        <v>41</v>
      </c>
      <c r="C15" s="41"/>
      <c r="D15" s="41"/>
      <c r="E15" s="53">
        <v>2.2000000000000001E-3</v>
      </c>
      <c r="F15" s="54">
        <v>2.2000000000000001E-3</v>
      </c>
      <c r="G15" s="54">
        <v>2.2000000000000001E-3</v>
      </c>
      <c r="H15" s="52">
        <v>2.0500000000000002E-3</v>
      </c>
      <c r="I15" s="55">
        <v>3.1E-2</v>
      </c>
      <c r="J15" s="52">
        <v>6.6800000000000002E-3</v>
      </c>
      <c r="K15" s="71">
        <v>2.47E-3</v>
      </c>
      <c r="L15" s="88">
        <f>(0.000933+0.000409+0.000285+0.0000391+0.00118+0.000767+0.0000925+0.0000848)*7000/1000000</f>
        <v>2.6532799999999998E-5</v>
      </c>
      <c r="M15" s="19"/>
      <c r="N15" s="19"/>
      <c r="O15" s="19"/>
    </row>
    <row r="16" spans="1:17" s="15" customFormat="1" x14ac:dyDescent="0.2">
      <c r="A16" s="19"/>
      <c r="B16" s="77"/>
      <c r="C16" s="8"/>
      <c r="D16" s="8"/>
      <c r="E16" s="35"/>
      <c r="F16" s="25"/>
      <c r="G16" s="25"/>
      <c r="H16" s="24"/>
      <c r="I16" s="24"/>
      <c r="J16" s="24"/>
      <c r="K16" s="72"/>
      <c r="L16" s="79"/>
      <c r="M16" s="19"/>
      <c r="N16" s="19"/>
      <c r="O16" s="19"/>
    </row>
    <row r="17" spans="1:15" s="14" customFormat="1" x14ac:dyDescent="0.2">
      <c r="A17" s="20"/>
      <c r="B17" s="77" t="s">
        <v>24</v>
      </c>
      <c r="C17" s="26"/>
      <c r="D17" s="26"/>
      <c r="E17" s="46">
        <f t="shared" ref="E17:L17" si="1">IF($E$12="Yes",$D$5*E15*500/2000,0)</f>
        <v>0</v>
      </c>
      <c r="F17" s="47">
        <f t="shared" si="1"/>
        <v>0</v>
      </c>
      <c r="G17" s="47">
        <f t="shared" si="1"/>
        <v>0</v>
      </c>
      <c r="H17" s="47">
        <f t="shared" si="1"/>
        <v>0</v>
      </c>
      <c r="I17" s="47">
        <f t="shared" si="1"/>
        <v>0</v>
      </c>
      <c r="J17" s="47">
        <f t="shared" si="1"/>
        <v>0</v>
      </c>
      <c r="K17" s="70">
        <f t="shared" si="1"/>
        <v>0</v>
      </c>
      <c r="L17" s="80">
        <f t="shared" si="1"/>
        <v>0</v>
      </c>
      <c r="M17" s="20"/>
      <c r="N17" s="20"/>
      <c r="O17" s="20"/>
    </row>
    <row r="18" spans="1:15" s="15" customFormat="1" ht="13.5" thickBot="1" x14ac:dyDescent="0.25">
      <c r="A18" s="19"/>
      <c r="B18" s="78"/>
      <c r="C18" s="41"/>
      <c r="D18" s="41"/>
      <c r="E18" s="45"/>
      <c r="F18" s="43"/>
      <c r="G18" s="43"/>
      <c r="H18" s="44" t="s">
        <v>8</v>
      </c>
      <c r="I18" s="44"/>
      <c r="J18" s="44"/>
      <c r="K18" s="44"/>
      <c r="L18" s="81"/>
      <c r="M18" s="19"/>
      <c r="N18" s="19"/>
      <c r="O18" s="19"/>
    </row>
    <row r="19" spans="1:15" s="15" customFormat="1" ht="12" x14ac:dyDescent="0.2">
      <c r="B19" s="20" t="s">
        <v>10</v>
      </c>
      <c r="C19" s="19"/>
      <c r="D19" s="19"/>
      <c r="E19" s="22"/>
      <c r="F19" s="23"/>
      <c r="G19" s="23"/>
      <c r="H19" s="23"/>
      <c r="I19" s="23"/>
      <c r="J19" s="23"/>
      <c r="K19" s="23"/>
      <c r="L19" s="19"/>
      <c r="M19" s="19"/>
      <c r="N19" s="19"/>
      <c r="O19" s="19"/>
    </row>
    <row r="20" spans="1:15" s="15" customFormat="1" ht="12" x14ac:dyDescent="0.2">
      <c r="B20" s="19" t="s">
        <v>64</v>
      </c>
      <c r="C20" s="19"/>
      <c r="D20" s="19"/>
      <c r="E20" s="22"/>
      <c r="F20" s="23"/>
      <c r="G20" s="23"/>
      <c r="H20" s="23"/>
      <c r="I20" s="23"/>
      <c r="J20" s="23"/>
      <c r="K20" s="23"/>
      <c r="L20" s="19"/>
      <c r="M20" s="19"/>
      <c r="N20" s="19"/>
      <c r="O20" s="19"/>
    </row>
    <row r="21" spans="1:15" s="15" customFormat="1" ht="13.5" x14ac:dyDescent="0.25">
      <c r="B21" s="15" t="s">
        <v>37</v>
      </c>
    </row>
    <row r="22" spans="1:15" s="15" customFormat="1" ht="12" x14ac:dyDescent="0.2">
      <c r="B22" s="15" t="s">
        <v>33</v>
      </c>
    </row>
    <row r="23" spans="1:15" s="15" customFormat="1" ht="12" x14ac:dyDescent="0.2">
      <c r="B23" s="15" t="s">
        <v>45</v>
      </c>
    </row>
    <row r="24" spans="1:15" s="15" customFormat="1" ht="12" x14ac:dyDescent="0.2">
      <c r="B24" s="14" t="s">
        <v>9</v>
      </c>
    </row>
    <row r="25" spans="1:15" s="15" customFormat="1" ht="12" x14ac:dyDescent="0.2">
      <c r="B25" s="15" t="s">
        <v>63</v>
      </c>
    </row>
    <row r="28" spans="1:15" ht="13.5" thickBot="1" x14ac:dyDescent="0.25">
      <c r="A28" s="1" t="s">
        <v>39</v>
      </c>
      <c r="B28" s="1" t="s">
        <v>38</v>
      </c>
      <c r="D28" s="21" t="s">
        <v>23</v>
      </c>
      <c r="E28" s="11" t="str">
        <f>IF(D5&gt;600,"Yes","No")</f>
        <v>Yes</v>
      </c>
      <c r="F28" s="11"/>
      <c r="G28" s="3" t="s">
        <v>27</v>
      </c>
      <c r="H28" s="3"/>
      <c r="I28" s="65">
        <f>'5222018'!G36</f>
        <v>1.5E-3</v>
      </c>
      <c r="J28" s="60" t="s">
        <v>0</v>
      </c>
    </row>
    <row r="29" spans="1:15" s="15" customFormat="1" ht="12.75" customHeight="1" x14ac:dyDescent="0.2">
      <c r="B29" s="73"/>
      <c r="C29" s="74"/>
      <c r="D29" s="74"/>
      <c r="E29" s="73"/>
      <c r="F29" s="74"/>
      <c r="G29" s="74"/>
      <c r="H29" s="74" t="s">
        <v>17</v>
      </c>
      <c r="I29" s="74"/>
      <c r="J29" s="74"/>
      <c r="K29" s="75"/>
      <c r="L29" s="76"/>
      <c r="M29" s="19"/>
      <c r="N29" s="19"/>
    </row>
    <row r="30" spans="1:15" s="15" customFormat="1" ht="15.75" x14ac:dyDescent="0.3">
      <c r="A30" s="19"/>
      <c r="B30" s="77"/>
      <c r="C30" s="8"/>
      <c r="D30" s="8"/>
      <c r="E30" s="38" t="s">
        <v>15</v>
      </c>
      <c r="F30" s="27" t="s">
        <v>5</v>
      </c>
      <c r="G30" s="27" t="s">
        <v>13</v>
      </c>
      <c r="H30" s="27" t="s">
        <v>6</v>
      </c>
      <c r="I30" s="27" t="s">
        <v>7</v>
      </c>
      <c r="J30" s="27" t="s">
        <v>16</v>
      </c>
      <c r="K30" s="27" t="s">
        <v>11</v>
      </c>
      <c r="L30" s="87" t="s">
        <v>65</v>
      </c>
      <c r="M30" s="19"/>
      <c r="N30" s="19"/>
      <c r="O30" s="19"/>
    </row>
    <row r="31" spans="1:15" s="15" customFormat="1" ht="15" customHeight="1" thickBot="1" x14ac:dyDescent="0.25">
      <c r="A31" s="19"/>
      <c r="B31" s="78" t="s">
        <v>41</v>
      </c>
      <c r="C31" s="41"/>
      <c r="D31" s="41"/>
      <c r="E31" s="42">
        <v>6.9999999999999999E-4</v>
      </c>
      <c r="F31" s="43">
        <v>6.9999999999999999E-4</v>
      </c>
      <c r="G31" s="43">
        <v>6.9999999999999999E-4</v>
      </c>
      <c r="H31" s="52">
        <f>0.00809*I28</f>
        <v>1.2135E-5</v>
      </c>
      <c r="I31" s="16">
        <v>2.4E-2</v>
      </c>
      <c r="J31" s="52">
        <v>5.4999999999999997E-3</v>
      </c>
      <c r="K31" s="71">
        <v>7.0500000000000001E-4</v>
      </c>
      <c r="L31" s="88">
        <f>(0.000776+0.000281+0.000193+0.00279+0.0000789+0.0000252+0.00000788+0.00013)*7000/1000000</f>
        <v>2.9973860000000002E-5</v>
      </c>
      <c r="M31" s="19"/>
      <c r="N31" s="19"/>
      <c r="O31" s="19"/>
    </row>
    <row r="32" spans="1:15" s="15" customFormat="1" x14ac:dyDescent="0.2">
      <c r="A32" s="19"/>
      <c r="B32" s="77"/>
      <c r="C32" s="8"/>
      <c r="D32" s="8"/>
      <c r="E32" s="35"/>
      <c r="F32" s="25"/>
      <c r="G32" s="25"/>
      <c r="H32" s="24"/>
      <c r="I32" s="24"/>
      <c r="J32" s="24"/>
      <c r="K32" s="69"/>
      <c r="L32" s="91"/>
      <c r="M32" s="19"/>
      <c r="N32" s="19"/>
      <c r="O32" s="19"/>
    </row>
    <row r="33" spans="1:15" s="14" customFormat="1" x14ac:dyDescent="0.2">
      <c r="A33" s="20"/>
      <c r="B33" s="77" t="s">
        <v>34</v>
      </c>
      <c r="C33" s="26"/>
      <c r="D33" s="26"/>
      <c r="E33" s="46">
        <f t="shared" ref="E33:L33" si="2">IF($E$28="Yes",$D$5*E31*500/2000,0)</f>
        <v>0.17499999999999999</v>
      </c>
      <c r="F33" s="47">
        <f t="shared" si="2"/>
        <v>0.17499999999999999</v>
      </c>
      <c r="G33" s="47">
        <f t="shared" si="2"/>
        <v>0.17499999999999999</v>
      </c>
      <c r="H33" s="47">
        <f t="shared" si="2"/>
        <v>3.03375E-3</v>
      </c>
      <c r="I33" s="47">
        <f t="shared" si="2"/>
        <v>6</v>
      </c>
      <c r="J33" s="47">
        <f t="shared" si="2"/>
        <v>1.375</v>
      </c>
      <c r="K33" s="70">
        <f t="shared" si="2"/>
        <v>0.17624999999999999</v>
      </c>
      <c r="L33" s="80">
        <f t="shared" si="2"/>
        <v>7.4934650000000004E-3</v>
      </c>
      <c r="M33" s="20"/>
      <c r="N33" s="20"/>
      <c r="O33" s="20"/>
    </row>
    <row r="34" spans="1:15" s="15" customFormat="1" ht="13.5" thickBot="1" x14ac:dyDescent="0.25">
      <c r="A34" s="19"/>
      <c r="B34" s="78"/>
      <c r="C34" s="41"/>
      <c r="D34" s="41"/>
      <c r="E34" s="45"/>
      <c r="F34" s="43"/>
      <c r="G34" s="43"/>
      <c r="H34" s="44" t="s">
        <v>8</v>
      </c>
      <c r="I34" s="44"/>
      <c r="J34" s="44"/>
      <c r="K34" s="92"/>
      <c r="L34" s="93"/>
      <c r="M34" s="19"/>
      <c r="N34" s="19"/>
      <c r="O34" s="19"/>
    </row>
    <row r="35" spans="1:15" s="15" customFormat="1" ht="12" x14ac:dyDescent="0.2">
      <c r="B35" s="20" t="s">
        <v>10</v>
      </c>
      <c r="C35" s="19"/>
      <c r="D35" s="19"/>
      <c r="E35" s="22"/>
      <c r="F35" s="23"/>
      <c r="G35" s="23"/>
      <c r="H35" s="23"/>
      <c r="I35" s="23"/>
      <c r="J35" s="23"/>
      <c r="K35" s="23"/>
      <c r="L35" s="19"/>
      <c r="M35" s="19"/>
      <c r="N35" s="19"/>
      <c r="O35" s="19"/>
    </row>
    <row r="36" spans="1:15" s="15" customFormat="1" ht="12" x14ac:dyDescent="0.2">
      <c r="B36" s="19" t="s">
        <v>60</v>
      </c>
      <c r="C36" s="19"/>
      <c r="D36" s="19"/>
      <c r="E36" s="22"/>
      <c r="F36" s="23"/>
      <c r="G36" s="23"/>
      <c r="H36" s="23"/>
      <c r="I36" s="23"/>
      <c r="J36" s="23"/>
      <c r="K36" s="23"/>
      <c r="L36" s="19"/>
      <c r="M36" s="19"/>
      <c r="N36" s="19"/>
      <c r="O36" s="19"/>
    </row>
    <row r="37" spans="1:15" s="15" customFormat="1" ht="13.5" x14ac:dyDescent="0.25">
      <c r="B37" s="15" t="s">
        <v>14</v>
      </c>
    </row>
    <row r="38" spans="1:15" s="15" customFormat="1" ht="12" x14ac:dyDescent="0.2">
      <c r="B38" s="15" t="s">
        <v>33</v>
      </c>
    </row>
    <row r="39" spans="1:15" s="15" customFormat="1" ht="12" x14ac:dyDescent="0.2">
      <c r="B39" s="15" t="s">
        <v>45</v>
      </c>
    </row>
    <row r="40" spans="1:15" s="15" customFormat="1" ht="12" x14ac:dyDescent="0.2">
      <c r="B40" s="14" t="s">
        <v>9</v>
      </c>
    </row>
    <row r="41" spans="1:15" s="15" customFormat="1" ht="12" x14ac:dyDescent="0.2">
      <c r="B41" s="15" t="s">
        <v>63</v>
      </c>
    </row>
    <row r="44" spans="1:15" ht="13.5" thickBot="1" x14ac:dyDescent="0.25">
      <c r="A44" s="1" t="s">
        <v>39</v>
      </c>
      <c r="B44" s="1" t="s">
        <v>61</v>
      </c>
      <c r="D44" s="21" t="s">
        <v>23</v>
      </c>
      <c r="E44" s="11" t="str">
        <f>IF(D6&gt;0,"Yes","No")</f>
        <v>No</v>
      </c>
      <c r="F44" s="11"/>
      <c r="G44" s="3"/>
      <c r="H44" s="3"/>
      <c r="I44" s="65"/>
      <c r="J44" s="50"/>
    </row>
    <row r="45" spans="1:15" ht="13.5" thickTop="1" x14ac:dyDescent="0.2">
      <c r="A45" s="15"/>
      <c r="B45" s="32"/>
      <c r="C45" s="33"/>
      <c r="D45" s="33"/>
      <c r="E45" s="34"/>
      <c r="F45" s="33"/>
      <c r="G45" s="33"/>
      <c r="H45" s="33" t="s">
        <v>17</v>
      </c>
      <c r="I45" s="33"/>
      <c r="J45" s="33"/>
      <c r="K45" s="37"/>
    </row>
    <row r="46" spans="1:15" ht="15.75" x14ac:dyDescent="0.3">
      <c r="A46" s="19"/>
      <c r="B46" s="12"/>
      <c r="C46" s="8"/>
      <c r="D46" s="8"/>
      <c r="E46" s="38" t="s">
        <v>15</v>
      </c>
      <c r="F46" s="27" t="s">
        <v>5</v>
      </c>
      <c r="G46" s="27" t="s">
        <v>13</v>
      </c>
      <c r="H46" s="27" t="s">
        <v>6</v>
      </c>
      <c r="I46" s="27" t="s">
        <v>7</v>
      </c>
      <c r="J46" s="27" t="s">
        <v>16</v>
      </c>
      <c r="K46" s="39" t="s">
        <v>11</v>
      </c>
    </row>
    <row r="47" spans="1:15" ht="15" thickBot="1" x14ac:dyDescent="0.25">
      <c r="A47" s="19"/>
      <c r="B47" s="40" t="s">
        <v>41</v>
      </c>
      <c r="C47" s="41"/>
      <c r="D47" s="41"/>
      <c r="E47" s="53">
        <v>7.2099999999999996E-4</v>
      </c>
      <c r="F47" s="54">
        <v>7.2099999999999996E-4</v>
      </c>
      <c r="G47" s="54">
        <v>7.2099999999999996E-4</v>
      </c>
      <c r="H47" s="52">
        <v>5.9100000000000005E-4</v>
      </c>
      <c r="I47" s="16">
        <v>1.0999999999999999E-2</v>
      </c>
      <c r="J47" s="52">
        <v>6.96E-3</v>
      </c>
      <c r="K47" s="56">
        <f>0.015+0.00483+0.000661</f>
        <v>2.0490999999999999E-2</v>
      </c>
    </row>
    <row r="48" spans="1:15" x14ac:dyDescent="0.2">
      <c r="A48" s="19"/>
      <c r="B48" s="12"/>
      <c r="C48" s="8"/>
      <c r="D48" s="8"/>
      <c r="E48" s="35"/>
      <c r="F48" s="25"/>
      <c r="G48" s="25"/>
      <c r="H48" s="24"/>
      <c r="I48" s="24"/>
      <c r="J48" s="24"/>
      <c r="K48" s="28"/>
    </row>
    <row r="49" spans="1:11" x14ac:dyDescent="0.2">
      <c r="A49" s="20"/>
      <c r="B49" s="12" t="s">
        <v>34</v>
      </c>
      <c r="C49" s="26"/>
      <c r="D49" s="26"/>
      <c r="E49" s="46">
        <f>IF($E$44="Yes",$D$6*E47*500/2000,0)</f>
        <v>0</v>
      </c>
      <c r="F49" s="47">
        <f t="shared" ref="F49:K49" si="3">IF($E$44="Yes",$D$6*F47*500/2000,0)</f>
        <v>0</v>
      </c>
      <c r="G49" s="47">
        <f t="shared" si="3"/>
        <v>0</v>
      </c>
      <c r="H49" s="47">
        <f t="shared" si="3"/>
        <v>0</v>
      </c>
      <c r="I49" s="47">
        <f t="shared" si="3"/>
        <v>0</v>
      </c>
      <c r="J49" s="47">
        <f t="shared" si="3"/>
        <v>0</v>
      </c>
      <c r="K49" s="48">
        <f t="shared" si="3"/>
        <v>0</v>
      </c>
    </row>
    <row r="50" spans="1:11" ht="13.5" thickBot="1" x14ac:dyDescent="0.25">
      <c r="A50" s="19"/>
      <c r="B50" s="17"/>
      <c r="C50" s="18"/>
      <c r="D50" s="18"/>
      <c r="E50" s="36"/>
      <c r="F50" s="29"/>
      <c r="G50" s="29"/>
      <c r="H50" s="30" t="s">
        <v>8</v>
      </c>
      <c r="I50" s="30"/>
      <c r="J50" s="30"/>
      <c r="K50" s="31"/>
    </row>
    <row r="51" spans="1:11" ht="13.5" thickTop="1" x14ac:dyDescent="0.2">
      <c r="A51" s="15"/>
      <c r="B51" s="20" t="s">
        <v>10</v>
      </c>
      <c r="C51" s="19"/>
      <c r="D51" s="19"/>
      <c r="E51" s="22"/>
      <c r="F51" s="23"/>
      <c r="G51" s="23"/>
      <c r="H51" s="23"/>
      <c r="I51" s="23"/>
      <c r="J51" s="23"/>
      <c r="K51" s="23"/>
    </row>
    <row r="52" spans="1:11" x14ac:dyDescent="0.2">
      <c r="A52" s="15"/>
      <c r="B52" s="19" t="s">
        <v>62</v>
      </c>
      <c r="C52" s="19"/>
      <c r="D52" s="19"/>
      <c r="E52" s="22"/>
      <c r="F52" s="23"/>
      <c r="G52" s="23"/>
      <c r="H52" s="23"/>
      <c r="I52" s="23"/>
      <c r="J52" s="23"/>
      <c r="K52" s="23"/>
    </row>
    <row r="53" spans="1:11" ht="13.5" x14ac:dyDescent="0.25">
      <c r="A53" s="15"/>
      <c r="B53" s="15" t="s">
        <v>37</v>
      </c>
      <c r="C53" s="15"/>
      <c r="D53" s="15"/>
      <c r="E53" s="15"/>
      <c r="F53" s="15"/>
      <c r="G53" s="15"/>
      <c r="H53" s="15"/>
      <c r="I53" s="15"/>
      <c r="J53" s="15"/>
      <c r="K53" s="15"/>
    </row>
    <row r="54" spans="1:11" x14ac:dyDescent="0.2">
      <c r="A54" s="15"/>
      <c r="B54" s="15" t="s">
        <v>33</v>
      </c>
      <c r="C54" s="15"/>
      <c r="D54" s="15"/>
      <c r="E54" s="15"/>
      <c r="F54" s="15"/>
      <c r="G54" s="15"/>
      <c r="H54" s="15"/>
      <c r="I54" s="15"/>
      <c r="J54" s="15"/>
      <c r="K54" s="15"/>
    </row>
    <row r="55" spans="1:11" x14ac:dyDescent="0.2">
      <c r="A55" s="15"/>
      <c r="B55" s="15" t="s">
        <v>45</v>
      </c>
      <c r="C55" s="15"/>
      <c r="D55" s="15"/>
      <c r="E55" s="15"/>
      <c r="F55" s="15"/>
      <c r="G55" s="15"/>
      <c r="H55" s="15"/>
      <c r="I55" s="15"/>
      <c r="J55" s="15"/>
      <c r="K55" s="15"/>
    </row>
    <row r="56" spans="1:11" x14ac:dyDescent="0.2">
      <c r="A56" s="15"/>
      <c r="B56" s="14" t="s">
        <v>9</v>
      </c>
      <c r="C56" s="15"/>
      <c r="D56" s="15"/>
      <c r="E56" s="15"/>
      <c r="F56" s="15"/>
      <c r="G56" s="15"/>
      <c r="H56" s="15"/>
      <c r="I56" s="15"/>
      <c r="J56" s="15"/>
      <c r="K56" s="15"/>
    </row>
    <row r="57" spans="1:11" x14ac:dyDescent="0.2">
      <c r="A57" s="15"/>
      <c r="B57" s="15" t="s">
        <v>63</v>
      </c>
      <c r="C57" s="15"/>
      <c r="D57" s="15"/>
      <c r="E57" s="15"/>
      <c r="F57" s="15"/>
      <c r="G57" s="15"/>
      <c r="H57" s="15"/>
      <c r="I57" s="15"/>
      <c r="J57" s="15"/>
      <c r="K57" s="15"/>
    </row>
  </sheetData>
  <mergeCells count="5">
    <mergeCell ref="A2:L2"/>
    <mergeCell ref="A1:L1"/>
    <mergeCell ref="A3:L3"/>
    <mergeCell ref="A5:C5"/>
    <mergeCell ref="A6:C6"/>
  </mergeCells>
  <phoneticPr fontId="19" type="noConversion"/>
  <pageMargins left="0.75" right="0.75" top="1" bottom="1" header="0.5" footer="0.5"/>
  <pageSetup orientation="portrait" r:id="rId1"/>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100"/>
  <sheetViews>
    <sheetView workbookViewId="0">
      <selection activeCell="A3" sqref="A3:L3"/>
    </sheetView>
  </sheetViews>
  <sheetFormatPr defaultColWidth="8.7109375" defaultRowHeight="12.75" x14ac:dyDescent="0.2"/>
  <cols>
    <col min="1" max="1" width="10" customWidth="1"/>
    <col min="2" max="2" width="16" customWidth="1"/>
    <col min="3" max="3" width="17.28515625" customWidth="1"/>
    <col min="4" max="4" width="15.42578125" customWidth="1"/>
    <col min="5" max="5" width="12.42578125" customWidth="1"/>
    <col min="6" max="6" width="12.7109375" customWidth="1"/>
    <col min="7" max="7" width="11.28515625" customWidth="1"/>
    <col min="8" max="9" width="15.42578125" customWidth="1"/>
    <col min="10" max="10" width="13.28515625" customWidth="1"/>
    <col min="11" max="11" width="8.85546875" bestFit="1" customWidth="1"/>
    <col min="12" max="12" width="12.42578125" customWidth="1"/>
  </cols>
  <sheetData>
    <row r="1" spans="1:17" s="58" customFormat="1" ht="20.25" x14ac:dyDescent="0.3">
      <c r="A1" s="341" t="str">
        <f>'5222018'!A1</f>
        <v>Potential To Emit Calculator for Concrete Batch Plants</v>
      </c>
      <c r="B1" s="341"/>
      <c r="C1" s="341"/>
      <c r="D1" s="341"/>
      <c r="E1" s="341"/>
      <c r="F1" s="341"/>
      <c r="G1" s="341"/>
      <c r="H1" s="341"/>
      <c r="I1" s="341"/>
      <c r="J1" s="341"/>
      <c r="K1" s="341"/>
      <c r="L1" s="341"/>
      <c r="M1" s="108"/>
      <c r="N1" s="9"/>
      <c r="O1" s="9"/>
    </row>
    <row r="2" spans="1:17" s="58" customFormat="1" x14ac:dyDescent="0.2">
      <c r="A2" s="345">
        <v>43242</v>
      </c>
      <c r="B2" s="345"/>
      <c r="C2" s="345"/>
      <c r="D2" s="345"/>
      <c r="E2" s="345"/>
      <c r="F2" s="345"/>
      <c r="G2" s="345"/>
      <c r="H2" s="345"/>
      <c r="I2" s="345"/>
      <c r="J2" s="345"/>
      <c r="K2" s="345"/>
      <c r="L2" s="345"/>
      <c r="N2" s="10"/>
      <c r="O2" s="10"/>
      <c r="P2" s="10"/>
      <c r="Q2" s="10"/>
    </row>
    <row r="3" spans="1:17" ht="15.75" x14ac:dyDescent="0.25">
      <c r="A3" s="369" t="s">
        <v>88</v>
      </c>
      <c r="B3" s="369"/>
      <c r="C3" s="369"/>
      <c r="D3" s="369"/>
      <c r="E3" s="369"/>
      <c r="F3" s="369"/>
      <c r="G3" s="369"/>
      <c r="H3" s="369"/>
      <c r="I3" s="369"/>
      <c r="J3" s="369"/>
      <c r="K3" s="369"/>
      <c r="L3" s="369"/>
    </row>
    <row r="4" spans="1:17" ht="15.75" x14ac:dyDescent="0.25">
      <c r="A4" s="63"/>
      <c r="B4" s="13"/>
    </row>
    <row r="5" spans="1:17" x14ac:dyDescent="0.2">
      <c r="G5" s="5" t="s">
        <v>1</v>
      </c>
    </row>
    <row r="6" spans="1:17" x14ac:dyDescent="0.2">
      <c r="A6" s="1" t="s">
        <v>162</v>
      </c>
      <c r="B6" s="3"/>
      <c r="C6" s="3"/>
      <c r="D6" s="182"/>
      <c r="E6" s="183"/>
      <c r="F6" s="3"/>
      <c r="G6" s="2" t="s">
        <v>20</v>
      </c>
      <c r="H6" s="3"/>
      <c r="I6" s="3"/>
    </row>
    <row r="7" spans="1:17" x14ac:dyDescent="0.2">
      <c r="A7" s="181"/>
      <c r="B7" s="3"/>
      <c r="C7" s="3"/>
      <c r="D7" s="182"/>
      <c r="E7" s="183"/>
      <c r="F7" s="3"/>
      <c r="G7" s="3"/>
      <c r="H7" s="3"/>
      <c r="I7" s="3"/>
    </row>
    <row r="8" spans="1:17" x14ac:dyDescent="0.2">
      <c r="A8" s="380" t="s">
        <v>155</v>
      </c>
      <c r="B8" s="380"/>
      <c r="C8" s="380"/>
      <c r="D8" s="380"/>
      <c r="E8" s="380"/>
      <c r="F8" s="380"/>
      <c r="G8" s="380"/>
      <c r="H8" s="380"/>
      <c r="I8" s="380"/>
      <c r="J8" s="186"/>
      <c r="K8" s="186"/>
      <c r="L8" s="186"/>
    </row>
    <row r="9" spans="1:17" x14ac:dyDescent="0.2">
      <c r="A9" s="184"/>
      <c r="B9" s="3"/>
      <c r="C9" s="3"/>
      <c r="D9" s="182"/>
      <c r="E9" s="183"/>
      <c r="F9" s="3"/>
      <c r="G9" s="3"/>
      <c r="H9" s="3"/>
      <c r="I9" s="3"/>
    </row>
    <row r="10" spans="1:17" ht="15.75" x14ac:dyDescent="0.3">
      <c r="A10" s="185"/>
      <c r="B10" s="198" t="s">
        <v>168</v>
      </c>
      <c r="C10" s="184"/>
      <c r="D10" s="186"/>
      <c r="E10" s="186"/>
      <c r="F10" s="184"/>
      <c r="G10" s="3"/>
      <c r="H10" s="3"/>
      <c r="I10" s="3"/>
    </row>
    <row r="11" spans="1:17" x14ac:dyDescent="0.2">
      <c r="A11" s="3"/>
      <c r="B11" s="187"/>
      <c r="C11" s="187"/>
      <c r="D11" s="187"/>
      <c r="E11" s="3"/>
      <c r="F11" s="3"/>
      <c r="G11" s="3"/>
      <c r="H11" s="3"/>
      <c r="I11" s="3"/>
    </row>
    <row r="12" spans="1:17" x14ac:dyDescent="0.2">
      <c r="A12" s="3"/>
      <c r="B12" s="199" t="s">
        <v>102</v>
      </c>
      <c r="C12" s="3"/>
      <c r="D12" s="3"/>
      <c r="E12" s="3"/>
      <c r="F12" s="3"/>
      <c r="G12" s="3"/>
      <c r="H12" s="3"/>
      <c r="I12" s="3"/>
    </row>
    <row r="13" spans="1:17" ht="15.75" x14ac:dyDescent="0.3">
      <c r="A13" s="3"/>
      <c r="B13" s="3"/>
      <c r="C13" s="3"/>
      <c r="D13" s="199" t="s">
        <v>154</v>
      </c>
      <c r="E13" s="3"/>
      <c r="F13" s="3"/>
      <c r="G13" s="60" t="s">
        <v>157</v>
      </c>
      <c r="H13" s="3"/>
      <c r="I13" s="3"/>
    </row>
    <row r="14" spans="1:17" x14ac:dyDescent="0.2">
      <c r="A14" s="3"/>
      <c r="B14" s="3"/>
      <c r="C14" s="3"/>
      <c r="D14" s="185" t="s">
        <v>93</v>
      </c>
      <c r="E14" s="153">
        <v>1.0999999999999999E-2</v>
      </c>
      <c r="F14" s="3" t="s">
        <v>94</v>
      </c>
      <c r="G14" s="60" t="s">
        <v>160</v>
      </c>
      <c r="H14" s="3"/>
      <c r="I14" s="3"/>
    </row>
    <row r="15" spans="1:17" x14ac:dyDescent="0.2">
      <c r="A15" s="3"/>
      <c r="B15" s="3"/>
      <c r="C15" s="3"/>
      <c r="D15" s="185"/>
      <c r="E15" s="153">
        <v>2.2000000000000001E-3</v>
      </c>
      <c r="F15" s="3" t="s">
        <v>95</v>
      </c>
      <c r="G15" s="60" t="s">
        <v>160</v>
      </c>
      <c r="H15" s="3"/>
      <c r="I15" s="3"/>
    </row>
    <row r="16" spans="1:17" x14ac:dyDescent="0.2">
      <c r="A16" s="3"/>
      <c r="B16" s="3"/>
      <c r="C16" s="3"/>
      <c r="D16" s="185"/>
      <c r="E16" s="153">
        <v>5.4000000000000001E-4</v>
      </c>
      <c r="F16" s="60" t="s">
        <v>156</v>
      </c>
      <c r="G16" s="60" t="s">
        <v>160</v>
      </c>
      <c r="H16" s="3"/>
      <c r="I16" s="3"/>
    </row>
    <row r="17" spans="1:9" ht="14.25" x14ac:dyDescent="0.2">
      <c r="A17" s="3"/>
      <c r="B17" s="3"/>
      <c r="C17" s="3"/>
      <c r="D17" s="199" t="s">
        <v>161</v>
      </c>
      <c r="E17" s="188">
        <v>12</v>
      </c>
      <c r="F17" s="60" t="s">
        <v>158</v>
      </c>
      <c r="G17" s="60" t="s">
        <v>159</v>
      </c>
      <c r="H17" s="3"/>
      <c r="I17" s="3"/>
    </row>
    <row r="18" spans="1:9" x14ac:dyDescent="0.2">
      <c r="A18" s="3"/>
      <c r="B18" s="185" t="str">
        <f>C57</f>
        <v>Transit Mix Truck</v>
      </c>
      <c r="C18" s="3"/>
      <c r="D18" s="185" t="s">
        <v>91</v>
      </c>
      <c r="E18" s="233">
        <f>E57</f>
        <v>25</v>
      </c>
      <c r="F18" s="3" t="s">
        <v>92</v>
      </c>
      <c r="G18" s="11" t="s">
        <v>163</v>
      </c>
      <c r="H18" s="3"/>
      <c r="I18" s="3"/>
    </row>
    <row r="19" spans="1:9" x14ac:dyDescent="0.2">
      <c r="A19" s="3"/>
      <c r="B19" s="185" t="str">
        <f t="shared" ref="B19:B20" si="0">C58</f>
        <v>Gravel/Sand Delivery Truck</v>
      </c>
      <c r="C19" s="3"/>
      <c r="D19" s="185" t="s">
        <v>91</v>
      </c>
      <c r="E19" s="233">
        <f>E58</f>
        <v>25</v>
      </c>
      <c r="F19" s="3" t="s">
        <v>92</v>
      </c>
      <c r="G19" s="11" t="s">
        <v>163</v>
      </c>
      <c r="H19" s="3"/>
      <c r="I19" s="3"/>
    </row>
    <row r="20" spans="1:9" x14ac:dyDescent="0.2">
      <c r="A20" s="3"/>
      <c r="B20" s="185" t="str">
        <f t="shared" si="0"/>
        <v>Other Delivery Truck</v>
      </c>
      <c r="C20" s="3"/>
      <c r="D20" s="185" t="s">
        <v>91</v>
      </c>
      <c r="E20" s="233">
        <f>E59</f>
        <v>1</v>
      </c>
      <c r="F20" s="3" t="s">
        <v>92</v>
      </c>
      <c r="G20" s="11" t="s">
        <v>163</v>
      </c>
      <c r="H20" s="3"/>
      <c r="I20" s="3"/>
    </row>
    <row r="21" spans="1:9" x14ac:dyDescent="0.2">
      <c r="A21" s="3"/>
      <c r="B21" s="3"/>
      <c r="C21" s="3"/>
      <c r="D21" s="185" t="s">
        <v>98</v>
      </c>
      <c r="E21" s="232">
        <f>'5222018'!C44</f>
        <v>50</v>
      </c>
      <c r="F21" s="60" t="s">
        <v>166</v>
      </c>
      <c r="G21" s="11" t="s">
        <v>163</v>
      </c>
      <c r="H21" s="3"/>
      <c r="I21" s="3"/>
    </row>
    <row r="22" spans="1:9" x14ac:dyDescent="0.2">
      <c r="A22" s="3"/>
      <c r="B22" s="3"/>
      <c r="C22" s="3"/>
      <c r="D22" s="185"/>
      <c r="E22" s="189"/>
      <c r="F22" s="3"/>
      <c r="G22" s="383" t="s">
        <v>197</v>
      </c>
      <c r="H22" s="384"/>
      <c r="I22" s="384"/>
    </row>
    <row r="23" spans="1:9" x14ac:dyDescent="0.2">
      <c r="A23" s="3"/>
      <c r="B23" s="3"/>
      <c r="C23" s="3"/>
      <c r="D23" s="185"/>
      <c r="E23" s="189"/>
      <c r="F23" s="3"/>
      <c r="G23" s="270" t="s">
        <v>15</v>
      </c>
      <c r="H23" s="273" t="s">
        <v>107</v>
      </c>
      <c r="I23" s="273" t="s">
        <v>196</v>
      </c>
    </row>
    <row r="24" spans="1:9" x14ac:dyDescent="0.2">
      <c r="A24" s="3"/>
      <c r="B24" s="3"/>
      <c r="C24" s="3"/>
      <c r="D24" s="3"/>
      <c r="E24" s="3"/>
      <c r="F24" s="199" t="str">
        <f>B18</f>
        <v>Transit Mix Truck</v>
      </c>
      <c r="G24" s="270">
        <f>E$14*E$17^0.91*E18^1.02*(1-E$21/(4*365))</f>
        <v>2.7177699023103203</v>
      </c>
      <c r="H24" s="270">
        <f>E$15*E$17^0.91*E18^1.02*(1-E$21/(4*365))</f>
        <v>0.54355398046206416</v>
      </c>
      <c r="I24" s="270">
        <f>E$16*E$17^0.91*E18^1.02*(1-E$21/(4*365))</f>
        <v>0.13341779520432484</v>
      </c>
    </row>
    <row r="25" spans="1:9" x14ac:dyDescent="0.2">
      <c r="A25" s="3"/>
      <c r="B25" s="3"/>
      <c r="C25" s="3"/>
      <c r="D25" s="3"/>
      <c r="E25" s="3"/>
      <c r="F25" s="199" t="str">
        <f>B19</f>
        <v>Gravel/Sand Delivery Truck</v>
      </c>
      <c r="G25" s="270">
        <f t="shared" ref="G25" si="1">E$14*E$17^0.91*E19^1.02*(1-E$21/(4*365))</f>
        <v>2.7177699023103203</v>
      </c>
      <c r="H25" s="270">
        <f>E$15*E$17^0.91*E19^1.02*(1-E$21/(4*365))</f>
        <v>0.54355398046206416</v>
      </c>
      <c r="I25" s="270">
        <f t="shared" ref="I25" si="2">E$16*E$17^0.91*E19^1.02*(1-E$21/(4*365))</f>
        <v>0.13341779520432484</v>
      </c>
    </row>
    <row r="26" spans="1:9" x14ac:dyDescent="0.2">
      <c r="A26" s="3"/>
      <c r="B26" s="3"/>
      <c r="C26" s="3"/>
      <c r="D26" s="186"/>
      <c r="E26" s="3"/>
      <c r="F26" s="199" t="str">
        <f>B20</f>
        <v>Other Delivery Truck</v>
      </c>
      <c r="G26" s="270">
        <f>E$14*E$17^0.91*E20^1.02*(1-E$21/(4*365))</f>
        <v>0.10193278166636949</v>
      </c>
      <c r="H26" s="270">
        <f>E$15*E$17^0.91*E20^1.02*(1-E$21/(4*365))</f>
        <v>2.0386556333273902E-2</v>
      </c>
      <c r="I26" s="270">
        <f>E$16*E$17^0.91*E20^1.02*(1-E$21/(4*365))</f>
        <v>5.0039729181672304E-3</v>
      </c>
    </row>
    <row r="27" spans="1:9" x14ac:dyDescent="0.2">
      <c r="A27" s="3"/>
      <c r="B27" s="3"/>
      <c r="C27" s="3"/>
      <c r="D27" s="186"/>
      <c r="E27" s="3"/>
      <c r="G27" s="272"/>
      <c r="H27" s="8"/>
      <c r="I27" s="8"/>
    </row>
    <row r="28" spans="1:9" x14ac:dyDescent="0.2">
      <c r="A28" s="1" t="s">
        <v>164</v>
      </c>
      <c r="B28" s="3"/>
      <c r="C28" s="3"/>
      <c r="D28" s="186"/>
      <c r="E28" s="3"/>
      <c r="F28" s="185"/>
      <c r="G28" s="190"/>
      <c r="H28" s="3"/>
      <c r="I28" s="3"/>
    </row>
    <row r="29" spans="1:9" x14ac:dyDescent="0.2">
      <c r="A29" s="3"/>
      <c r="B29" s="3"/>
      <c r="C29" s="3"/>
      <c r="D29" s="186"/>
      <c r="E29" s="3"/>
      <c r="F29" s="185"/>
      <c r="G29" s="190"/>
      <c r="H29" s="3"/>
      <c r="I29" s="3"/>
    </row>
    <row r="30" spans="1:9" x14ac:dyDescent="0.2">
      <c r="A30" s="198" t="s">
        <v>165</v>
      </c>
      <c r="B30" s="3"/>
      <c r="C30" s="3"/>
      <c r="D30" s="186"/>
      <c r="E30" s="3"/>
      <c r="F30" s="185"/>
      <c r="G30" s="190"/>
      <c r="H30" s="3"/>
      <c r="I30" s="3"/>
    </row>
    <row r="31" spans="1:9" x14ac:dyDescent="0.2">
      <c r="A31" s="184"/>
      <c r="B31" s="3"/>
      <c r="C31" s="3"/>
      <c r="D31" s="186"/>
      <c r="E31" s="3"/>
      <c r="F31" s="185"/>
      <c r="G31" s="190"/>
      <c r="H31" s="3"/>
      <c r="I31" s="3"/>
    </row>
    <row r="32" spans="1:9" ht="15.75" x14ac:dyDescent="0.3">
      <c r="A32" s="3"/>
      <c r="B32" s="235" t="s">
        <v>169</v>
      </c>
      <c r="C32" s="185"/>
      <c r="D32" s="3"/>
      <c r="E32" s="3"/>
      <c r="F32" s="187"/>
      <c r="G32" s="190"/>
      <c r="H32" s="3"/>
      <c r="I32" s="3"/>
    </row>
    <row r="33" spans="1:9" x14ac:dyDescent="0.2">
      <c r="A33" s="3"/>
      <c r="B33" s="3"/>
      <c r="C33" s="185"/>
      <c r="D33" s="140"/>
      <c r="E33" s="3"/>
      <c r="F33" s="187"/>
      <c r="G33" s="190"/>
      <c r="H33" s="3"/>
      <c r="I33" s="3"/>
    </row>
    <row r="34" spans="1:9" x14ac:dyDescent="0.2">
      <c r="A34" s="3"/>
      <c r="B34" s="185" t="s">
        <v>102</v>
      </c>
      <c r="C34" s="3"/>
      <c r="D34" s="3"/>
      <c r="E34" s="187"/>
      <c r="F34" s="3"/>
      <c r="G34" s="190"/>
      <c r="H34" s="3"/>
      <c r="I34" s="3"/>
    </row>
    <row r="35" spans="1:9" ht="15.75" x14ac:dyDescent="0.3">
      <c r="A35" s="3"/>
      <c r="B35" s="185"/>
      <c r="D35" s="199" t="s">
        <v>154</v>
      </c>
      <c r="E35" s="3"/>
      <c r="F35" s="187"/>
      <c r="G35" s="60" t="s">
        <v>157</v>
      </c>
      <c r="H35" s="3"/>
      <c r="I35" s="3"/>
    </row>
    <row r="36" spans="1:9" x14ac:dyDescent="0.2">
      <c r="A36" s="3"/>
      <c r="B36" s="3"/>
      <c r="D36" s="185" t="s">
        <v>103</v>
      </c>
      <c r="E36" s="153">
        <v>4.9000000000000004</v>
      </c>
      <c r="F36" s="3" t="s">
        <v>94</v>
      </c>
      <c r="G36" s="60" t="s">
        <v>171</v>
      </c>
      <c r="H36" s="3"/>
      <c r="I36" s="3"/>
    </row>
    <row r="37" spans="1:9" x14ac:dyDescent="0.2">
      <c r="A37" s="3"/>
      <c r="B37" s="3"/>
      <c r="D37" s="185"/>
      <c r="E37" s="153">
        <v>1.5</v>
      </c>
      <c r="F37" s="3" t="s">
        <v>95</v>
      </c>
      <c r="G37" s="60" t="s">
        <v>171</v>
      </c>
      <c r="H37" s="3"/>
      <c r="I37" s="3"/>
    </row>
    <row r="38" spans="1:9" x14ac:dyDescent="0.2">
      <c r="A38" s="3"/>
      <c r="B38" s="3"/>
      <c r="D38" s="185"/>
      <c r="E38" s="153">
        <v>0.15</v>
      </c>
      <c r="F38" s="60" t="s">
        <v>156</v>
      </c>
      <c r="G38" s="60" t="s">
        <v>171</v>
      </c>
      <c r="H38" s="3"/>
      <c r="I38" s="3"/>
    </row>
    <row r="39" spans="1:9" x14ac:dyDescent="0.2">
      <c r="A39" s="3"/>
      <c r="B39" s="3"/>
      <c r="D39" s="185" t="s">
        <v>104</v>
      </c>
      <c r="E39" s="194">
        <v>8.5</v>
      </c>
      <c r="F39" s="3"/>
      <c r="G39" s="60" t="s">
        <v>167</v>
      </c>
      <c r="H39" s="3"/>
      <c r="I39" s="3"/>
    </row>
    <row r="40" spans="1:9" x14ac:dyDescent="0.2">
      <c r="A40" s="3"/>
      <c r="B40" s="185" t="str">
        <f>B18</f>
        <v>Transit Mix Truck</v>
      </c>
      <c r="D40" s="185" t="s">
        <v>105</v>
      </c>
      <c r="E40" s="233">
        <f>E18</f>
        <v>25</v>
      </c>
      <c r="F40" s="3" t="s">
        <v>106</v>
      </c>
      <c r="G40" s="11" t="s">
        <v>163</v>
      </c>
      <c r="H40" s="3"/>
      <c r="I40" s="3"/>
    </row>
    <row r="41" spans="1:9" x14ac:dyDescent="0.2">
      <c r="A41" s="3"/>
      <c r="B41" s="185" t="str">
        <f t="shared" ref="B41:B42" si="3">B19</f>
        <v>Gravel/Sand Delivery Truck</v>
      </c>
      <c r="D41" s="185" t="s">
        <v>105</v>
      </c>
      <c r="E41" s="233">
        <f t="shared" ref="E41:E42" si="4">E19</f>
        <v>25</v>
      </c>
      <c r="F41" s="3" t="s">
        <v>106</v>
      </c>
      <c r="G41" s="11" t="s">
        <v>163</v>
      </c>
      <c r="H41" s="3"/>
      <c r="I41" s="3"/>
    </row>
    <row r="42" spans="1:9" x14ac:dyDescent="0.2">
      <c r="A42" s="3"/>
      <c r="B42" s="185" t="str">
        <f t="shared" si="3"/>
        <v>Other Delivery Truck</v>
      </c>
      <c r="D42" s="185" t="s">
        <v>105</v>
      </c>
      <c r="E42" s="233">
        <f t="shared" si="4"/>
        <v>1</v>
      </c>
      <c r="F42" s="3" t="s">
        <v>106</v>
      </c>
      <c r="G42" s="11" t="s">
        <v>163</v>
      </c>
      <c r="H42" s="3"/>
      <c r="I42" s="3"/>
    </row>
    <row r="43" spans="1:9" x14ac:dyDescent="0.2">
      <c r="A43" s="3"/>
      <c r="B43" s="3"/>
      <c r="D43" s="185" t="s">
        <v>96</v>
      </c>
      <c r="E43" s="153">
        <v>0.7</v>
      </c>
      <c r="F43" s="60" t="s">
        <v>15</v>
      </c>
      <c r="G43" s="60" t="s">
        <v>171</v>
      </c>
      <c r="H43" s="3"/>
      <c r="I43" s="3"/>
    </row>
    <row r="44" spans="1:9" x14ac:dyDescent="0.2">
      <c r="A44" s="3"/>
      <c r="B44" s="3"/>
      <c r="D44" s="185" t="s">
        <v>96</v>
      </c>
      <c r="E44" s="153">
        <v>0.9</v>
      </c>
      <c r="F44" s="60" t="s">
        <v>170</v>
      </c>
      <c r="G44" s="60" t="s">
        <v>171</v>
      </c>
      <c r="H44" s="3"/>
      <c r="I44" s="3"/>
    </row>
    <row r="45" spans="1:9" x14ac:dyDescent="0.2">
      <c r="A45" s="3"/>
      <c r="B45" s="3"/>
      <c r="D45" s="185" t="s">
        <v>97</v>
      </c>
      <c r="E45" s="153">
        <v>0.45</v>
      </c>
      <c r="F45" s="3"/>
      <c r="G45" s="60" t="s">
        <v>171</v>
      </c>
      <c r="H45" s="3"/>
      <c r="I45" s="3"/>
    </row>
    <row r="46" spans="1:9" x14ac:dyDescent="0.2">
      <c r="A46" s="3"/>
      <c r="B46" s="3"/>
      <c r="D46" s="185" t="s">
        <v>98</v>
      </c>
      <c r="E46" s="232">
        <f>'5222018'!C44</f>
        <v>50</v>
      </c>
      <c r="F46" s="3"/>
      <c r="G46" s="11" t="s">
        <v>163</v>
      </c>
      <c r="H46" s="3"/>
      <c r="I46" s="3"/>
    </row>
    <row r="47" spans="1:9" x14ac:dyDescent="0.2">
      <c r="A47" s="3"/>
      <c r="B47" s="3"/>
      <c r="C47" s="185"/>
      <c r="D47" s="185"/>
      <c r="E47" s="3"/>
      <c r="F47" s="3"/>
      <c r="G47" s="383" t="s">
        <v>197</v>
      </c>
      <c r="H47" s="384"/>
      <c r="I47" s="384"/>
    </row>
    <row r="48" spans="1:9" x14ac:dyDescent="0.2">
      <c r="A48" s="3"/>
      <c r="B48" s="3"/>
      <c r="C48" s="185"/>
      <c r="D48" s="185"/>
      <c r="E48" s="3"/>
      <c r="F48" s="3"/>
      <c r="G48" s="270" t="s">
        <v>15</v>
      </c>
      <c r="H48" s="273" t="s">
        <v>107</v>
      </c>
      <c r="I48" s="273" t="s">
        <v>196</v>
      </c>
    </row>
    <row r="49" spans="1:11" x14ac:dyDescent="0.2">
      <c r="A49" s="3"/>
      <c r="B49" s="3"/>
      <c r="C49" s="3"/>
      <c r="F49" s="199" t="str">
        <f>B40</f>
        <v>Transit Mix Truck</v>
      </c>
      <c r="G49" s="271">
        <f>E$36*(E$39/12)^E$43*(E40/3)^E$45*((365-E$46)/365)</f>
        <v>8.6247910906101914</v>
      </c>
      <c r="H49" s="271">
        <f>E$37*(E$39/12)^E$44*(E40/3)^E$45*((365-E$46)/365)</f>
        <v>2.4642870759437585</v>
      </c>
      <c r="I49" s="271">
        <f>E$38*(E$39/12)^E$44*(E40/3)^E$45*((365-E$46)/365)</f>
        <v>0.24642870759437582</v>
      </c>
    </row>
    <row r="50" spans="1:11" x14ac:dyDescent="0.2">
      <c r="A50" s="3"/>
      <c r="B50" s="3"/>
      <c r="C50" s="3"/>
      <c r="F50" s="199" t="str">
        <f t="shared" ref="F50:F51" si="5">B41</f>
        <v>Gravel/Sand Delivery Truck</v>
      </c>
      <c r="G50" s="271">
        <f t="shared" ref="G50" si="6">E$36*(E$39/12)^E$43*(E41/3)^E$45*((365-E$46)/365)</f>
        <v>8.6247910906101914</v>
      </c>
      <c r="H50" s="271">
        <f t="shared" ref="H50" si="7">E$37*(E$39/12)^E$44*(E41/3)^E$45*((365-E$46)/365)</f>
        <v>2.4642870759437585</v>
      </c>
      <c r="I50" s="271">
        <f t="shared" ref="I50" si="8">E$38*(E$39/12)^E$44*(E41/3)^E$45*((365-E$46)/365)</f>
        <v>0.24642870759437582</v>
      </c>
    </row>
    <row r="51" spans="1:11" x14ac:dyDescent="0.2">
      <c r="A51" s="3"/>
      <c r="B51" s="3"/>
      <c r="C51" s="3"/>
      <c r="F51" s="199" t="str">
        <f t="shared" si="5"/>
        <v>Other Delivery Truck</v>
      </c>
      <c r="G51" s="271">
        <f>E$36*(E$39/12)^E$43*(E42/3)^E$45*((365-E$46)/365)</f>
        <v>2.0261685990415019</v>
      </c>
      <c r="H51" s="271">
        <f>E$37*(E$39/12)^E$44*(E42/3)^E$45*((365-E$46)/365)</f>
        <v>0.57891965612210439</v>
      </c>
      <c r="I51" s="271">
        <f>E$38*(E$39/12)^E$44*(E42/3)^E$45*((365-E$46)/365)</f>
        <v>5.7891965612210446E-2</v>
      </c>
    </row>
    <row r="52" spans="1:11" x14ac:dyDescent="0.2">
      <c r="A52" s="3"/>
      <c r="B52" s="3"/>
      <c r="C52" s="3"/>
      <c r="D52" s="186"/>
      <c r="E52" s="3"/>
      <c r="F52" s="185"/>
      <c r="G52" s="190"/>
      <c r="H52" s="3"/>
      <c r="I52" s="3"/>
    </row>
    <row r="53" spans="1:11" x14ac:dyDescent="0.2">
      <c r="A53" s="1" t="s">
        <v>172</v>
      </c>
      <c r="B53" s="3"/>
      <c r="C53" s="3"/>
      <c r="D53" s="186"/>
      <c r="E53" s="3"/>
      <c r="F53" s="185"/>
      <c r="G53" s="190"/>
      <c r="H53" s="3"/>
      <c r="I53" s="3"/>
    </row>
    <row r="54" spans="1:11" ht="13.5" thickBot="1" x14ac:dyDescent="0.25">
      <c r="A54" s="3"/>
      <c r="B54" s="1" t="s">
        <v>148</v>
      </c>
      <c r="D54" s="51"/>
      <c r="E54" s="11"/>
      <c r="F54" s="11"/>
      <c r="G54" s="3" t="s">
        <v>8</v>
      </c>
      <c r="H54" s="3" t="s">
        <v>8</v>
      </c>
      <c r="I54" s="49"/>
      <c r="J54" s="50" t="s">
        <v>8</v>
      </c>
    </row>
    <row r="55" spans="1:11" x14ac:dyDescent="0.2">
      <c r="A55" s="3"/>
      <c r="B55" s="73"/>
      <c r="C55" s="74"/>
      <c r="D55" s="74"/>
      <c r="E55" s="74"/>
      <c r="F55" s="74"/>
      <c r="G55" s="74"/>
      <c r="H55" s="378" t="s">
        <v>17</v>
      </c>
      <c r="I55" s="378"/>
      <c r="J55" s="379"/>
    </row>
    <row r="56" spans="1:11" ht="27" x14ac:dyDescent="0.3">
      <c r="A56" s="3"/>
      <c r="B56" s="109" t="s">
        <v>175</v>
      </c>
      <c r="C56" s="377" t="s">
        <v>99</v>
      </c>
      <c r="D56" s="377"/>
      <c r="E56" s="268" t="s">
        <v>178</v>
      </c>
      <c r="F56" s="125" t="s">
        <v>176</v>
      </c>
      <c r="G56" s="269" t="s">
        <v>177</v>
      </c>
      <c r="H56" s="142" t="s">
        <v>15</v>
      </c>
      <c r="I56" s="143" t="s">
        <v>5</v>
      </c>
      <c r="J56" s="146" t="s">
        <v>4</v>
      </c>
    </row>
    <row r="57" spans="1:11" x14ac:dyDescent="0.2">
      <c r="A57" s="3"/>
      <c r="B57" s="212" t="s">
        <v>173</v>
      </c>
      <c r="C57" s="377" t="str">
        <f>'5222018'!B49</f>
        <v>Transit Mix Truck</v>
      </c>
      <c r="D57" s="377"/>
      <c r="E57" s="213">
        <f>'5222018'!C49</f>
        <v>25</v>
      </c>
      <c r="F57" s="213">
        <f>'5222018'!E49</f>
        <v>1000</v>
      </c>
      <c r="G57" s="213">
        <f>'5222018'!G49</f>
        <v>0.1</v>
      </c>
      <c r="H57" s="131">
        <f>$F57*$G57*G24/2000</f>
        <v>0.13588849511551601</v>
      </c>
      <c r="I57" s="131">
        <f t="shared" ref="I57:J57" si="9">$F57*$G57*H24/2000</f>
        <v>2.717769902310321E-2</v>
      </c>
      <c r="J57" s="236">
        <f t="shared" si="9"/>
        <v>6.6708897602162417E-3</v>
      </c>
    </row>
    <row r="58" spans="1:11" x14ac:dyDescent="0.2">
      <c r="A58" s="3"/>
      <c r="B58" s="212" t="s">
        <v>173</v>
      </c>
      <c r="C58" s="377" t="str">
        <f>'5222018'!B50</f>
        <v>Gravel/Sand Delivery Truck</v>
      </c>
      <c r="D58" s="377"/>
      <c r="E58" s="213">
        <f>'5222018'!C50</f>
        <v>25</v>
      </c>
      <c r="F58" s="213">
        <f>'5222018'!E50</f>
        <v>50</v>
      </c>
      <c r="G58" s="213">
        <f>'5222018'!G50</f>
        <v>0.1</v>
      </c>
      <c r="H58" s="131">
        <f t="shared" ref="H58:J58" si="10">$F58*$G58*G25/2000</f>
        <v>6.7944247557758007E-3</v>
      </c>
      <c r="I58" s="131">
        <f t="shared" si="10"/>
        <v>1.3588849511551604E-3</v>
      </c>
      <c r="J58" s="236">
        <f t="shared" si="10"/>
        <v>3.3354448801081212E-4</v>
      </c>
      <c r="K58" s="234"/>
    </row>
    <row r="59" spans="1:11" x14ac:dyDescent="0.2">
      <c r="A59" s="3"/>
      <c r="B59" s="212" t="s">
        <v>173</v>
      </c>
      <c r="C59" s="377" t="str">
        <f>'5222018'!B51</f>
        <v>Other Delivery Truck</v>
      </c>
      <c r="D59" s="377"/>
      <c r="E59" s="213">
        <f>'5222018'!C51</f>
        <v>1</v>
      </c>
      <c r="F59" s="213">
        <f>'5222018'!E51</f>
        <v>200</v>
      </c>
      <c r="G59" s="213">
        <f>'5222018'!G51</f>
        <v>0.1</v>
      </c>
      <c r="H59" s="131">
        <f t="shared" ref="H59:I59" si="11">$F59*$G59*G26/2000</f>
        <v>1.019327816663695E-3</v>
      </c>
      <c r="I59" s="131">
        <f t="shared" si="11"/>
        <v>2.0386556333273903E-4</v>
      </c>
      <c r="J59" s="236">
        <f>$F59*$G59*I26/2000</f>
        <v>5.0039729181672305E-5</v>
      </c>
      <c r="K59" s="234"/>
    </row>
    <row r="60" spans="1:11" x14ac:dyDescent="0.2">
      <c r="A60" s="3"/>
      <c r="B60" s="237"/>
      <c r="C60" s="381"/>
      <c r="D60" s="382"/>
      <c r="E60" s="213"/>
      <c r="F60" s="125"/>
      <c r="G60" s="125"/>
      <c r="H60" s="131"/>
      <c r="I60" s="131"/>
      <c r="J60" s="236"/>
      <c r="K60" s="234"/>
    </row>
    <row r="61" spans="1:11" x14ac:dyDescent="0.2">
      <c r="A61" s="3"/>
      <c r="B61" s="197" t="s">
        <v>174</v>
      </c>
      <c r="C61" s="375" t="str">
        <f>'5222018'!B55</f>
        <v>Transit Mix Truck</v>
      </c>
      <c r="D61" s="376"/>
      <c r="E61" s="125">
        <f>'5222018'!C55</f>
        <v>25</v>
      </c>
      <c r="F61" s="125">
        <f>'5222018'!E55</f>
        <v>1000</v>
      </c>
      <c r="G61" s="125">
        <f>'5222018'!G55</f>
        <v>0.15</v>
      </c>
      <c r="H61" s="131">
        <f>$F61*$G61*G49/2000</f>
        <v>0.64685933179576427</v>
      </c>
      <c r="I61" s="131">
        <f t="shared" ref="I61:J61" si="12">$F61*$G61*H49/2000</f>
        <v>0.18482153069578189</v>
      </c>
      <c r="J61" s="236">
        <f t="shared" si="12"/>
        <v>1.8482153069578185E-2</v>
      </c>
      <c r="K61" s="234"/>
    </row>
    <row r="62" spans="1:11" x14ac:dyDescent="0.2">
      <c r="A62" s="3"/>
      <c r="B62" s="197" t="s">
        <v>174</v>
      </c>
      <c r="C62" s="375" t="str">
        <f>'5222018'!B56</f>
        <v>Gravel/Sand Delivery Truck</v>
      </c>
      <c r="D62" s="376"/>
      <c r="E62" s="125">
        <f>'5222018'!C56</f>
        <v>25</v>
      </c>
      <c r="F62" s="125">
        <f>'5222018'!E56</f>
        <v>50</v>
      </c>
      <c r="G62" s="125">
        <f>'5222018'!G56</f>
        <v>0.4</v>
      </c>
      <c r="H62" s="131">
        <f t="shared" ref="H62:J62" si="13">$F62*$G62*G50/2000</f>
        <v>8.6247910906101913E-2</v>
      </c>
      <c r="I62" s="131">
        <f t="shared" si="13"/>
        <v>2.4642870759437586E-2</v>
      </c>
      <c r="J62" s="236">
        <f t="shared" si="13"/>
        <v>2.4642870759437581E-3</v>
      </c>
      <c r="K62" s="234"/>
    </row>
    <row r="63" spans="1:11" x14ac:dyDescent="0.2">
      <c r="A63" s="3"/>
      <c r="B63" s="197" t="s">
        <v>174</v>
      </c>
      <c r="C63" s="375" t="str">
        <f>'5222018'!B57</f>
        <v>Other Delivery Truck</v>
      </c>
      <c r="D63" s="376"/>
      <c r="E63" s="125">
        <f>'5222018'!C57</f>
        <v>1</v>
      </c>
      <c r="F63" s="125">
        <f>'5222018'!E57</f>
        <v>200</v>
      </c>
      <c r="G63" s="125">
        <f>'5222018'!G57</f>
        <v>0</v>
      </c>
      <c r="H63" s="131">
        <f t="shared" ref="H63:I63" si="14">$F63*$G63*G51/2000</f>
        <v>0</v>
      </c>
      <c r="I63" s="131">
        <f t="shared" si="14"/>
        <v>0</v>
      </c>
      <c r="J63" s="236">
        <f>$F63*$G63*I51/2000</f>
        <v>0</v>
      </c>
      <c r="K63" s="234"/>
    </row>
    <row r="64" spans="1:11" ht="13.5" thickBot="1" x14ac:dyDescent="0.25">
      <c r="A64" s="3"/>
      <c r="B64" s="148"/>
      <c r="C64" s="144"/>
      <c r="D64" s="144"/>
      <c r="E64" s="144"/>
      <c r="F64" s="144"/>
      <c r="G64" s="144"/>
      <c r="H64" s="145"/>
      <c r="I64" s="145"/>
      <c r="J64" s="149"/>
      <c r="K64" s="140"/>
    </row>
    <row r="65" spans="1:11" ht="13.5" thickTop="1" x14ac:dyDescent="0.2">
      <c r="A65" s="3"/>
      <c r="B65" s="77"/>
      <c r="C65" s="8"/>
      <c r="D65" s="8"/>
      <c r="E65" s="8"/>
      <c r="F65" s="8"/>
      <c r="G65" s="8"/>
      <c r="H65" s="140"/>
      <c r="I65" s="140"/>
      <c r="J65" s="164"/>
      <c r="K65" s="140"/>
    </row>
    <row r="66" spans="1:11" x14ac:dyDescent="0.2">
      <c r="A66" s="3"/>
      <c r="B66" s="77" t="s">
        <v>24</v>
      </c>
      <c r="C66" s="26"/>
      <c r="D66" s="26"/>
      <c r="E66" s="26"/>
      <c r="F66" s="26"/>
      <c r="G66" s="26"/>
      <c r="H66" s="107">
        <f>SUM(H57:H63)</f>
        <v>0.8768094903898217</v>
      </c>
      <c r="I66" s="107">
        <f>SUM(I57:I63)</f>
        <v>0.23820485099281058</v>
      </c>
      <c r="J66" s="150">
        <f>SUM(J57:J63)</f>
        <v>2.8000914122930667E-2</v>
      </c>
      <c r="K66" s="107"/>
    </row>
    <row r="67" spans="1:11" ht="13.5" thickBot="1" x14ac:dyDescent="0.25">
      <c r="A67" s="3"/>
      <c r="B67" s="78"/>
      <c r="C67" s="41"/>
      <c r="D67" s="41"/>
      <c r="E67" s="41"/>
      <c r="F67" s="41"/>
      <c r="G67" s="41"/>
      <c r="H67" s="151"/>
      <c r="I67" s="16"/>
      <c r="J67" s="152"/>
      <c r="K67" s="140"/>
    </row>
    <row r="68" spans="1:11" x14ac:dyDescent="0.2">
      <c r="A68" s="3"/>
      <c r="B68" s="1" t="s">
        <v>198</v>
      </c>
      <c r="C68" s="3"/>
      <c r="D68" s="186"/>
      <c r="E68" s="3"/>
      <c r="F68" s="185"/>
      <c r="G68" s="190"/>
      <c r="H68" s="3"/>
      <c r="I68" s="3"/>
    </row>
    <row r="69" spans="1:11" x14ac:dyDescent="0.2">
      <c r="A69" s="3"/>
      <c r="B69" s="60" t="s">
        <v>199</v>
      </c>
      <c r="C69" s="3"/>
      <c r="D69" s="186"/>
      <c r="E69" s="3"/>
      <c r="F69" s="185"/>
      <c r="G69" s="190"/>
      <c r="H69" s="3"/>
      <c r="I69" s="3"/>
    </row>
    <row r="70" spans="1:11" x14ac:dyDescent="0.2">
      <c r="A70" s="3"/>
      <c r="B70" s="3"/>
      <c r="C70" s="3"/>
      <c r="D70" s="186"/>
      <c r="E70" s="3"/>
      <c r="F70" s="185"/>
      <c r="G70" s="190"/>
      <c r="H70" s="3"/>
      <c r="I70" s="3"/>
    </row>
    <row r="71" spans="1:11" x14ac:dyDescent="0.2">
      <c r="A71" s="181"/>
      <c r="B71" s="181"/>
      <c r="C71" s="181"/>
      <c r="D71" s="181"/>
      <c r="E71" s="181"/>
      <c r="F71" s="181"/>
      <c r="G71" s="181"/>
      <c r="H71" s="181"/>
      <c r="I71" s="181"/>
    </row>
    <row r="72" spans="1:11" x14ac:dyDescent="0.2">
      <c r="A72" s="1" t="s">
        <v>203</v>
      </c>
      <c r="B72" s="181"/>
      <c r="C72" s="181"/>
      <c r="D72" s="181"/>
      <c r="E72" s="181"/>
      <c r="F72" s="181"/>
      <c r="G72" s="181"/>
      <c r="H72" s="181"/>
      <c r="I72" s="3"/>
    </row>
    <row r="73" spans="1:11" x14ac:dyDescent="0.2">
      <c r="A73" s="181"/>
      <c r="B73" s="181"/>
      <c r="C73" s="181"/>
      <c r="D73" s="181"/>
      <c r="E73" s="181"/>
      <c r="F73" s="181"/>
      <c r="G73" s="181"/>
      <c r="H73" s="181"/>
      <c r="I73" s="3"/>
    </row>
    <row r="74" spans="1:11" x14ac:dyDescent="0.2">
      <c r="A74" s="3" t="s">
        <v>100</v>
      </c>
      <c r="B74" s="3"/>
      <c r="C74" s="3"/>
      <c r="D74" s="3"/>
      <c r="E74" s="3"/>
      <c r="F74" s="3"/>
      <c r="G74" s="3"/>
      <c r="H74" s="3"/>
      <c r="I74" s="3"/>
    </row>
    <row r="75" spans="1:11" x14ac:dyDescent="0.2">
      <c r="A75" s="3"/>
      <c r="B75" s="3"/>
      <c r="C75" s="185" t="s">
        <v>101</v>
      </c>
      <c r="D75" s="193">
        <v>0.5</v>
      </c>
      <c r="E75" s="60" t="s">
        <v>202</v>
      </c>
      <c r="G75" s="3"/>
      <c r="H75" s="3"/>
      <c r="I75" s="3"/>
    </row>
    <row r="76" spans="1:11" x14ac:dyDescent="0.2">
      <c r="A76" s="3"/>
      <c r="B76" s="3"/>
      <c r="C76" s="3"/>
      <c r="D76" s="3"/>
      <c r="E76" s="3"/>
      <c r="F76" s="3"/>
      <c r="G76" s="3"/>
      <c r="H76" s="3"/>
      <c r="I76" s="3"/>
    </row>
    <row r="77" spans="1:11" x14ac:dyDescent="0.2">
      <c r="A77" s="3"/>
      <c r="B77" s="3"/>
      <c r="C77" s="3"/>
      <c r="D77" s="3"/>
      <c r="E77" s="3"/>
      <c r="F77" s="3"/>
      <c r="I77" s="199" t="s">
        <v>200</v>
      </c>
      <c r="J77" s="271">
        <f>H66*(1-D75)</f>
        <v>0.43840474519491085</v>
      </c>
    </row>
    <row r="78" spans="1:11" x14ac:dyDescent="0.2">
      <c r="A78" s="3"/>
      <c r="B78" s="3"/>
      <c r="C78" s="3"/>
      <c r="D78" s="3"/>
      <c r="E78" s="3"/>
      <c r="F78" s="3"/>
      <c r="I78" s="199" t="s">
        <v>201</v>
      </c>
      <c r="J78" s="271">
        <f>I66*(1-D75)</f>
        <v>0.11910242549640529</v>
      </c>
    </row>
    <row r="81" spans="1:6" x14ac:dyDescent="0.2">
      <c r="A81" s="181"/>
      <c r="B81" s="3"/>
      <c r="C81" s="3"/>
      <c r="D81" s="182"/>
      <c r="E81" s="183"/>
      <c r="F81" s="3"/>
    </row>
    <row r="82" spans="1:6" x14ac:dyDescent="0.2">
      <c r="A82" s="181"/>
      <c r="B82" s="3"/>
      <c r="C82" s="3"/>
      <c r="D82" s="182"/>
      <c r="E82" s="183"/>
      <c r="F82" s="3"/>
    </row>
    <row r="83" spans="1:6" x14ac:dyDescent="0.2">
      <c r="B83" s="3"/>
      <c r="C83" s="3"/>
      <c r="D83" s="3"/>
      <c r="E83" s="182"/>
      <c r="F83" s="183"/>
    </row>
    <row r="84" spans="1:6" x14ac:dyDescent="0.2">
      <c r="B84" s="3"/>
      <c r="C84" s="3"/>
      <c r="D84" s="182"/>
      <c r="E84" s="183"/>
      <c r="F84" s="3"/>
    </row>
    <row r="85" spans="1:6" x14ac:dyDescent="0.2">
      <c r="A85" s="3"/>
      <c r="B85" s="3"/>
      <c r="C85" s="3"/>
      <c r="D85" s="3"/>
      <c r="E85" s="3"/>
      <c r="F85" s="3"/>
    </row>
    <row r="86" spans="1:6" x14ac:dyDescent="0.2">
      <c r="A86" s="3"/>
    </row>
    <row r="87" spans="1:6" x14ac:dyDescent="0.2">
      <c r="A87" s="3"/>
    </row>
    <row r="88" spans="1:6" x14ac:dyDescent="0.2">
      <c r="A88" s="3"/>
    </row>
    <row r="89" spans="1:6" x14ac:dyDescent="0.2">
      <c r="A89" s="3"/>
    </row>
    <row r="90" spans="1:6" x14ac:dyDescent="0.2">
      <c r="A90" s="3"/>
    </row>
    <row r="91" spans="1:6" x14ac:dyDescent="0.2">
      <c r="A91" s="3"/>
    </row>
    <row r="92" spans="1:6" x14ac:dyDescent="0.2">
      <c r="A92" s="3"/>
    </row>
    <row r="93" spans="1:6" x14ac:dyDescent="0.2">
      <c r="A93" s="3"/>
    </row>
    <row r="94" spans="1:6" x14ac:dyDescent="0.2">
      <c r="A94" s="3"/>
    </row>
    <row r="95" spans="1:6" x14ac:dyDescent="0.2">
      <c r="A95" s="3"/>
    </row>
    <row r="96" spans="1:6" x14ac:dyDescent="0.2">
      <c r="A96" s="3"/>
    </row>
    <row r="97" spans="1:6" x14ac:dyDescent="0.2">
      <c r="A97" s="3"/>
    </row>
    <row r="98" spans="1:6" x14ac:dyDescent="0.2">
      <c r="A98" s="3"/>
    </row>
    <row r="99" spans="1:6" x14ac:dyDescent="0.2">
      <c r="A99" s="3"/>
    </row>
    <row r="100" spans="1:6" x14ac:dyDescent="0.2">
      <c r="A100" s="3"/>
      <c r="B100" s="3"/>
      <c r="C100" s="3"/>
      <c r="D100" s="3"/>
      <c r="E100" s="3"/>
      <c r="F100" s="3"/>
    </row>
  </sheetData>
  <mergeCells count="15">
    <mergeCell ref="C62:D62"/>
    <mergeCell ref="C63:D63"/>
    <mergeCell ref="C56:D56"/>
    <mergeCell ref="H55:J55"/>
    <mergeCell ref="A1:L1"/>
    <mergeCell ref="A2:L2"/>
    <mergeCell ref="A3:L3"/>
    <mergeCell ref="A8:I8"/>
    <mergeCell ref="C57:D57"/>
    <mergeCell ref="C58:D58"/>
    <mergeCell ref="C59:D59"/>
    <mergeCell ref="C60:D60"/>
    <mergeCell ref="C61:D61"/>
    <mergeCell ref="G47:I47"/>
    <mergeCell ref="G22:I22"/>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42"/>
  <sheetViews>
    <sheetView workbookViewId="0">
      <selection activeCell="A3" sqref="A3:I3"/>
    </sheetView>
  </sheetViews>
  <sheetFormatPr defaultColWidth="8.7109375" defaultRowHeight="12.75" x14ac:dyDescent="0.2"/>
  <cols>
    <col min="1" max="1" width="10.85546875" customWidth="1"/>
    <col min="2" max="2" width="31.140625" customWidth="1"/>
    <col min="3" max="4" width="17.42578125" customWidth="1"/>
    <col min="5" max="5" width="10.28515625" customWidth="1"/>
    <col min="8" max="11" width="8.85546875" bestFit="1" customWidth="1"/>
    <col min="12" max="12" width="12.42578125" customWidth="1"/>
  </cols>
  <sheetData>
    <row r="1" spans="1:17" s="58" customFormat="1" ht="20.25" x14ac:dyDescent="0.3">
      <c r="A1" s="341" t="str">
        <f>'5222018'!A1</f>
        <v>Potential To Emit Calculator for Concrete Batch Plants</v>
      </c>
      <c r="B1" s="341"/>
      <c r="C1" s="341"/>
      <c r="D1" s="341"/>
      <c r="E1" s="341"/>
      <c r="F1" s="341"/>
      <c r="G1" s="341"/>
      <c r="H1" s="341"/>
      <c r="I1" s="341"/>
      <c r="J1" s="9"/>
      <c r="K1" s="9"/>
      <c r="L1" s="9"/>
      <c r="M1" s="108"/>
      <c r="N1" s="9"/>
      <c r="O1" s="9"/>
    </row>
    <row r="2" spans="1:17" s="58" customFormat="1" x14ac:dyDescent="0.2">
      <c r="A2" s="345">
        <v>43242</v>
      </c>
      <c r="B2" s="345"/>
      <c r="C2" s="345"/>
      <c r="D2" s="345"/>
      <c r="E2" s="345"/>
      <c r="F2" s="345"/>
      <c r="G2" s="345"/>
      <c r="H2" s="345"/>
      <c r="I2" s="345"/>
      <c r="J2" s="10"/>
      <c r="K2" s="10"/>
      <c r="L2" s="10"/>
      <c r="M2" s="10"/>
      <c r="N2" s="10"/>
      <c r="O2" s="10"/>
      <c r="P2" s="10"/>
      <c r="Q2" s="10"/>
    </row>
    <row r="3" spans="1:17" ht="15.75" x14ac:dyDescent="0.25">
      <c r="A3" s="369" t="s">
        <v>89</v>
      </c>
      <c r="B3" s="369"/>
      <c r="C3" s="369"/>
      <c r="D3" s="369"/>
      <c r="E3" s="369"/>
      <c r="F3" s="369"/>
      <c r="G3" s="369"/>
      <c r="H3" s="369"/>
      <c r="I3" s="369"/>
      <c r="J3" s="222"/>
      <c r="K3" s="222"/>
      <c r="L3" s="222"/>
    </row>
    <row r="4" spans="1:17" ht="15.75" x14ac:dyDescent="0.25">
      <c r="A4" s="63"/>
      <c r="B4" s="13"/>
    </row>
    <row r="5" spans="1:17" x14ac:dyDescent="0.2">
      <c r="A5" s="59"/>
      <c r="B5" s="199" t="s">
        <v>122</v>
      </c>
      <c r="C5" s="124">
        <f>'5222018'!C43</f>
        <v>5</v>
      </c>
      <c r="D5" s="105" t="s">
        <v>123</v>
      </c>
      <c r="E5" s="5" t="s">
        <v>1</v>
      </c>
      <c r="F5" s="5"/>
      <c r="G5" s="5"/>
      <c r="H5" s="5"/>
      <c r="I5" s="5"/>
    </row>
    <row r="6" spans="1:17" x14ac:dyDescent="0.2">
      <c r="A6" s="59"/>
      <c r="B6" s="199" t="s">
        <v>124</v>
      </c>
      <c r="C6" s="124">
        <f>'5222018'!C45</f>
        <v>5</v>
      </c>
      <c r="D6" s="105" t="s">
        <v>125</v>
      </c>
      <c r="E6" s="2" t="s">
        <v>20</v>
      </c>
      <c r="F6" s="2"/>
      <c r="G6" s="2"/>
      <c r="H6" s="2"/>
      <c r="I6" s="2"/>
    </row>
    <row r="7" spans="1:17" x14ac:dyDescent="0.2">
      <c r="A7" s="59"/>
      <c r="B7" s="202" t="s">
        <v>142</v>
      </c>
      <c r="C7" s="223">
        <f>IF('5222018'!C15&gt;0,'5222018'!C15,IF('5222018'!C27&gt;0,'5222018'!C27*3293/2000/8760,"ERROR"))</f>
        <v>375.91324200913243</v>
      </c>
      <c r="D7" s="209" t="s">
        <v>141</v>
      </c>
      <c r="I7" s="2"/>
    </row>
    <row r="8" spans="1:17" ht="13.5" thickBot="1" x14ac:dyDescent="0.25">
      <c r="A8" s="3"/>
      <c r="B8" s="11"/>
      <c r="C8" s="11"/>
      <c r="D8" s="3"/>
      <c r="I8" s="5"/>
      <c r="J8" s="6"/>
      <c r="K8" s="6"/>
      <c r="L8" s="6"/>
    </row>
    <row r="9" spans="1:17" ht="12" customHeight="1" thickTop="1" x14ac:dyDescent="0.2">
      <c r="A9" s="4"/>
      <c r="B9" s="4"/>
      <c r="C9" s="4"/>
      <c r="D9" s="4"/>
      <c r="E9" s="4"/>
      <c r="F9" s="4"/>
      <c r="G9" s="4"/>
      <c r="H9" s="4"/>
      <c r="I9" s="4"/>
      <c r="J9" s="6"/>
      <c r="K9" s="6"/>
      <c r="L9" s="6"/>
    </row>
    <row r="10" spans="1:17" ht="12" customHeight="1" x14ac:dyDescent="0.2">
      <c r="A10" s="6"/>
      <c r="B10" s="26" t="s">
        <v>144</v>
      </c>
      <c r="C10" s="6"/>
      <c r="D10" s="6"/>
      <c r="E10" s="6"/>
      <c r="F10" s="6"/>
      <c r="G10" s="6"/>
      <c r="H10" s="6"/>
      <c r="I10" s="6"/>
      <c r="J10" s="6"/>
      <c r="K10" s="6"/>
      <c r="L10" s="6"/>
    </row>
    <row r="11" spans="1:17" x14ac:dyDescent="0.2">
      <c r="B11" s="198" t="s">
        <v>108</v>
      </c>
      <c r="C11" s="60"/>
      <c r="D11" s="60"/>
      <c r="E11" s="60"/>
      <c r="F11" s="60"/>
      <c r="G11" s="60"/>
      <c r="H11" s="60"/>
      <c r="I11" s="60"/>
    </row>
    <row r="12" spans="1:17" x14ac:dyDescent="0.2">
      <c r="B12" s="198" t="s">
        <v>109</v>
      </c>
      <c r="C12" s="60"/>
      <c r="D12" s="60"/>
      <c r="E12" s="60"/>
      <c r="F12" s="60"/>
      <c r="G12" s="60"/>
      <c r="H12" s="60"/>
      <c r="I12" s="60"/>
    </row>
    <row r="13" spans="1:17" x14ac:dyDescent="0.2">
      <c r="B13" s="60"/>
      <c r="C13" s="199"/>
      <c r="D13" s="60"/>
      <c r="E13" s="60"/>
      <c r="F13" s="60"/>
      <c r="G13" s="60"/>
      <c r="H13" s="60"/>
      <c r="I13" s="60"/>
    </row>
    <row r="14" spans="1:17" ht="14.25" x14ac:dyDescent="0.2">
      <c r="B14" s="199" t="s">
        <v>110</v>
      </c>
      <c r="C14" s="60" t="s">
        <v>111</v>
      </c>
      <c r="D14" s="60"/>
      <c r="E14" s="60" t="s">
        <v>90</v>
      </c>
      <c r="F14" s="60"/>
      <c r="G14" s="199"/>
      <c r="H14" s="60"/>
      <c r="I14" s="60"/>
    </row>
    <row r="15" spans="1:17" x14ac:dyDescent="0.2">
      <c r="B15" s="199"/>
      <c r="C15" s="60" t="s">
        <v>112</v>
      </c>
      <c r="D15" s="60"/>
      <c r="E15" s="199"/>
      <c r="F15" s="199" t="s">
        <v>113</v>
      </c>
      <c r="G15" s="60"/>
      <c r="H15" s="60"/>
      <c r="I15" s="60"/>
    </row>
    <row r="16" spans="1:17" x14ac:dyDescent="0.2">
      <c r="B16" s="60"/>
      <c r="C16" s="60"/>
      <c r="D16" s="199"/>
      <c r="E16" s="199"/>
      <c r="F16" s="199" t="s">
        <v>114</v>
      </c>
      <c r="G16" s="60" t="s">
        <v>115</v>
      </c>
      <c r="H16" s="60"/>
      <c r="I16" s="60"/>
    </row>
    <row r="17" spans="2:9" x14ac:dyDescent="0.2">
      <c r="B17" s="60"/>
      <c r="C17" s="199"/>
      <c r="D17" s="60"/>
      <c r="E17" s="199"/>
      <c r="F17" s="199" t="s">
        <v>116</v>
      </c>
      <c r="G17" s="125">
        <f>'5222018'!C43</f>
        <v>5</v>
      </c>
      <c r="H17" s="60"/>
      <c r="I17" s="60"/>
    </row>
    <row r="18" spans="2:9" x14ac:dyDescent="0.2">
      <c r="B18" s="60"/>
      <c r="C18" s="199"/>
      <c r="D18" s="60"/>
      <c r="E18" s="199"/>
      <c r="F18" s="199" t="s">
        <v>117</v>
      </c>
      <c r="G18" s="211">
        <f>'5222018'!C45</f>
        <v>5</v>
      </c>
      <c r="H18" s="60"/>
      <c r="I18" s="200"/>
    </row>
    <row r="19" spans="2:9" x14ac:dyDescent="0.2">
      <c r="B19" s="60"/>
      <c r="C19" s="199"/>
      <c r="D19" s="60"/>
      <c r="E19" s="60"/>
      <c r="F19" s="60"/>
      <c r="G19" s="60"/>
      <c r="H19" s="60"/>
      <c r="I19" s="60"/>
    </row>
    <row r="20" spans="2:9" x14ac:dyDescent="0.2">
      <c r="B20" s="60"/>
      <c r="C20" s="60"/>
      <c r="D20" s="199" t="s">
        <v>118</v>
      </c>
      <c r="E20" s="201">
        <f>0.0032*(G17/5)^1.3*1/(G18/2)^1.4</f>
        <v>8.8722539923858756E-4</v>
      </c>
      <c r="F20" s="60" t="s">
        <v>119</v>
      </c>
      <c r="G20" s="60"/>
      <c r="H20" s="60"/>
      <c r="I20" s="60"/>
    </row>
    <row r="21" spans="2:9" x14ac:dyDescent="0.2">
      <c r="B21" s="60"/>
      <c r="C21" s="60"/>
      <c r="D21" s="199" t="s">
        <v>120</v>
      </c>
      <c r="E21" s="219">
        <f>E20*0.35</f>
        <v>3.1052888973350564E-4</v>
      </c>
      <c r="F21" s="60" t="s">
        <v>119</v>
      </c>
      <c r="G21" s="60"/>
      <c r="H21" s="60"/>
      <c r="I21" s="60"/>
    </row>
    <row r="22" spans="2:9" x14ac:dyDescent="0.2">
      <c r="B22" s="60"/>
      <c r="C22" s="60"/>
      <c r="D22" s="199" t="s">
        <v>146</v>
      </c>
      <c r="E22" s="219">
        <f>E20*0.053</f>
        <v>4.7022946159645137E-5</v>
      </c>
      <c r="F22" s="60" t="s">
        <v>119</v>
      </c>
      <c r="G22" s="60"/>
      <c r="H22" s="60"/>
      <c r="I22" s="60"/>
    </row>
    <row r="23" spans="2:9" ht="13.5" thickBot="1" x14ac:dyDescent="0.25"/>
    <row r="24" spans="2:9" x14ac:dyDescent="0.2">
      <c r="B24" s="73"/>
      <c r="C24" s="74"/>
      <c r="D24" s="74"/>
      <c r="E24" s="74"/>
      <c r="F24" s="74" t="s">
        <v>17</v>
      </c>
      <c r="G24" s="74"/>
      <c r="H24" s="74"/>
      <c r="I24" s="76"/>
    </row>
    <row r="25" spans="2:9" ht="15.75" x14ac:dyDescent="0.3">
      <c r="B25" s="77"/>
      <c r="C25" s="142" t="s">
        <v>15</v>
      </c>
      <c r="D25" s="143" t="s">
        <v>5</v>
      </c>
      <c r="E25" s="142" t="s">
        <v>4</v>
      </c>
      <c r="F25" s="143" t="s">
        <v>6</v>
      </c>
      <c r="G25" s="143" t="s">
        <v>7</v>
      </c>
      <c r="H25" s="143" t="s">
        <v>16</v>
      </c>
      <c r="I25" s="146" t="s">
        <v>18</v>
      </c>
    </row>
    <row r="26" spans="2:9" x14ac:dyDescent="0.2">
      <c r="B26" s="212" t="s">
        <v>147</v>
      </c>
      <c r="C26" s="201">
        <f>E20</f>
        <v>8.8722539923858756E-4</v>
      </c>
      <c r="D26" s="219">
        <f>E21</f>
        <v>3.1052888973350564E-4</v>
      </c>
      <c r="E26" s="219">
        <f>E22</f>
        <v>4.7022946159645137E-5</v>
      </c>
      <c r="F26" s="141">
        <v>0</v>
      </c>
      <c r="G26" s="141">
        <v>0</v>
      </c>
      <c r="H26" s="141">
        <v>0</v>
      </c>
      <c r="I26" s="147">
        <v>0</v>
      </c>
    </row>
    <row r="27" spans="2:9" ht="13.5" thickBot="1" x14ac:dyDescent="0.25">
      <c r="B27" s="148"/>
      <c r="C27" s="145"/>
      <c r="D27" s="145"/>
      <c r="E27" s="145"/>
      <c r="F27" s="145"/>
      <c r="G27" s="145"/>
      <c r="H27" s="145"/>
      <c r="I27" s="149"/>
    </row>
    <row r="28" spans="2:9" ht="13.5" thickTop="1" x14ac:dyDescent="0.2">
      <c r="B28" s="77"/>
      <c r="C28" s="140"/>
      <c r="D28" s="140"/>
      <c r="E28" s="140"/>
      <c r="F28" s="140"/>
      <c r="G28" s="140"/>
      <c r="H28" s="140"/>
      <c r="I28" s="164"/>
    </row>
    <row r="29" spans="2:9" x14ac:dyDescent="0.2">
      <c r="B29" s="77" t="s">
        <v>24</v>
      </c>
      <c r="C29" s="220">
        <f>C26</f>
        <v>8.8722539923858756E-4</v>
      </c>
      <c r="D29" s="221">
        <f t="shared" ref="D29:E29" si="0">D26</f>
        <v>3.1052888973350564E-4</v>
      </c>
      <c r="E29" s="221">
        <f t="shared" si="0"/>
        <v>4.7022946159645137E-5</v>
      </c>
      <c r="F29" s="217">
        <v>0</v>
      </c>
      <c r="G29" s="217">
        <v>0</v>
      </c>
      <c r="H29" s="217">
        <v>0</v>
      </c>
      <c r="I29" s="218">
        <v>0</v>
      </c>
    </row>
    <row r="30" spans="2:9" ht="13.5" thickBot="1" x14ac:dyDescent="0.25">
      <c r="B30" s="214"/>
      <c r="C30" s="215"/>
      <c r="D30" s="215"/>
      <c r="E30" s="215"/>
      <c r="F30" s="215"/>
      <c r="G30" s="215"/>
      <c r="H30" s="215"/>
      <c r="I30" s="216"/>
    </row>
    <row r="32" spans="2:9" x14ac:dyDescent="0.2">
      <c r="B32" s="60" t="s">
        <v>9</v>
      </c>
    </row>
    <row r="33" spans="1:9" x14ac:dyDescent="0.2">
      <c r="B33" s="60" t="s">
        <v>145</v>
      </c>
    </row>
    <row r="36" spans="1:9" x14ac:dyDescent="0.2">
      <c r="A36" s="1" t="s">
        <v>203</v>
      </c>
      <c r="B36" s="181"/>
      <c r="C36" s="181"/>
      <c r="D36" s="181"/>
      <c r="E36" s="181"/>
      <c r="F36" s="181"/>
      <c r="G36" s="181"/>
      <c r="H36" s="181"/>
      <c r="I36" s="3"/>
    </row>
    <row r="37" spans="1:9" x14ac:dyDescent="0.2">
      <c r="A37" s="181"/>
      <c r="B37" s="181"/>
      <c r="C37" s="181"/>
      <c r="D37" s="181"/>
      <c r="E37" s="181"/>
      <c r="F37" s="181"/>
      <c r="G37" s="181"/>
      <c r="H37" s="181"/>
      <c r="I37" s="3"/>
    </row>
    <row r="38" spans="1:9" x14ac:dyDescent="0.2">
      <c r="A38" s="3" t="s">
        <v>100</v>
      </c>
      <c r="B38" s="3"/>
      <c r="C38" s="3"/>
      <c r="D38" s="3"/>
      <c r="E38" s="3"/>
      <c r="F38" s="3"/>
      <c r="G38" s="3"/>
      <c r="H38" s="3"/>
      <c r="I38" s="3"/>
    </row>
    <row r="39" spans="1:9" x14ac:dyDescent="0.2">
      <c r="A39" s="3"/>
      <c r="B39" s="199" t="s">
        <v>205</v>
      </c>
      <c r="C39" s="193">
        <v>0.5</v>
      </c>
      <c r="G39" s="3"/>
      <c r="H39" s="3"/>
      <c r="I39" s="3"/>
    </row>
    <row r="40" spans="1:9" x14ac:dyDescent="0.2">
      <c r="A40" s="3"/>
      <c r="B40" s="60" t="s">
        <v>202</v>
      </c>
      <c r="C40" s="3"/>
      <c r="D40" s="3"/>
      <c r="E40" s="3"/>
      <c r="F40" s="3"/>
      <c r="G40" s="3"/>
      <c r="H40" s="3"/>
      <c r="I40" s="3"/>
    </row>
    <row r="41" spans="1:9" x14ac:dyDescent="0.2">
      <c r="A41" s="3"/>
      <c r="B41" s="3"/>
      <c r="C41" s="3"/>
      <c r="D41" s="3"/>
      <c r="E41" s="3"/>
      <c r="F41" s="3"/>
      <c r="H41" s="199" t="s">
        <v>200</v>
      </c>
      <c r="I41" s="275">
        <f>C29*(1-C39)</f>
        <v>4.4361269961929378E-4</v>
      </c>
    </row>
    <row r="42" spans="1:9" x14ac:dyDescent="0.2">
      <c r="A42" s="3"/>
      <c r="B42" s="3"/>
      <c r="C42" s="3"/>
      <c r="D42" s="3"/>
      <c r="E42" s="3"/>
      <c r="F42" s="3"/>
      <c r="H42" s="199" t="s">
        <v>201</v>
      </c>
      <c r="I42" s="275">
        <f>D29*(1-C39)</f>
        <v>1.5526444486675282E-4</v>
      </c>
    </row>
  </sheetData>
  <mergeCells count="3">
    <mergeCell ref="A1:I1"/>
    <mergeCell ref="A2:I2"/>
    <mergeCell ref="A3:I3"/>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5222018</vt:lpstr>
      <vt:lpstr>Output</vt:lpstr>
      <vt:lpstr>Batch Mix Oper.</vt:lpstr>
      <vt:lpstr>Auxiliary Heater</vt:lpstr>
      <vt:lpstr>Non-Emergency Engine</vt:lpstr>
      <vt:lpstr>Emergency Generator</vt:lpstr>
      <vt:lpstr>Vehicle Traffic</vt:lpstr>
      <vt:lpstr>Storage Piles</vt:lpstr>
      <vt:lpstr>Solvent Degreaser</vt:lpstr>
      <vt:lpstr>'5222018'!Print_Area</vt:lpstr>
    </vt:vector>
  </TitlesOfParts>
  <Company>SC 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2013-04-16T19:19:21Z</cp:lastPrinted>
  <dcterms:created xsi:type="dcterms:W3CDTF">2007-09-11T16:38:45Z</dcterms:created>
  <dcterms:modified xsi:type="dcterms:W3CDTF">2018-05-22T20:02:10Z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