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xr:revisionPtr revIDLastSave="0" documentId="13_ncr:1_{5B5D000F-0E81-4F1F-B78C-1D80BE57C540}" xr6:coauthVersionLast="41" xr6:coauthVersionMax="41" xr10:uidLastSave="{00000000-0000-0000-0000-000000000000}"/>
  <bookViews>
    <workbookView xWindow="-120" yWindow="-120" windowWidth="17520" windowHeight="12600" firstSheet="1" activeTab="3" xr2:uid="{00000000-000D-0000-FFFF-FFFF00000000}"/>
  </bookViews>
  <sheets>
    <sheet name="Read Me" sheetId="4" r:id="rId1"/>
    <sheet name="Data Inputs" sheetId="5" r:id="rId2"/>
    <sheet name="Design Parameters" sheetId="6" r:id="rId3"/>
    <sheet name="Cost Estimate" sheetId="3" r:id="rId4"/>
    <sheet name="Tables A &amp; B"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6" l="1"/>
  <c r="D6" i="6"/>
  <c r="C3" i="5"/>
  <c r="D67" i="5" l="1"/>
  <c r="C70" i="6" l="1"/>
  <c r="C71" i="6" s="1"/>
  <c r="B70" i="6"/>
  <c r="D46" i="5"/>
  <c r="D41" i="5"/>
  <c r="C43" i="5"/>
  <c r="C44" i="5"/>
  <c r="C45" i="5"/>
  <c r="L73" i="6" l="1"/>
  <c r="L72" i="6"/>
  <c r="L75" i="6"/>
  <c r="L74" i="6"/>
  <c r="L76" i="6"/>
  <c r="C72" i="5"/>
  <c r="C73" i="6" l="1"/>
  <c r="M73" i="6"/>
  <c r="C76" i="6"/>
  <c r="M76" i="6"/>
  <c r="M75" i="6"/>
  <c r="C75" i="6"/>
  <c r="M72" i="6"/>
  <c r="C72" i="6"/>
  <c r="C74" i="6"/>
  <c r="M74" i="6"/>
  <c r="B12" i="3"/>
  <c r="C77" i="6" l="1"/>
  <c r="C17" i="6"/>
  <c r="F72" i="5"/>
  <c r="D40" i="5" l="1"/>
  <c r="M80" i="5" l="1"/>
  <c r="G79" i="5"/>
  <c r="M79" i="5" s="1"/>
  <c r="G75" i="5"/>
  <c r="M75" i="5" s="1"/>
  <c r="G74" i="5"/>
  <c r="M74" i="5" s="1"/>
  <c r="F79" i="5"/>
  <c r="F78" i="5"/>
  <c r="G78" i="5" s="1"/>
  <c r="M78" i="5" s="1"/>
  <c r="F77" i="5"/>
  <c r="G77" i="5" s="1"/>
  <c r="M77" i="5" s="1"/>
  <c r="F75" i="5"/>
  <c r="F74" i="5"/>
  <c r="H9" i="3"/>
  <c r="E30" i="5"/>
  <c r="B58" i="3" l="1"/>
  <c r="D54" i="5"/>
  <c r="C54" i="5"/>
  <c r="D65" i="5"/>
  <c r="B94" i="5"/>
  <c r="C82" i="5" l="1"/>
  <c r="D69" i="5"/>
  <c r="D68" i="5"/>
  <c r="D66" i="5"/>
  <c r="C56" i="3"/>
  <c r="C14" i="3"/>
  <c r="C38" i="6" l="1"/>
  <c r="C12" i="3"/>
  <c r="C64" i="3"/>
  <c r="C34" i="6"/>
  <c r="C60" i="3"/>
  <c r="C36" i="6"/>
  <c r="C37" i="6"/>
  <c r="C35" i="6"/>
  <c r="C81" i="6" l="1"/>
  <c r="E31" i="5" l="1"/>
  <c r="C11" i="6" s="1"/>
  <c r="C40" i="5" l="1"/>
  <c r="C10" i="6" l="1"/>
  <c r="C58" i="3" s="1"/>
  <c r="L10" i="6" l="1"/>
  <c r="L14" i="6"/>
  <c r="L11" i="6"/>
  <c r="L12" i="6"/>
  <c r="L13" i="6"/>
  <c r="D60" i="5"/>
  <c r="C85" i="5"/>
  <c r="D85" i="5"/>
  <c r="M11" i="6" l="1"/>
  <c r="M12" i="6"/>
  <c r="M14" i="6"/>
  <c r="M13" i="6"/>
  <c r="C12" i="6"/>
  <c r="M10" i="6"/>
  <c r="C13" i="6"/>
  <c r="D39" i="5"/>
  <c r="N12" i="6" l="1"/>
  <c r="P12" i="6" s="1"/>
  <c r="N13" i="6"/>
  <c r="P13" i="6" s="1"/>
  <c r="N14" i="6"/>
  <c r="P14" i="6" s="1"/>
  <c r="N11" i="6"/>
  <c r="P11" i="6" s="1"/>
  <c r="N10" i="6"/>
  <c r="P10" i="6" s="1"/>
  <c r="O13" i="6"/>
  <c r="O11" i="6"/>
  <c r="O14" i="6"/>
  <c r="O10" i="6"/>
  <c r="O12" i="6"/>
  <c r="D38" i="5"/>
  <c r="D37" i="5"/>
  <c r="L17" i="6" l="1"/>
  <c r="C14" i="6"/>
  <c r="C66" i="5"/>
  <c r="C50" i="5"/>
  <c r="D50" i="5"/>
  <c r="C69" i="5" l="1"/>
  <c r="C68" i="5"/>
  <c r="C20" i="6" l="1"/>
  <c r="C86" i="3"/>
  <c r="C21" i="6" l="1"/>
  <c r="B10" i="7"/>
  <c r="B9" i="7"/>
  <c r="B8" i="7"/>
  <c r="B7" i="7"/>
  <c r="B6" i="7"/>
  <c r="B5" i="7"/>
  <c r="B4" i="7"/>
  <c r="B3" i="7"/>
  <c r="F73" i="5" l="1"/>
  <c r="G73" i="5" s="1"/>
  <c r="M73" i="5" s="1"/>
  <c r="F76" i="5"/>
  <c r="G76" i="5" s="1"/>
  <c r="M76" i="5" s="1"/>
  <c r="M21" i="6"/>
  <c r="H10" i="3"/>
  <c r="H8" i="3"/>
  <c r="H7" i="3"/>
  <c r="B13" i="3" l="1"/>
  <c r="C13" i="3"/>
  <c r="L21" i="6"/>
  <c r="C22" i="6" s="1"/>
  <c r="H15" i="3"/>
  <c r="B8" i="3" s="1"/>
  <c r="D53" i="5"/>
  <c r="C53" i="5"/>
  <c r="C60" i="5"/>
  <c r="N30" i="6" l="1"/>
  <c r="N26" i="6"/>
  <c r="N28" i="6"/>
  <c r="N27" i="6"/>
  <c r="N29" i="6"/>
  <c r="B24" i="6"/>
  <c r="C23" i="6"/>
  <c r="E22" i="6"/>
  <c r="C35" i="3" l="1"/>
  <c r="C34" i="3"/>
  <c r="C57" i="3"/>
  <c r="D35" i="5"/>
  <c r="C35" i="5"/>
  <c r="C65" i="5"/>
  <c r="C59" i="5"/>
  <c r="C59" i="3" l="1"/>
  <c r="C71" i="3" l="1"/>
  <c r="A6" i="3"/>
  <c r="D24" i="5" l="1"/>
  <c r="D87" i="3"/>
  <c r="D50" i="3" l="1"/>
  <c r="C39" i="5"/>
  <c r="C83" i="5" l="1"/>
  <c r="C84" i="5"/>
  <c r="D85" i="3" l="1"/>
  <c r="D79" i="3"/>
  <c r="D77" i="3"/>
  <c r="D67" i="3"/>
  <c r="A39" i="3"/>
  <c r="A24" i="3"/>
  <c r="A59" i="5" l="1"/>
  <c r="M18" i="6" l="1"/>
  <c r="M19" i="6"/>
  <c r="M17" i="6" l="1"/>
  <c r="C27" i="6" s="1"/>
  <c r="C11" i="3"/>
  <c r="B11" i="3"/>
  <c r="K6" i="3"/>
  <c r="B10" i="3" s="1"/>
  <c r="C31" i="6"/>
  <c r="C6" i="6" l="1"/>
  <c r="K7" i="3"/>
  <c r="C10" i="3" s="1"/>
  <c r="N61" i="6"/>
  <c r="E27" i="6"/>
  <c r="N64" i="6"/>
  <c r="N62" i="6"/>
  <c r="C66" i="6"/>
  <c r="C61" i="3" s="1"/>
  <c r="N63" i="6"/>
  <c r="B43" i="6"/>
  <c r="B42" i="6"/>
  <c r="B39" i="6"/>
  <c r="B41" i="6"/>
  <c r="B40" i="6"/>
  <c r="C32" i="6"/>
  <c r="C43" i="6" s="1"/>
  <c r="N65" i="6" l="1"/>
  <c r="C67" i="6" s="1"/>
  <c r="C62" i="3" s="1"/>
  <c r="C42" i="6"/>
  <c r="C39" i="6"/>
  <c r="C44" i="6" s="1"/>
  <c r="C41" i="6"/>
  <c r="C46" i="6" s="1"/>
  <c r="C40" i="6"/>
  <c r="C45" i="6" s="1"/>
  <c r="C48" i="6"/>
  <c r="C52" i="6" l="1"/>
  <c r="B59" i="6" s="1"/>
  <c r="C54" i="6"/>
  <c r="C61" i="6" s="1"/>
  <c r="C53" i="6"/>
  <c r="C56" i="6"/>
  <c r="C47" i="6"/>
  <c r="C49" i="6" s="1"/>
  <c r="C65" i="3" s="1"/>
  <c r="C55" i="6"/>
  <c r="B61" i="6" l="1"/>
  <c r="C59" i="6"/>
  <c r="C62" i="6"/>
  <c r="B62" i="6"/>
  <c r="C63" i="6"/>
  <c r="B63" i="6"/>
  <c r="C60" i="6"/>
  <c r="B60" i="6"/>
  <c r="L23" i="6"/>
  <c r="C64" i="6" l="1"/>
  <c r="C65" i="6" s="1"/>
  <c r="C63" i="3" s="1"/>
  <c r="C28" i="6"/>
  <c r="E28" i="6"/>
  <c r="C7" i="6" l="1"/>
  <c r="B7" i="6" s="1"/>
  <c r="I10" i="3"/>
  <c r="C67" i="3"/>
  <c r="D63" i="3"/>
  <c r="I8" i="3"/>
  <c r="I9" i="3"/>
  <c r="N31" i="6"/>
  <c r="C24" i="6" s="1"/>
  <c r="C9" i="3" s="1"/>
  <c r="I15" i="3" l="1"/>
  <c r="C8" i="3" s="1"/>
  <c r="D8" i="3" s="1"/>
  <c r="C16" i="3" l="1"/>
  <c r="C19" i="3" l="1"/>
  <c r="C18" i="3"/>
  <c r="C20" i="3"/>
  <c r="C22" i="3" l="1"/>
  <c r="C43" i="3" l="1"/>
  <c r="C44" i="3"/>
  <c r="C41" i="3"/>
  <c r="C30" i="3"/>
  <c r="C27" i="3"/>
  <c r="C31" i="3"/>
  <c r="C45" i="3"/>
  <c r="C29" i="3"/>
  <c r="C28" i="3"/>
  <c r="C42" i="3"/>
  <c r="C26" i="3"/>
  <c r="C32" i="3" l="1"/>
  <c r="C37" i="3" s="1"/>
  <c r="C46" i="3"/>
  <c r="C48" i="3" l="1"/>
  <c r="C50" i="3" s="1"/>
  <c r="C74" i="3" s="1"/>
  <c r="C72" i="3" l="1"/>
  <c r="C75" i="3"/>
  <c r="C73" i="3"/>
  <c r="C77" i="3" l="1"/>
  <c r="C79" i="3" s="1"/>
  <c r="C85" i="3" s="1"/>
  <c r="C87" i="3" s="1"/>
</calcChain>
</file>

<file path=xl/sharedStrings.xml><?xml version="1.0" encoding="utf-8"?>
<sst xmlns="http://schemas.openxmlformats.org/spreadsheetml/2006/main" count="519" uniqueCount="402">
  <si>
    <t>hours/year</t>
  </si>
  <si>
    <t>Sales taxes =</t>
  </si>
  <si>
    <t>Freight =</t>
  </si>
  <si>
    <t>Foundations and Supports =</t>
  </si>
  <si>
    <t>Electrical =</t>
  </si>
  <si>
    <t>Piping =</t>
  </si>
  <si>
    <t>Painting =</t>
  </si>
  <si>
    <t>Site Preparation (SP) =</t>
  </si>
  <si>
    <t>Buildings (Bldg) =</t>
  </si>
  <si>
    <t xml:space="preserve">Engineering = </t>
  </si>
  <si>
    <t xml:space="preserve">Construction and field expenses = </t>
  </si>
  <si>
    <t>Contractor fees =</t>
  </si>
  <si>
    <t>Start-up =</t>
  </si>
  <si>
    <t>Performance test =</t>
  </si>
  <si>
    <t>Total Indirect Costs (IC) =</t>
  </si>
  <si>
    <t>Air Pollution Control Cost Estimation Spreadsheet</t>
  </si>
  <si>
    <t xml:space="preserve">U.S. Environmental Protection Agency </t>
  </si>
  <si>
    <t>Air Economics Group</t>
  </si>
  <si>
    <t>Health and Environmental Impacts Division</t>
  </si>
  <si>
    <t>Office of Air Quality Planning and Standards</t>
  </si>
  <si>
    <t xml:space="preserve">Instructions </t>
  </si>
  <si>
    <t>Data Inputs</t>
  </si>
  <si>
    <t>Cost Estimate</t>
  </si>
  <si>
    <t>Cost Effectiveness</t>
  </si>
  <si>
    <t>tons/year</t>
  </si>
  <si>
    <t xml:space="preserve">Cost Effectiveness = </t>
  </si>
  <si>
    <t>Annual Interest Rate (i)</t>
  </si>
  <si>
    <t>Parameter</t>
  </si>
  <si>
    <t>Equation</t>
  </si>
  <si>
    <t>Calculated Value</t>
  </si>
  <si>
    <t>Units</t>
  </si>
  <si>
    <t>Design Parameters</t>
  </si>
  <si>
    <t>Capital Recovery Factor:</t>
  </si>
  <si>
    <t>Operator Labor Rate</t>
  </si>
  <si>
    <t>Direct Annual Costs</t>
  </si>
  <si>
    <t>Indirect Annual Costs</t>
  </si>
  <si>
    <t>Overhead</t>
  </si>
  <si>
    <t>Administrative Charges</t>
  </si>
  <si>
    <t>= 2% of TCI</t>
  </si>
  <si>
    <t>Property Taxes</t>
  </si>
  <si>
    <t>= 1% of TCI</t>
  </si>
  <si>
    <t>Insurance</t>
  </si>
  <si>
    <t>Capital Recovery</t>
  </si>
  <si>
    <t>Total Annual Cost =</t>
  </si>
  <si>
    <t>= 60% of sum of operator, supervisor, maintenance labor Plus maintenance materials</t>
  </si>
  <si>
    <t xml:space="preserve">Desired dollar-year </t>
  </si>
  <si>
    <t xml:space="preserve">Total Purchased Equipment Costs (B) = </t>
  </si>
  <si>
    <t>Capital Costs</t>
  </si>
  <si>
    <t xml:space="preserve">Cost Effectiveness </t>
  </si>
  <si>
    <t>Total Annual Cost  (TAC) =</t>
  </si>
  <si>
    <t>TAC =</t>
  </si>
  <si>
    <t>Annual Costs</t>
  </si>
  <si>
    <t>Instrumentation =</t>
  </si>
  <si>
    <t>Insulation =</t>
  </si>
  <si>
    <t xml:space="preserve">Data Sources for Default Values Used in Calculations: </t>
  </si>
  <si>
    <t>Data Element</t>
  </si>
  <si>
    <t>Default Value</t>
  </si>
  <si>
    <t>Sources for Default Value</t>
  </si>
  <si>
    <t>Recommended data sources for site-specific information</t>
  </si>
  <si>
    <t xml:space="preserve"> </t>
  </si>
  <si>
    <t>Operator Labor Rate ($/hour)</t>
  </si>
  <si>
    <t>Maintenance Labor Rate ($/hour)</t>
  </si>
  <si>
    <t>Maintenance Labor Rate</t>
  </si>
  <si>
    <t xml:space="preserve">If you used your own site-specific values, please reference  the source from which the site-specific value was derived. </t>
  </si>
  <si>
    <r>
      <t>[i × (1 + i)</t>
    </r>
    <r>
      <rPr>
        <vertAlign val="superscript"/>
        <sz val="12"/>
        <color theme="1"/>
        <rFont val="Calibri"/>
        <family val="2"/>
        <scheme val="minor"/>
      </rPr>
      <t>n</t>
    </r>
    <r>
      <rPr>
        <sz val="12"/>
        <color theme="1"/>
        <rFont val="Calibri"/>
        <family val="2"/>
        <scheme val="minor"/>
      </rPr>
      <t>] / [(1 + i)</t>
    </r>
    <r>
      <rPr>
        <vertAlign val="superscript"/>
        <sz val="12"/>
        <color theme="1"/>
        <rFont val="Calibri"/>
        <family val="2"/>
        <scheme val="minor"/>
      </rPr>
      <t>n</t>
    </r>
    <r>
      <rPr>
        <sz val="12"/>
        <color theme="1"/>
        <rFont val="Calibri"/>
        <family val="2"/>
        <scheme val="minor"/>
      </rPr>
      <t xml:space="preserve"> - 1] =</t>
    </r>
  </si>
  <si>
    <t>Where n = Equipment Life and i = Interest Rate</t>
  </si>
  <si>
    <t>0.10 × A =</t>
  </si>
  <si>
    <t>0.03 × A =</t>
  </si>
  <si>
    <t>0.05 × A =</t>
  </si>
  <si>
    <t>0.02 × B =</t>
  </si>
  <si>
    <t>0.10 × B =</t>
  </si>
  <si>
    <t>0.01 × B =</t>
  </si>
  <si>
    <t>Handling and Erection =</t>
  </si>
  <si>
    <t>* CEPCI is the Chemical Engineering Plant Cost Index. The use of CEPCI in this spreadsheet is not an endorsement of the index for purpose of cost escalation or de-escalation, but is there merely to allow for availability of a well-known cost index to spreadsheet users. Use of other well-known cost indexes (e.g., M&amp;S) is acceptable.</t>
  </si>
  <si>
    <t>Direct Annual Costs (DAC) =</t>
  </si>
  <si>
    <t>Indirect Annual Costs (IAC) =</t>
  </si>
  <si>
    <r>
      <t>Annual Steam Cost (C</t>
    </r>
    <r>
      <rPr>
        <vertAlign val="subscript"/>
        <sz val="12"/>
        <color theme="1"/>
        <rFont val="Calibri"/>
        <family val="2"/>
        <scheme val="minor"/>
      </rPr>
      <t>s</t>
    </r>
    <r>
      <rPr>
        <sz val="12"/>
        <color theme="1"/>
        <rFont val="Calibri"/>
        <family val="2"/>
        <scheme val="minor"/>
      </rPr>
      <t>) =</t>
    </r>
  </si>
  <si>
    <t xml:space="preserve">Operating Labor Costs: </t>
  </si>
  <si>
    <t>Maintenance Costs:</t>
  </si>
  <si>
    <t>lbs./year</t>
  </si>
  <si>
    <t>Total Capital Investment (TCI) =</t>
  </si>
  <si>
    <t>ft.</t>
  </si>
  <si>
    <t>Steam Consumption:</t>
  </si>
  <si>
    <t>Select</t>
  </si>
  <si>
    <t>Cost</t>
  </si>
  <si>
    <t>inches</t>
  </si>
  <si>
    <t>Total Annual Cost (TAC) / Annual Quantity of VOC Destroyed =</t>
  </si>
  <si>
    <t>Annual Quantity of VOC Destroyed =</t>
  </si>
  <si>
    <r>
      <t>DAC + IAC</t>
    </r>
    <r>
      <rPr>
        <b/>
        <sz val="12"/>
        <color theme="0"/>
        <rFont val="Calibri"/>
        <family val="2"/>
        <scheme val="minor"/>
      </rPr>
      <t xml:space="preserve"> =</t>
    </r>
  </si>
  <si>
    <t>0.12 × B =</t>
  </si>
  <si>
    <t>0.40 × B =</t>
  </si>
  <si>
    <t xml:space="preserve">Total Direct Costs (DC) =  B + (0.57 × B) + SP + Bldg = </t>
  </si>
  <si>
    <r>
      <t>= CRF</t>
    </r>
    <r>
      <rPr>
        <sz val="12"/>
        <rFont val="Calibri"/>
        <family val="2"/>
        <scheme val="minor"/>
      </rPr>
      <t xml:space="preserve"> × TCI </t>
    </r>
  </si>
  <si>
    <r>
      <t>Capital Recovery Factor (CRF</t>
    </r>
    <r>
      <rPr>
        <sz val="12"/>
        <color theme="1"/>
        <rFont val="Calibri"/>
        <family val="2"/>
        <scheme val="minor"/>
      </rPr>
      <t xml:space="preserve">) = </t>
    </r>
  </si>
  <si>
    <t>Operator = Operator Hours/Year × Labor Rate =</t>
  </si>
  <si>
    <t>Supervisor = 15% of Operator =</t>
  </si>
  <si>
    <t>Materials = 100% of maintenance labor =</t>
  </si>
  <si>
    <r>
      <t>Annual Auxiliary Fuel Cost (C</t>
    </r>
    <r>
      <rPr>
        <vertAlign val="subscript"/>
        <sz val="12"/>
        <color theme="1"/>
        <rFont val="Calibri"/>
        <family val="2"/>
        <scheme val="minor"/>
      </rPr>
      <t>a</t>
    </r>
    <r>
      <rPr>
        <sz val="12"/>
        <color theme="1"/>
        <rFont val="Calibri"/>
        <family val="2"/>
        <scheme val="minor"/>
      </rPr>
      <t>) =</t>
    </r>
  </si>
  <si>
    <r>
      <t>F</t>
    </r>
    <r>
      <rPr>
        <vertAlign val="subscript"/>
        <sz val="12"/>
        <color theme="1"/>
        <rFont val="Calibri"/>
        <family val="2"/>
        <scheme val="minor"/>
      </rPr>
      <t>a</t>
    </r>
    <r>
      <rPr>
        <sz val="12"/>
        <color theme="1"/>
        <rFont val="Calibri"/>
        <family val="2"/>
        <scheme val="minor"/>
      </rPr>
      <t xml:space="preserve"> x Cost</t>
    </r>
    <r>
      <rPr>
        <vertAlign val="subscript"/>
        <sz val="12"/>
        <color theme="1"/>
        <rFont val="Calibri"/>
        <family val="2"/>
        <scheme val="minor"/>
      </rPr>
      <t>fuel</t>
    </r>
    <r>
      <rPr>
        <sz val="12"/>
        <color theme="1"/>
        <rFont val="Calibri"/>
        <family val="2"/>
        <scheme val="minor"/>
      </rPr>
      <t xml:space="preserve"> =</t>
    </r>
  </si>
  <si>
    <r>
      <t>Annual Pilot Gas Cost (C</t>
    </r>
    <r>
      <rPr>
        <vertAlign val="subscript"/>
        <sz val="12"/>
        <color theme="1"/>
        <rFont val="Calibri"/>
        <family val="2"/>
        <scheme val="minor"/>
      </rPr>
      <t>pilot</t>
    </r>
    <r>
      <rPr>
        <sz val="12"/>
        <color theme="1"/>
        <rFont val="Calibri"/>
        <family val="2"/>
        <scheme val="minor"/>
      </rPr>
      <t>) =</t>
    </r>
  </si>
  <si>
    <r>
      <t>F</t>
    </r>
    <r>
      <rPr>
        <vertAlign val="subscript"/>
        <sz val="12"/>
        <color theme="1"/>
        <rFont val="Calibri"/>
        <family val="2"/>
        <scheme val="minor"/>
      </rPr>
      <t>pilot</t>
    </r>
    <r>
      <rPr>
        <sz val="12"/>
        <color theme="1"/>
        <rFont val="Calibri"/>
        <family val="2"/>
        <scheme val="minor"/>
      </rPr>
      <t xml:space="preserve"> x Cost</t>
    </r>
    <r>
      <rPr>
        <vertAlign val="subscript"/>
        <sz val="12"/>
        <color theme="1"/>
        <rFont val="Calibri"/>
        <family val="2"/>
        <scheme val="minor"/>
      </rPr>
      <t>fuel</t>
    </r>
    <r>
      <rPr>
        <sz val="12"/>
        <color theme="1"/>
        <rFont val="Calibri"/>
        <family val="2"/>
        <scheme val="minor"/>
      </rPr>
      <t xml:space="preserve"> =</t>
    </r>
  </si>
  <si>
    <r>
      <t>Annual Purge Gas Cost (C</t>
    </r>
    <r>
      <rPr>
        <vertAlign val="subscript"/>
        <sz val="12"/>
        <color theme="1"/>
        <rFont val="Calibri"/>
        <family val="2"/>
        <scheme val="minor"/>
      </rPr>
      <t>purge</t>
    </r>
    <r>
      <rPr>
        <sz val="12"/>
        <color theme="1"/>
        <rFont val="Calibri"/>
        <family val="2"/>
        <scheme val="minor"/>
      </rPr>
      <t>) =</t>
    </r>
  </si>
  <si>
    <r>
      <t>F</t>
    </r>
    <r>
      <rPr>
        <vertAlign val="subscript"/>
        <sz val="12"/>
        <color theme="1"/>
        <rFont val="Calibri"/>
        <family val="2"/>
        <scheme val="minor"/>
      </rPr>
      <t>purge</t>
    </r>
    <r>
      <rPr>
        <sz val="12"/>
        <color theme="1"/>
        <rFont val="Calibri"/>
        <family val="2"/>
        <scheme val="minor"/>
      </rPr>
      <t xml:space="preserve"> x Cost</t>
    </r>
    <r>
      <rPr>
        <vertAlign val="subscript"/>
        <sz val="12"/>
        <color theme="1"/>
        <rFont val="Calibri"/>
        <family val="2"/>
        <scheme val="minor"/>
      </rPr>
      <t>fuel</t>
    </r>
    <r>
      <rPr>
        <sz val="12"/>
        <color theme="1"/>
        <rFont val="Calibri"/>
        <family val="2"/>
        <scheme val="minor"/>
      </rPr>
      <t xml:space="preserve"> =</t>
    </r>
  </si>
  <si>
    <r>
      <t>Steam (Cost</t>
    </r>
    <r>
      <rPr>
        <vertAlign val="subscript"/>
        <sz val="12"/>
        <color theme="1"/>
        <rFont val="Calibri"/>
        <family val="2"/>
        <scheme val="minor"/>
      </rPr>
      <t>s</t>
    </r>
    <r>
      <rPr>
        <sz val="12"/>
        <color theme="1"/>
        <rFont val="Calibri"/>
        <family val="2"/>
        <scheme val="minor"/>
      </rPr>
      <t>)</t>
    </r>
  </si>
  <si>
    <r>
      <t>Natural Gas (Cost</t>
    </r>
    <r>
      <rPr>
        <vertAlign val="subscript"/>
        <sz val="12"/>
        <color theme="1"/>
        <rFont val="Calibri"/>
        <family val="2"/>
        <scheme val="minor"/>
      </rPr>
      <t>fuel</t>
    </r>
    <r>
      <rPr>
        <sz val="12"/>
        <color theme="1"/>
        <rFont val="Calibri"/>
        <family val="2"/>
        <scheme val="minor"/>
      </rPr>
      <t>)</t>
    </r>
  </si>
  <si>
    <t xml:space="preserve">Plant's utility bill or use Department of Energy, Energy Information Administration (EIA) data for most recent year. Available at http://www.eia.gov/electricity/data.cfm#sales. </t>
  </si>
  <si>
    <t>Natural Gas Price ($/Mscf)</t>
  </si>
  <si>
    <t>Natural Gas Consumption</t>
  </si>
  <si>
    <r>
      <t>Purge Gas Consumption (F</t>
    </r>
    <r>
      <rPr>
        <vertAlign val="subscript"/>
        <sz val="12"/>
        <color theme="1"/>
        <rFont val="Calibri"/>
        <family val="2"/>
        <scheme val="minor"/>
      </rPr>
      <t>purge</t>
    </r>
    <r>
      <rPr>
        <sz val="12"/>
        <color theme="1"/>
        <rFont val="Calibri"/>
        <family val="2"/>
        <scheme val="minor"/>
      </rPr>
      <t xml:space="preserve">) = </t>
    </r>
  </si>
  <si>
    <r>
      <t>Pilot Gas Consumption (F</t>
    </r>
    <r>
      <rPr>
        <vertAlign val="subscript"/>
        <sz val="12"/>
        <color theme="1"/>
        <rFont val="Calibri"/>
        <family val="2"/>
        <scheme val="minor"/>
      </rPr>
      <t>pilot</t>
    </r>
    <r>
      <rPr>
        <sz val="12"/>
        <color theme="1"/>
        <rFont val="Calibri"/>
        <family val="2"/>
        <scheme val="minor"/>
      </rPr>
      <t xml:space="preserve">) = </t>
    </r>
  </si>
  <si>
    <t>scfm</t>
  </si>
  <si>
    <t>lbs/lb-mol</t>
  </si>
  <si>
    <t>Self-Supported</t>
  </si>
  <si>
    <t xml:space="preserve">Guy-Supported </t>
  </si>
  <si>
    <t>Cost Equation</t>
  </si>
  <si>
    <t>Type</t>
  </si>
  <si>
    <t>Capital Cost</t>
  </si>
  <si>
    <t>Mscf/year</t>
  </si>
  <si>
    <t xml:space="preserve">Pilot Flame Monitor </t>
  </si>
  <si>
    <t>Gas Chromatograph (GC)</t>
  </si>
  <si>
    <t>Hydrogen Analyzer</t>
  </si>
  <si>
    <t>Calorimeter</t>
  </si>
  <si>
    <t>Flare Gas Flow Monitor</t>
  </si>
  <si>
    <t>Steam Fine Controls/Metering</t>
  </si>
  <si>
    <t>Air Fine Controls/Metering</t>
  </si>
  <si>
    <t>2017 CEPCI</t>
  </si>
  <si>
    <t>Flare Cost</t>
  </si>
  <si>
    <r>
      <t>Flare (C</t>
    </r>
    <r>
      <rPr>
        <vertAlign val="subscript"/>
        <sz val="12"/>
        <color theme="1"/>
        <rFont val="Calibri"/>
        <family val="2"/>
        <scheme val="minor"/>
      </rPr>
      <t>F</t>
    </r>
    <r>
      <rPr>
        <sz val="12"/>
        <color theme="1"/>
        <rFont val="Calibri"/>
        <family val="2"/>
        <scheme val="minor"/>
      </rPr>
      <t>) =</t>
    </r>
  </si>
  <si>
    <r>
      <t>Monitoring Equipment (C</t>
    </r>
    <r>
      <rPr>
        <vertAlign val="subscript"/>
        <sz val="12"/>
        <color theme="1"/>
        <rFont val="Calibri"/>
        <family val="2"/>
        <scheme val="minor"/>
      </rPr>
      <t>M</t>
    </r>
    <r>
      <rPr>
        <sz val="12"/>
        <color theme="1"/>
        <rFont val="Calibri"/>
        <family val="2"/>
        <scheme val="minor"/>
      </rPr>
      <t>) =</t>
    </r>
  </si>
  <si>
    <t xml:space="preserve">Estimated Flare Dimensions: </t>
  </si>
  <si>
    <t xml:space="preserve">Drum Thickness (t) = </t>
  </si>
  <si>
    <t>Drum Height (h) =</t>
  </si>
  <si>
    <t>Monitor Type</t>
  </si>
  <si>
    <t>In 2017 Dollars</t>
  </si>
  <si>
    <t>Estimated equipment life (n)</t>
  </si>
  <si>
    <t>acfm</t>
  </si>
  <si>
    <r>
      <t>scfm (at 68</t>
    </r>
    <r>
      <rPr>
        <vertAlign val="superscript"/>
        <sz val="12"/>
        <color theme="1"/>
        <rFont val="Calibri"/>
        <family val="2"/>
        <scheme val="minor"/>
      </rPr>
      <t>o</t>
    </r>
    <r>
      <rPr>
        <sz val="12"/>
        <color theme="1"/>
        <rFont val="Calibri"/>
        <family val="2"/>
        <scheme val="minor"/>
      </rPr>
      <t>F and 1 atm)</t>
    </r>
  </si>
  <si>
    <t>Btu/scf</t>
  </si>
  <si>
    <t>Pressure at Waste Gas Collection Point (P)</t>
  </si>
  <si>
    <t>psig</t>
  </si>
  <si>
    <t>Temperature (T)</t>
  </si>
  <si>
    <r>
      <rPr>
        <vertAlign val="superscript"/>
        <sz val="12"/>
        <color theme="1"/>
        <rFont val="Calibri"/>
        <family val="2"/>
        <scheme val="minor"/>
      </rPr>
      <t>o</t>
    </r>
    <r>
      <rPr>
        <sz val="12"/>
        <color theme="1"/>
        <rFont val="Calibri"/>
        <family val="2"/>
        <scheme val="minor"/>
      </rPr>
      <t>F</t>
    </r>
  </si>
  <si>
    <t>lb/cubic feet</t>
  </si>
  <si>
    <r>
      <t>Liquid Density (</t>
    </r>
    <r>
      <rPr>
        <sz val="12"/>
        <color theme="1"/>
        <rFont val="Calibri"/>
        <family val="2"/>
      </rPr>
      <t>ρ</t>
    </r>
    <r>
      <rPr>
        <vertAlign val="subscript"/>
        <sz val="12"/>
        <color theme="1"/>
        <rFont val="Calibri"/>
        <family val="2"/>
      </rPr>
      <t>l</t>
    </r>
    <r>
      <rPr>
        <sz val="12"/>
        <color theme="1"/>
        <rFont val="Calibri"/>
        <family val="2"/>
      </rPr>
      <t xml:space="preserve">) </t>
    </r>
  </si>
  <si>
    <r>
      <t>Vapor Density (</t>
    </r>
    <r>
      <rPr>
        <sz val="12"/>
        <color theme="1"/>
        <rFont val="Calibri"/>
        <family val="2"/>
      </rPr>
      <t>ρ</t>
    </r>
    <r>
      <rPr>
        <vertAlign val="subscript"/>
        <sz val="12"/>
        <color theme="1"/>
        <rFont val="Calibri"/>
        <family val="2"/>
      </rPr>
      <t>v</t>
    </r>
    <r>
      <rPr>
        <sz val="12"/>
        <color theme="1"/>
        <rFont val="Calibri"/>
        <family val="2"/>
      </rPr>
      <t xml:space="preserve">) </t>
    </r>
  </si>
  <si>
    <t>lb/hour</t>
  </si>
  <si>
    <t>Amount of VOC Removed:</t>
  </si>
  <si>
    <r>
      <t>1.95 x (Q</t>
    </r>
    <r>
      <rPr>
        <vertAlign val="subscript"/>
        <sz val="12"/>
        <rFont val="Calibri"/>
        <family val="2"/>
      </rPr>
      <t>tot</t>
    </r>
    <r>
      <rPr>
        <sz val="12"/>
        <rFont val="Calibri"/>
        <family val="2"/>
      </rPr>
      <t>/V</t>
    </r>
    <r>
      <rPr>
        <vertAlign val="subscript"/>
        <sz val="12"/>
        <rFont val="Calibri"/>
        <family val="2"/>
      </rPr>
      <t>max</t>
    </r>
    <r>
      <rPr>
        <sz val="12"/>
        <rFont val="Calibri"/>
        <family val="2"/>
      </rPr>
      <t>)</t>
    </r>
    <r>
      <rPr>
        <vertAlign val="superscript"/>
        <sz val="12"/>
        <rFont val="Calibri"/>
        <family val="2"/>
      </rPr>
      <t>0.5</t>
    </r>
    <r>
      <rPr>
        <sz val="12"/>
        <rFont val="Calibri"/>
        <family val="2"/>
      </rPr>
      <t xml:space="preserve"> = </t>
    </r>
  </si>
  <si>
    <t>Flare Tip Diameter (D) =</t>
  </si>
  <si>
    <t>Height of Flare Stack (H) =</t>
  </si>
  <si>
    <t>Net Heat Release (R ) =</t>
  </si>
  <si>
    <t>Fraction of Heat Radiated (f)</t>
  </si>
  <si>
    <t>Btu/hour</t>
  </si>
  <si>
    <t>ft./sec.</t>
  </si>
  <si>
    <r>
      <t>0.2 x [(ρ</t>
    </r>
    <r>
      <rPr>
        <vertAlign val="subscript"/>
        <sz val="12"/>
        <rFont val="Calibri"/>
        <family val="2"/>
      </rPr>
      <t>l</t>
    </r>
    <r>
      <rPr>
        <sz val="12"/>
        <rFont val="Calibri"/>
        <family val="2"/>
      </rPr>
      <t xml:space="preserve"> - ρ</t>
    </r>
    <r>
      <rPr>
        <vertAlign val="subscript"/>
        <sz val="12"/>
        <rFont val="Calibri"/>
        <family val="2"/>
      </rPr>
      <t>v</t>
    </r>
    <r>
      <rPr>
        <sz val="12"/>
        <rFont val="Calibri"/>
        <family val="2"/>
      </rPr>
      <t>)/ρ</t>
    </r>
    <r>
      <rPr>
        <vertAlign val="subscript"/>
        <sz val="12"/>
        <rFont val="Calibri"/>
        <family val="2"/>
      </rPr>
      <t>v</t>
    </r>
    <r>
      <rPr>
        <sz val="12"/>
        <rFont val="Calibri"/>
        <family val="2"/>
      </rPr>
      <t>]</t>
    </r>
    <r>
      <rPr>
        <vertAlign val="superscript"/>
        <sz val="12"/>
        <rFont val="Calibri"/>
        <family val="2"/>
      </rPr>
      <t xml:space="preserve">0.5  </t>
    </r>
    <r>
      <rPr>
        <sz val="12"/>
        <rFont val="Calibri"/>
        <family val="2"/>
      </rPr>
      <t xml:space="preserve">= </t>
    </r>
  </si>
  <si>
    <t>Maximum Design Vapor Velocity (U) =</t>
  </si>
  <si>
    <t xml:space="preserve">Minimum Vessel Cross-Sectional Area (A) = </t>
  </si>
  <si>
    <r>
      <t>Q</t>
    </r>
    <r>
      <rPr>
        <vertAlign val="subscript"/>
        <sz val="12"/>
        <rFont val="Calibri"/>
        <family val="2"/>
      </rPr>
      <t>actual</t>
    </r>
    <r>
      <rPr>
        <sz val="12"/>
        <rFont val="Calibri"/>
        <family val="2"/>
      </rPr>
      <t>/(60 x U) =</t>
    </r>
  </si>
  <si>
    <t>sq. ft.</t>
  </si>
  <si>
    <t xml:space="preserve">13.5 x √A = </t>
  </si>
  <si>
    <t>3 x d =</t>
  </si>
  <si>
    <t>Vessel Thickness based on diameter</t>
  </si>
  <si>
    <t>Diameter</t>
  </si>
  <si>
    <t>less 36</t>
  </si>
  <si>
    <t>between 36 and 72</t>
  </si>
  <si>
    <t>between 72 and 108</t>
  </si>
  <si>
    <t>between 108 and 144</t>
  </si>
  <si>
    <t>greater than 144</t>
  </si>
  <si>
    <t>Thickness, t</t>
  </si>
  <si>
    <r>
      <t>7 feet + [(τ x f x R)/(4π x 500 Btu/hr-sq.ft)]</t>
    </r>
    <r>
      <rPr>
        <vertAlign val="superscript"/>
        <sz val="12"/>
        <rFont val="Calibri"/>
        <family val="2"/>
      </rPr>
      <t>0.5</t>
    </r>
    <r>
      <rPr>
        <sz val="12"/>
        <rFont val="Calibri"/>
        <family val="2"/>
      </rPr>
      <t xml:space="preserve"> =</t>
    </r>
  </si>
  <si>
    <r>
      <t>Knock-out Drum (C</t>
    </r>
    <r>
      <rPr>
        <vertAlign val="subscript"/>
        <sz val="12"/>
        <color theme="1"/>
        <rFont val="Calibri"/>
        <family val="2"/>
        <scheme val="minor"/>
      </rPr>
      <t>K</t>
    </r>
    <r>
      <rPr>
        <sz val="12"/>
        <color theme="1"/>
        <rFont val="Calibri"/>
        <family val="2"/>
        <scheme val="minor"/>
      </rPr>
      <t>) =</t>
    </r>
  </si>
  <si>
    <t>Vent Stream Piping Cost</t>
  </si>
  <si>
    <t>Length of Vent Stream Piping Required (L)</t>
  </si>
  <si>
    <t>lbs./hour</t>
  </si>
  <si>
    <t>[(46 lbs steam/hour)/1 inch of flare diameter] x D =</t>
  </si>
  <si>
    <t>Minimum Required Steam Flow Rate =</t>
  </si>
  <si>
    <r>
      <t>Minimum Required Steam Flow Rate (M</t>
    </r>
    <r>
      <rPr>
        <vertAlign val="subscript"/>
        <sz val="12"/>
        <color theme="1"/>
        <rFont val="Calibri"/>
        <family val="2"/>
        <scheme val="minor"/>
      </rPr>
      <t>min</t>
    </r>
    <r>
      <rPr>
        <sz val="12"/>
        <color theme="1"/>
        <rFont val="Calibri"/>
        <family val="2"/>
        <scheme val="minor"/>
      </rPr>
      <t>) =</t>
    </r>
  </si>
  <si>
    <r>
      <t xml:space="preserve"> (M</t>
    </r>
    <r>
      <rPr>
        <vertAlign val="subscript"/>
        <sz val="12"/>
        <color theme="1"/>
        <rFont val="Calibri"/>
        <family val="2"/>
        <scheme val="minor"/>
      </rPr>
      <t>min</t>
    </r>
    <r>
      <rPr>
        <sz val="12"/>
        <color theme="1"/>
        <rFont val="Calibri"/>
        <family val="2"/>
        <scheme val="minor"/>
      </rPr>
      <t>/60 mins/hour) x (385.3 scf/lb-mol/18 lb/lb-mol)</t>
    </r>
    <r>
      <rPr>
        <sz val="12"/>
        <color theme="1"/>
        <rFont val="Calibri"/>
        <family val="2"/>
      </rPr>
      <t xml:space="preserve"> = </t>
    </r>
  </si>
  <si>
    <t>Btu/scf.</t>
  </si>
  <si>
    <t>Net Heating Value with No Auxiliary Fuel Added:</t>
  </si>
  <si>
    <r>
      <t>(7.85 x 10</t>
    </r>
    <r>
      <rPr>
        <vertAlign val="superscript"/>
        <sz val="12"/>
        <color theme="1"/>
        <rFont val="Calibri"/>
        <family val="2"/>
        <scheme val="minor"/>
      </rPr>
      <t>-4</t>
    </r>
    <r>
      <rPr>
        <sz val="12"/>
        <color theme="1"/>
        <rFont val="Calibri"/>
        <family val="2"/>
        <scheme val="minor"/>
      </rPr>
      <t>) x t</t>
    </r>
    <r>
      <rPr>
        <vertAlign val="subscript"/>
        <sz val="12"/>
        <color theme="1"/>
        <rFont val="Calibri"/>
        <family val="2"/>
        <scheme val="minor"/>
      </rPr>
      <t>op</t>
    </r>
    <r>
      <rPr>
        <sz val="12"/>
        <color theme="1"/>
        <rFont val="Calibri"/>
        <family val="2"/>
        <scheme val="minor"/>
      </rPr>
      <t xml:space="preserve"> x D</t>
    </r>
    <r>
      <rPr>
        <vertAlign val="superscript"/>
        <sz val="12"/>
        <color theme="1"/>
        <rFont val="Calibri"/>
        <family val="2"/>
        <scheme val="minor"/>
      </rPr>
      <t>2</t>
    </r>
    <r>
      <rPr>
        <sz val="12"/>
        <color theme="1"/>
        <rFont val="Calibri"/>
        <family val="2"/>
        <scheme val="minor"/>
      </rPr>
      <t xml:space="preserve"> = </t>
    </r>
  </si>
  <si>
    <r>
      <t>(70) x N x t</t>
    </r>
    <r>
      <rPr>
        <vertAlign val="subscript"/>
        <sz val="12"/>
        <color theme="1"/>
        <rFont val="Calibri"/>
        <family val="2"/>
        <scheme val="minor"/>
      </rPr>
      <t>op</t>
    </r>
    <r>
      <rPr>
        <sz val="12"/>
        <color theme="1"/>
        <rFont val="Calibri"/>
        <family val="2"/>
        <scheme val="minor"/>
      </rPr>
      <t xml:space="preserve"> x 10</t>
    </r>
    <r>
      <rPr>
        <vertAlign val="superscript"/>
        <sz val="12"/>
        <color theme="1"/>
        <rFont val="Calibri"/>
        <family val="2"/>
        <scheme val="minor"/>
      </rPr>
      <t>-3</t>
    </r>
    <r>
      <rPr>
        <sz val="12"/>
        <color theme="1"/>
        <rFont val="Calibri"/>
        <family val="2"/>
        <scheme val="minor"/>
      </rPr>
      <t xml:space="preserve"> = </t>
    </r>
  </si>
  <si>
    <t>Number of Burners (N)</t>
  </si>
  <si>
    <t>Less than 10 inches</t>
  </si>
  <si>
    <t>Greater than 60 inches</t>
  </si>
  <si>
    <t>N=</t>
  </si>
  <si>
    <r>
      <t>Total Steam Required (M</t>
    </r>
    <r>
      <rPr>
        <vertAlign val="subscript"/>
        <sz val="12"/>
        <color theme="1"/>
        <rFont val="Calibri"/>
        <family val="2"/>
        <scheme val="minor"/>
      </rPr>
      <t>steam</t>
    </r>
    <r>
      <rPr>
        <sz val="12"/>
        <color theme="1"/>
        <rFont val="Calibri"/>
        <family val="2"/>
        <scheme val="minor"/>
      </rPr>
      <t xml:space="preserve">) = </t>
    </r>
  </si>
  <si>
    <r>
      <t>M</t>
    </r>
    <r>
      <rPr>
        <vertAlign val="subscript"/>
        <sz val="12"/>
        <color theme="1"/>
        <rFont val="Calibri"/>
        <family val="2"/>
        <scheme val="minor"/>
      </rPr>
      <t>steam</t>
    </r>
    <r>
      <rPr>
        <sz val="12"/>
        <color theme="1"/>
        <rFont val="Calibri"/>
        <family val="2"/>
      </rPr>
      <t xml:space="preserve"> x Cost</t>
    </r>
    <r>
      <rPr>
        <vertAlign val="subscript"/>
        <sz val="12"/>
        <color theme="1"/>
        <rFont val="Calibri"/>
        <family val="2"/>
      </rPr>
      <t>steam</t>
    </r>
    <r>
      <rPr>
        <sz val="12"/>
        <color theme="1"/>
        <rFont val="Calibri"/>
        <family val="2"/>
      </rPr>
      <t xml:space="preserve"> =</t>
    </r>
  </si>
  <si>
    <t>Between 24 and 60 inches</t>
  </si>
  <si>
    <t>Knock-out Drum Diameter:</t>
  </si>
  <si>
    <r>
      <t>Total Auxiliary Fuel Consumption (F</t>
    </r>
    <r>
      <rPr>
        <vertAlign val="subscript"/>
        <sz val="12"/>
        <color theme="1"/>
        <rFont val="Calibri"/>
        <family val="2"/>
        <scheme val="minor"/>
      </rPr>
      <t>a</t>
    </r>
    <r>
      <rPr>
        <sz val="12"/>
        <color theme="1"/>
        <rFont val="Calibri"/>
        <family val="2"/>
        <scheme val="minor"/>
      </rPr>
      <t xml:space="preserve">) = </t>
    </r>
  </si>
  <si>
    <r>
      <t>Auxiliary Fuel Consumption at Maximum Flow Conditions (F</t>
    </r>
    <r>
      <rPr>
        <vertAlign val="subscript"/>
        <sz val="12"/>
        <color theme="1"/>
        <rFont val="Calibri"/>
        <family val="2"/>
        <scheme val="minor"/>
      </rPr>
      <t>min 1</t>
    </r>
    <r>
      <rPr>
        <sz val="12"/>
        <color theme="1"/>
        <rFont val="Calibri"/>
        <family val="2"/>
        <scheme val="minor"/>
      </rPr>
      <t>) =</t>
    </r>
  </si>
  <si>
    <t>Enter the design data for the proposed Flare:</t>
  </si>
  <si>
    <r>
      <t>[(Q</t>
    </r>
    <r>
      <rPr>
        <vertAlign val="subscript"/>
        <sz val="12"/>
        <color theme="1"/>
        <rFont val="Calibri"/>
        <family val="2"/>
      </rPr>
      <t>max</t>
    </r>
    <r>
      <rPr>
        <sz val="12"/>
        <color theme="1"/>
        <rFont val="Calibri"/>
        <family val="2"/>
      </rPr>
      <t xml:space="preserve"> x B</t>
    </r>
    <r>
      <rPr>
        <vertAlign val="subscript"/>
        <sz val="12"/>
        <color theme="1"/>
        <rFont val="Calibri"/>
        <family val="2"/>
      </rPr>
      <t>v,max</t>
    </r>
    <r>
      <rPr>
        <sz val="12"/>
        <color theme="1"/>
        <rFont val="Calibri"/>
        <family val="2"/>
      </rPr>
      <t>) + (F</t>
    </r>
    <r>
      <rPr>
        <vertAlign val="subscript"/>
        <sz val="12"/>
        <color theme="1"/>
        <rFont val="Calibri"/>
        <family val="2"/>
      </rPr>
      <t>a,max</t>
    </r>
    <r>
      <rPr>
        <sz val="12"/>
        <color theme="1"/>
        <rFont val="Calibri"/>
        <family val="2"/>
      </rPr>
      <t xml:space="preserve"> x B</t>
    </r>
    <r>
      <rPr>
        <vertAlign val="subscript"/>
        <sz val="12"/>
        <color theme="1"/>
        <rFont val="Calibri"/>
        <family val="2"/>
      </rPr>
      <t>f</t>
    </r>
    <r>
      <rPr>
        <sz val="12"/>
        <color theme="1"/>
        <rFont val="Calibri"/>
        <family val="2"/>
      </rPr>
      <t>] x 60 =</t>
    </r>
  </si>
  <si>
    <r>
      <t>Auxiliary Fuel Consumption at Typical Flow Conditions (F</t>
    </r>
    <r>
      <rPr>
        <vertAlign val="subscript"/>
        <sz val="12"/>
        <color theme="1"/>
        <rFont val="Calibri"/>
        <family val="2"/>
        <scheme val="minor"/>
      </rPr>
      <t>min 2</t>
    </r>
    <r>
      <rPr>
        <sz val="12"/>
        <color theme="1"/>
        <rFont val="Calibri"/>
        <family val="2"/>
        <scheme val="minor"/>
      </rPr>
      <t>) =</t>
    </r>
  </si>
  <si>
    <r>
      <t>Auxiliary Fuel Consumption at Low Flow Conditions (F</t>
    </r>
    <r>
      <rPr>
        <vertAlign val="subscript"/>
        <sz val="12"/>
        <color theme="1"/>
        <rFont val="Calibri"/>
        <family val="2"/>
        <scheme val="minor"/>
      </rPr>
      <t>min 3</t>
    </r>
    <r>
      <rPr>
        <sz val="12"/>
        <color theme="1"/>
        <rFont val="Calibri"/>
        <family val="2"/>
        <scheme val="minor"/>
      </rPr>
      <t>) =</t>
    </r>
  </si>
  <si>
    <t>Characteristics of the Flare Gas:</t>
  </si>
  <si>
    <r>
      <t>Heat Content of the Auxiliary Fuel (B</t>
    </r>
    <r>
      <rPr>
        <vertAlign val="subscript"/>
        <sz val="12"/>
        <color theme="1"/>
        <rFont val="Calibri"/>
        <family val="2"/>
        <scheme val="minor"/>
      </rPr>
      <t>f</t>
    </r>
    <r>
      <rPr>
        <sz val="12"/>
        <color theme="1"/>
        <rFont val="Calibri"/>
        <family val="2"/>
        <scheme val="minor"/>
      </rPr>
      <t xml:space="preserve">) </t>
    </r>
  </si>
  <si>
    <t>Operating Characteristics for the Flare:</t>
  </si>
  <si>
    <r>
      <t>VOC Removed (W</t>
    </r>
    <r>
      <rPr>
        <vertAlign val="subscript"/>
        <sz val="12"/>
        <color theme="1"/>
        <rFont val="Calibri"/>
        <family val="2"/>
        <scheme val="minor"/>
      </rPr>
      <t>voc</t>
    </r>
    <r>
      <rPr>
        <sz val="12"/>
        <color theme="1"/>
        <rFont val="Calibri"/>
        <family val="2"/>
        <scheme val="minor"/>
      </rPr>
      <t>) =</t>
    </r>
  </si>
  <si>
    <r>
      <t>Net Heating Value Operational Target (NHV</t>
    </r>
    <r>
      <rPr>
        <vertAlign val="subscript"/>
        <sz val="12"/>
        <color theme="1"/>
        <rFont val="Calibri"/>
        <family val="2"/>
        <scheme val="minor"/>
      </rPr>
      <t>target</t>
    </r>
    <r>
      <rPr>
        <sz val="12"/>
        <color theme="1"/>
        <rFont val="Calibri"/>
        <family val="2"/>
        <scheme val="minor"/>
      </rPr>
      <t>)</t>
    </r>
  </si>
  <si>
    <t>Derrick-supported</t>
  </si>
  <si>
    <t>Select the type of elevated flare support:</t>
  </si>
  <si>
    <t>Between than 10 and 24inches</t>
  </si>
  <si>
    <t>Table A: Typical Capital Costs for Common Monitoring Equipment</t>
  </si>
  <si>
    <t>Table B: Fraction of Heat Radiation for Common Gases</t>
  </si>
  <si>
    <t>Gas</t>
  </si>
  <si>
    <t>Flare Tip Diameter (inches)</t>
  </si>
  <si>
    <t>Fraction of Heat Radiation (f)</t>
  </si>
  <si>
    <t>Hydrogen</t>
  </si>
  <si>
    <t>Butane</t>
  </si>
  <si>
    <t>Methane</t>
  </si>
  <si>
    <t>Natural Gas</t>
  </si>
  <si>
    <t>&lt;1.0</t>
  </si>
  <si>
    <r>
      <t xml:space="preserve">The following design parameters for the flare are calculated based on the values entered on the </t>
    </r>
    <r>
      <rPr>
        <b/>
        <i/>
        <sz val="12"/>
        <color theme="8" tint="-0.249977111117893"/>
        <rFont val="Calibri"/>
        <family val="2"/>
        <scheme val="minor"/>
      </rPr>
      <t xml:space="preserve">Data Inputs </t>
    </r>
    <r>
      <rPr>
        <b/>
        <sz val="12"/>
        <color theme="8" tint="-0.249977111117893"/>
        <rFont val="Calibri"/>
        <family val="2"/>
        <scheme val="minor"/>
      </rPr>
      <t xml:space="preserve">tab. These values are used to prepare the costs shown on the </t>
    </r>
    <r>
      <rPr>
        <b/>
        <i/>
        <sz val="12"/>
        <color theme="8" tint="-0.249977111117893"/>
        <rFont val="Calibri"/>
        <family val="2"/>
        <scheme val="minor"/>
      </rPr>
      <t>Cost Estimate</t>
    </r>
    <r>
      <rPr>
        <b/>
        <sz val="12"/>
        <color theme="8" tint="-0.249977111117893"/>
        <rFont val="Calibri"/>
        <family val="2"/>
        <scheme val="minor"/>
      </rPr>
      <t xml:space="preserve"> tab.</t>
    </r>
  </si>
  <si>
    <t>Stack Height</t>
  </si>
  <si>
    <t>thickness, t =</t>
  </si>
  <si>
    <r>
      <t>Maximum Total Volumetric Flow at Flare Tip (Q</t>
    </r>
    <r>
      <rPr>
        <vertAlign val="subscript"/>
        <sz val="12"/>
        <color theme="1"/>
        <rFont val="Calibri"/>
        <family val="2"/>
        <scheme val="minor"/>
      </rPr>
      <t>tot</t>
    </r>
    <r>
      <rPr>
        <sz val="12"/>
        <color theme="1"/>
        <rFont val="Calibri"/>
        <family val="2"/>
        <scheme val="minor"/>
      </rPr>
      <t>) =</t>
    </r>
  </si>
  <si>
    <r>
      <t>Vent Stream Flow at Actual Conditions in the Knockout Drum (Q</t>
    </r>
    <r>
      <rPr>
        <vertAlign val="subscript"/>
        <sz val="12"/>
        <color theme="1"/>
        <rFont val="Calibri"/>
        <family val="2"/>
        <scheme val="minor"/>
      </rPr>
      <t>actual</t>
    </r>
    <r>
      <rPr>
        <sz val="12"/>
        <color theme="1"/>
        <rFont val="Calibri"/>
        <family val="2"/>
        <scheme val="minor"/>
      </rPr>
      <t xml:space="preserve">) = </t>
    </r>
  </si>
  <si>
    <r>
      <t>Pressure at Knockout Drum (P</t>
    </r>
    <r>
      <rPr>
        <vertAlign val="subscript"/>
        <sz val="12"/>
        <color theme="1"/>
        <rFont val="Calibri"/>
        <family val="2"/>
        <scheme val="minor"/>
      </rPr>
      <t>k</t>
    </r>
    <r>
      <rPr>
        <sz val="12"/>
        <color theme="1"/>
        <rFont val="Calibri"/>
        <family val="2"/>
        <scheme val="minor"/>
      </rPr>
      <t>)</t>
    </r>
  </si>
  <si>
    <r>
      <t>Pressure at the Flare Tip (P</t>
    </r>
    <r>
      <rPr>
        <vertAlign val="subscript"/>
        <sz val="12"/>
        <color theme="1"/>
        <rFont val="Calibri"/>
        <family val="2"/>
        <scheme val="minor"/>
      </rPr>
      <t>t</t>
    </r>
    <r>
      <rPr>
        <sz val="12"/>
        <color theme="1"/>
        <rFont val="Calibri"/>
        <family val="2"/>
        <scheme val="minor"/>
      </rPr>
      <t>)</t>
    </r>
  </si>
  <si>
    <r>
      <t>Q</t>
    </r>
    <r>
      <rPr>
        <vertAlign val="subscript"/>
        <sz val="12"/>
        <color theme="1"/>
        <rFont val="Calibri"/>
        <family val="2"/>
        <scheme val="minor"/>
      </rPr>
      <t>max</t>
    </r>
    <r>
      <rPr>
        <sz val="12"/>
        <color theme="1"/>
        <rFont val="Calibri"/>
        <family val="2"/>
        <scheme val="minor"/>
      </rPr>
      <t xml:space="preserve"> x (T</t>
    </r>
    <r>
      <rPr>
        <vertAlign val="subscript"/>
        <sz val="12"/>
        <color theme="1"/>
        <rFont val="Calibri"/>
        <family val="2"/>
        <scheme val="minor"/>
      </rPr>
      <t>actual</t>
    </r>
    <r>
      <rPr>
        <sz val="12"/>
        <color theme="1"/>
        <rFont val="Calibri"/>
        <family val="2"/>
        <scheme val="minor"/>
      </rPr>
      <t>/T</t>
    </r>
    <r>
      <rPr>
        <vertAlign val="subscript"/>
        <sz val="12"/>
        <color theme="1"/>
        <rFont val="Calibri"/>
        <family val="2"/>
        <scheme val="minor"/>
      </rPr>
      <t>s</t>
    </r>
    <r>
      <rPr>
        <sz val="12"/>
        <color theme="1"/>
        <rFont val="Calibri"/>
        <family val="2"/>
        <scheme val="minor"/>
      </rPr>
      <t>) x (P</t>
    </r>
    <r>
      <rPr>
        <vertAlign val="subscript"/>
        <sz val="12"/>
        <color theme="1"/>
        <rFont val="Calibri"/>
        <family val="2"/>
        <scheme val="minor"/>
      </rPr>
      <t>s</t>
    </r>
    <r>
      <rPr>
        <sz val="12"/>
        <color theme="1"/>
        <rFont val="Calibri"/>
        <family val="2"/>
        <scheme val="minor"/>
      </rPr>
      <t>/P</t>
    </r>
    <r>
      <rPr>
        <vertAlign val="subscript"/>
        <sz val="12"/>
        <color theme="1"/>
        <rFont val="Calibri"/>
        <family val="2"/>
        <scheme val="minor"/>
      </rPr>
      <t>k</t>
    </r>
    <r>
      <rPr>
        <sz val="12"/>
        <color theme="1"/>
        <rFont val="Calibri"/>
        <family val="2"/>
        <scheme val="minor"/>
      </rPr>
      <t xml:space="preserve">) = </t>
    </r>
  </si>
  <si>
    <t xml:space="preserve">Estimated Knock-out Drum Specifications: </t>
  </si>
  <si>
    <t>Stack Diameter</t>
  </si>
  <si>
    <t>Adjusted Stack Diameter</t>
  </si>
  <si>
    <t>Ajusted for available stack diameters:  2 inch increments for diameters less than or equal to diamters calcualted to be 24 inches. 6 inch increments for diameters calculated to be &gt;24 inches.</t>
  </si>
  <si>
    <t>Steam ($/1,000 lb.)</t>
  </si>
  <si>
    <t>See Table B for default values for common gases. Use 0.3 if the fraction of heat radiated is unknown.</t>
  </si>
  <si>
    <r>
      <t>Monitoring Equipment Cost (C</t>
    </r>
    <r>
      <rPr>
        <vertAlign val="subscript"/>
        <sz val="12"/>
        <color theme="1"/>
        <rFont val="Calibri"/>
        <family val="2"/>
        <scheme val="minor"/>
      </rPr>
      <t>M</t>
    </r>
    <r>
      <rPr>
        <sz val="12"/>
        <color theme="1"/>
        <rFont val="Calibri"/>
        <family val="2"/>
        <scheme val="minor"/>
      </rPr>
      <t xml:space="preserve">): </t>
    </r>
  </si>
  <si>
    <t>For Elevated Flares</t>
  </si>
  <si>
    <t>Contingency Cost (C ) =</t>
  </si>
  <si>
    <t xml:space="preserve">This spreadsheet allows users to estimate the capital and annualized costs for installing and operating flares to control emissions of volatile organic compounds (VOCs) from industrial waste gas streams. Flaring is a high-temperature oxidation process where combustible components of waste gases from industrial operations react with atmospheric oxygen to form carbon dioxide and water. They can be used to control almost any VOC steam and can handle fluctuations in VOC concentration, flow rate, heating value and inert content. Flares are used for waste streams with continuous, batch and variable flows and are often used for controlling emissions during emergency events, such as process upsets at chemical plants and refineries. The basic equipment required for a flare varies depending by the flare type (ground or elevated) and method of enhancing mixing at the flare tip (i.e., steam-assisted, air-assisted, pressure-assisted or non-assisted). The typical flare system consists of (1) a gas collection header and transport piping for collecting and conveying gases from process units to the flare, (2) a knockout drum (disentrainment drum) to remove and store condensables and entrained liquids, (3) a seal or purge gas supply to prevent flash-back, (4) a single- or multiple-burner unit and stack, (5) gas pilots and an ignitor to ignite the mixture of waste gas and air, and (6) steam injection or forced air for smokeless flaring. Natural gas, fuel gas, inert gas, or nitrogen can be used as purge gas.   </t>
  </si>
  <si>
    <t xml:space="preserve">This spreadsheet can be used to develop design parameters and estimate capital and annualized costs for elevated, steam-assisted flares. These are the most commonly used flares for industrial facilities. The methodology is designed to provide study-level cost estimates. Flares used at remote facilities, like upstream oil and gas facilities or landfills, are often non-assisted or air-assisted. The design and cost information provided in this spreadsheet are based on the information provided in Section 3.2 (VOC Destruction Controls), Chapter 1 (Flares) and do not apply to other flare types. Additionally, the methods provided in this chapter do not consider the design complexity and costs associated with a utility safety flare that service hundreds of sources. Actual costs, particularly those for installation, can deviate significantly from the costs generated using this spreadsheet due to site conditions. Units of measures in this spreadsheet are English units.  </t>
  </si>
  <si>
    <t>Bureau of Labor Statistics - May 2017 median labor costs for occupational code (51-8091).</t>
  </si>
  <si>
    <t>Bureau of Labor Statistics - May 2017 median labor costs for occupational code (49-9040).</t>
  </si>
  <si>
    <t>Use payroll data, if available, or check current edition of the Bureau of Labor Statistics, National Occupational Employment and Wage Estimates – United States (https://data.bls.gov/oes/#/occGeo/One%20occupation%20for%20multiple%20geographical%20areas).</t>
  </si>
  <si>
    <t xml:space="preserve">Use payroll data, if available, or check current edition of the Bureau of Labor Statistics, National Occupational Employment and Wage Estimates – United States (https://data.bls.gov/oes/#/occGeo/One%20occupation%20for%20multiple%20geographical%20areas).  </t>
  </si>
  <si>
    <t>CF × (DC + IC) =</t>
  </si>
  <si>
    <t>DC + IC + C = 1.89B + SP + Bldg. + C =</t>
  </si>
  <si>
    <t>Average annual natural gas price for industrial facilities in 2017 based on data from Department of Energy, Energy Information Administration (Available at https://www.eia.gov/dnav/ng/ng_pri_sum_dcu_nus_a.htm).</t>
  </si>
  <si>
    <r>
      <t>Total Annual Hours (t</t>
    </r>
    <r>
      <rPr>
        <vertAlign val="subscript"/>
        <sz val="12"/>
        <color theme="1"/>
        <rFont val="Calibri"/>
        <family val="2"/>
      </rPr>
      <t>op</t>
    </r>
    <r>
      <rPr>
        <sz val="12"/>
        <color theme="1"/>
        <rFont val="Calibri"/>
        <family val="2"/>
      </rPr>
      <t>)</t>
    </r>
    <r>
      <rPr>
        <sz val="12"/>
        <color theme="1"/>
        <rFont val="Calibri"/>
        <family val="2"/>
        <scheme val="minor"/>
      </rPr>
      <t xml:space="preserve"> =</t>
    </r>
  </si>
  <si>
    <t xml:space="preserve">Total Annual Hours = </t>
  </si>
  <si>
    <t>Average Molecular Weight of the waste gas stream (MW)</t>
  </si>
  <si>
    <r>
      <t>Auxiliary Fuel Consumption at No Waste Gas Flow Conditions (F</t>
    </r>
    <r>
      <rPr>
        <vertAlign val="subscript"/>
        <sz val="12"/>
        <color theme="1"/>
        <rFont val="Calibri"/>
        <family val="2"/>
        <scheme val="minor"/>
      </rPr>
      <t>min 4</t>
    </r>
    <r>
      <rPr>
        <sz val="12"/>
        <color theme="1"/>
        <rFont val="Calibri"/>
        <family val="2"/>
        <scheme val="minor"/>
      </rPr>
      <t>) =</t>
    </r>
  </si>
  <si>
    <r>
      <t>F</t>
    </r>
    <r>
      <rPr>
        <vertAlign val="subscript"/>
        <sz val="12"/>
        <color theme="1"/>
        <rFont val="Calibri"/>
        <family val="2"/>
        <scheme val="minor"/>
      </rPr>
      <t>a</t>
    </r>
    <r>
      <rPr>
        <sz val="12"/>
        <color theme="1"/>
        <rFont val="Calibri"/>
        <family val="2"/>
        <scheme val="minor"/>
      </rPr>
      <t xml:space="preserve"> /[1000 scf/Mscf] =</t>
    </r>
  </si>
  <si>
    <t>scf/year</t>
  </si>
  <si>
    <r>
      <t>Waste Gas Flow Rate at Condition 1 (Q</t>
    </r>
    <r>
      <rPr>
        <vertAlign val="subscript"/>
        <sz val="12"/>
        <color theme="1"/>
        <rFont val="Calibri"/>
        <family val="2"/>
        <scheme val="minor"/>
      </rPr>
      <t>1</t>
    </r>
    <r>
      <rPr>
        <sz val="12"/>
        <color theme="1"/>
        <rFont val="Calibri"/>
        <family val="2"/>
        <scheme val="minor"/>
      </rPr>
      <t>)</t>
    </r>
  </si>
  <si>
    <r>
      <t>Waste Gas Flow Rate at Condition 2 (Q</t>
    </r>
    <r>
      <rPr>
        <vertAlign val="subscript"/>
        <sz val="12"/>
        <color theme="1"/>
        <rFont val="Calibri"/>
        <family val="2"/>
        <scheme val="minor"/>
      </rPr>
      <t>2</t>
    </r>
    <r>
      <rPr>
        <sz val="12"/>
        <color theme="1"/>
        <rFont val="Calibri"/>
        <family val="2"/>
        <scheme val="minor"/>
      </rPr>
      <t>)</t>
    </r>
  </si>
  <si>
    <r>
      <t>Waste Gas Flow Rate at Condition 3 (Q</t>
    </r>
    <r>
      <rPr>
        <vertAlign val="subscript"/>
        <sz val="12"/>
        <color theme="1"/>
        <rFont val="Calibri"/>
        <family val="2"/>
        <scheme val="minor"/>
      </rPr>
      <t>3</t>
    </r>
    <r>
      <rPr>
        <sz val="12"/>
        <color theme="1"/>
        <rFont val="Calibri"/>
        <family val="2"/>
        <scheme val="minor"/>
      </rPr>
      <t>)</t>
    </r>
  </si>
  <si>
    <r>
      <t>Waste Gas Flow Rate at Condition 4 (Q</t>
    </r>
    <r>
      <rPr>
        <vertAlign val="subscript"/>
        <sz val="12"/>
        <color theme="1"/>
        <rFont val="Calibri"/>
        <family val="2"/>
        <scheme val="minor"/>
      </rPr>
      <t>4</t>
    </r>
    <r>
      <rPr>
        <sz val="12"/>
        <color theme="1"/>
        <rFont val="Calibri"/>
        <family val="2"/>
        <scheme val="minor"/>
      </rPr>
      <t>)</t>
    </r>
  </si>
  <si>
    <r>
      <t>Waste Gas Flow Rate at Condition 5 (Q</t>
    </r>
    <r>
      <rPr>
        <vertAlign val="subscript"/>
        <sz val="12"/>
        <color theme="1"/>
        <rFont val="Calibri"/>
        <family val="2"/>
        <scheme val="minor"/>
      </rPr>
      <t>5</t>
    </r>
    <r>
      <rPr>
        <sz val="12"/>
        <color theme="1"/>
        <rFont val="Calibri"/>
        <family val="2"/>
        <scheme val="minor"/>
      </rPr>
      <t>)</t>
    </r>
  </si>
  <si>
    <r>
      <t>Waste Gas Net Heat Content at Condition 1 (B</t>
    </r>
    <r>
      <rPr>
        <vertAlign val="subscript"/>
        <sz val="12"/>
        <color theme="1"/>
        <rFont val="Calibri"/>
        <family val="2"/>
        <scheme val="minor"/>
      </rPr>
      <t>v,1</t>
    </r>
    <r>
      <rPr>
        <sz val="12"/>
        <color theme="1"/>
        <rFont val="Calibri"/>
        <family val="2"/>
        <scheme val="minor"/>
      </rPr>
      <t>)</t>
    </r>
  </si>
  <si>
    <r>
      <t>Waste Gas Net Heat Content at Condition 2 (B</t>
    </r>
    <r>
      <rPr>
        <vertAlign val="subscript"/>
        <sz val="12"/>
        <color theme="1"/>
        <rFont val="Calibri"/>
        <family val="2"/>
        <scheme val="minor"/>
      </rPr>
      <t>v,2</t>
    </r>
    <r>
      <rPr>
        <sz val="12"/>
        <color theme="1"/>
        <rFont val="Calibri"/>
        <family val="2"/>
        <scheme val="minor"/>
      </rPr>
      <t>)</t>
    </r>
  </si>
  <si>
    <r>
      <t>Waste Gas Net Heat Content at Condition 3 (B</t>
    </r>
    <r>
      <rPr>
        <vertAlign val="subscript"/>
        <sz val="12"/>
        <color theme="1"/>
        <rFont val="Calibri"/>
        <family val="2"/>
        <scheme val="minor"/>
      </rPr>
      <t>v,3</t>
    </r>
    <r>
      <rPr>
        <sz val="12"/>
        <color theme="1"/>
        <rFont val="Calibri"/>
        <family val="2"/>
        <scheme val="minor"/>
      </rPr>
      <t>)</t>
    </r>
  </si>
  <si>
    <r>
      <t>Waste Gas Net Heat Content at Condition 4 (B</t>
    </r>
    <r>
      <rPr>
        <vertAlign val="subscript"/>
        <sz val="12"/>
        <color theme="1"/>
        <rFont val="Calibri"/>
        <family val="2"/>
        <scheme val="minor"/>
      </rPr>
      <t>v,4</t>
    </r>
    <r>
      <rPr>
        <sz val="12"/>
        <color theme="1"/>
        <rFont val="Calibri"/>
        <family val="2"/>
        <scheme val="minor"/>
      </rPr>
      <t>)</t>
    </r>
  </si>
  <si>
    <r>
      <t>Waste Gas Net Heat Content at Condition 5 (B</t>
    </r>
    <r>
      <rPr>
        <vertAlign val="subscript"/>
        <sz val="12"/>
        <color theme="1"/>
        <rFont val="Calibri"/>
        <family val="2"/>
        <scheme val="minor"/>
      </rPr>
      <t>v,5</t>
    </r>
    <r>
      <rPr>
        <sz val="12"/>
        <color theme="1"/>
        <rFont val="Calibri"/>
        <family val="2"/>
        <scheme val="minor"/>
      </rPr>
      <t>)</t>
    </r>
  </si>
  <si>
    <r>
      <t>Number of Operating Hours at Condition 1 (t</t>
    </r>
    <r>
      <rPr>
        <vertAlign val="subscript"/>
        <sz val="12"/>
        <color theme="1"/>
        <rFont val="Calibri"/>
        <family val="2"/>
        <scheme val="minor"/>
      </rPr>
      <t>1</t>
    </r>
    <r>
      <rPr>
        <sz val="12"/>
        <color theme="1"/>
        <rFont val="Calibri"/>
        <family val="2"/>
        <scheme val="minor"/>
      </rPr>
      <t>)</t>
    </r>
  </si>
  <si>
    <r>
      <t>Number of Operating Hours at Condition 2 (t</t>
    </r>
    <r>
      <rPr>
        <vertAlign val="subscript"/>
        <sz val="12"/>
        <color theme="1"/>
        <rFont val="Calibri"/>
        <family val="2"/>
        <scheme val="minor"/>
      </rPr>
      <t>2</t>
    </r>
    <r>
      <rPr>
        <sz val="12"/>
        <color theme="1"/>
        <rFont val="Calibri"/>
        <family val="2"/>
        <scheme val="minor"/>
      </rPr>
      <t>)</t>
    </r>
  </si>
  <si>
    <r>
      <t>Number of Operating Hours at Condition 3 (t</t>
    </r>
    <r>
      <rPr>
        <vertAlign val="subscript"/>
        <sz val="12"/>
        <color theme="1"/>
        <rFont val="Calibri"/>
        <family val="2"/>
        <scheme val="minor"/>
      </rPr>
      <t>3</t>
    </r>
    <r>
      <rPr>
        <sz val="12"/>
        <color theme="1"/>
        <rFont val="Calibri"/>
        <family val="2"/>
        <scheme val="minor"/>
      </rPr>
      <t>)</t>
    </r>
  </si>
  <si>
    <r>
      <t>Number of Operating Hours at Condition 4 (t</t>
    </r>
    <r>
      <rPr>
        <vertAlign val="subscript"/>
        <sz val="12"/>
        <color theme="1"/>
        <rFont val="Calibri"/>
        <family val="2"/>
        <scheme val="minor"/>
      </rPr>
      <t>4</t>
    </r>
    <r>
      <rPr>
        <sz val="12"/>
        <color theme="1"/>
        <rFont val="Calibri"/>
        <family val="2"/>
        <scheme val="minor"/>
      </rPr>
      <t>)</t>
    </r>
  </si>
  <si>
    <r>
      <t>Number of Operating Hours at Condition 5 (t</t>
    </r>
    <r>
      <rPr>
        <vertAlign val="subscript"/>
        <sz val="12"/>
        <color theme="1"/>
        <rFont val="Calibri"/>
        <family val="2"/>
        <scheme val="minor"/>
      </rPr>
      <t>5</t>
    </r>
    <r>
      <rPr>
        <sz val="12"/>
        <color theme="1"/>
        <rFont val="Calibri"/>
        <family val="2"/>
        <scheme val="minor"/>
      </rPr>
      <t>)</t>
    </r>
  </si>
  <si>
    <t>yes</t>
  </si>
  <si>
    <t>no</t>
  </si>
  <si>
    <r>
      <t>Mass Steam Flow Rate at Condition 1 (M</t>
    </r>
    <r>
      <rPr>
        <vertAlign val="subscript"/>
        <sz val="12"/>
        <color theme="1"/>
        <rFont val="Calibri"/>
        <family val="2"/>
        <scheme val="minor"/>
      </rPr>
      <t>1</t>
    </r>
    <r>
      <rPr>
        <sz val="12"/>
        <color theme="1"/>
        <rFont val="Calibri"/>
        <family val="2"/>
        <scheme val="minor"/>
      </rPr>
      <t xml:space="preserve">)= </t>
    </r>
  </si>
  <si>
    <r>
      <t>Mass Steam Flow Rate at Condition 2 (M</t>
    </r>
    <r>
      <rPr>
        <vertAlign val="subscript"/>
        <sz val="12"/>
        <color theme="1"/>
        <rFont val="Calibri"/>
        <family val="2"/>
        <scheme val="minor"/>
      </rPr>
      <t>2</t>
    </r>
    <r>
      <rPr>
        <sz val="12"/>
        <color theme="1"/>
        <rFont val="Calibri"/>
        <family val="2"/>
        <scheme val="minor"/>
      </rPr>
      <t xml:space="preserve">)= </t>
    </r>
  </si>
  <si>
    <r>
      <t>Mass Steam Flow Rate at Condition 3 (M</t>
    </r>
    <r>
      <rPr>
        <vertAlign val="subscript"/>
        <sz val="12"/>
        <color theme="1"/>
        <rFont val="Calibri"/>
        <family val="2"/>
        <scheme val="minor"/>
      </rPr>
      <t>3</t>
    </r>
    <r>
      <rPr>
        <sz val="12"/>
        <color theme="1"/>
        <rFont val="Calibri"/>
        <family val="2"/>
        <scheme val="minor"/>
      </rPr>
      <t xml:space="preserve">)= </t>
    </r>
  </si>
  <si>
    <r>
      <t>Mass Steam Flow Rate at Condition 4 (M</t>
    </r>
    <r>
      <rPr>
        <vertAlign val="subscript"/>
        <sz val="12"/>
        <color theme="1"/>
        <rFont val="Calibri"/>
        <family val="2"/>
        <scheme val="minor"/>
      </rPr>
      <t>4</t>
    </r>
    <r>
      <rPr>
        <sz val="12"/>
        <color theme="1"/>
        <rFont val="Calibri"/>
        <family val="2"/>
        <scheme val="minor"/>
      </rPr>
      <t xml:space="preserve">)= </t>
    </r>
  </si>
  <si>
    <r>
      <t>Mass Steam Flow Rate at Condition 5 (M</t>
    </r>
    <r>
      <rPr>
        <vertAlign val="subscript"/>
        <sz val="12"/>
        <color theme="1"/>
        <rFont val="Calibri"/>
        <family val="2"/>
        <scheme val="minor"/>
      </rPr>
      <t>5</t>
    </r>
    <r>
      <rPr>
        <sz val="12"/>
        <color theme="1"/>
        <rFont val="Calibri"/>
        <family val="2"/>
        <scheme val="minor"/>
      </rPr>
      <t xml:space="preserve">)= </t>
    </r>
  </si>
  <si>
    <r>
      <t>Volumetric Steam Flow Rate at Condition 1 (S</t>
    </r>
    <r>
      <rPr>
        <vertAlign val="subscript"/>
        <sz val="12"/>
        <color theme="1"/>
        <rFont val="Calibri"/>
        <family val="2"/>
        <scheme val="minor"/>
      </rPr>
      <t>1</t>
    </r>
    <r>
      <rPr>
        <sz val="12"/>
        <color theme="1"/>
        <rFont val="Calibri"/>
        <family val="2"/>
        <scheme val="minor"/>
      </rPr>
      <t xml:space="preserve">)= </t>
    </r>
  </si>
  <si>
    <r>
      <t>Volumetric Steam Flow Rate at Condition 2 (S</t>
    </r>
    <r>
      <rPr>
        <vertAlign val="subscript"/>
        <sz val="12"/>
        <color theme="1"/>
        <rFont val="Calibri"/>
        <family val="2"/>
        <scheme val="minor"/>
      </rPr>
      <t>2</t>
    </r>
    <r>
      <rPr>
        <sz val="12"/>
        <color theme="1"/>
        <rFont val="Calibri"/>
        <family val="2"/>
        <scheme val="minor"/>
      </rPr>
      <t xml:space="preserve">)= </t>
    </r>
  </si>
  <si>
    <r>
      <t>Volumetric Steam Flow Rate at Condition 3 (S</t>
    </r>
    <r>
      <rPr>
        <vertAlign val="subscript"/>
        <sz val="12"/>
        <color theme="1"/>
        <rFont val="Calibri"/>
        <family val="2"/>
        <scheme val="minor"/>
      </rPr>
      <t>3</t>
    </r>
    <r>
      <rPr>
        <sz val="12"/>
        <color theme="1"/>
        <rFont val="Calibri"/>
        <family val="2"/>
        <scheme val="minor"/>
      </rPr>
      <t xml:space="preserve">)= </t>
    </r>
  </si>
  <si>
    <r>
      <t>Volumetric Steam Flow Rate at Condition 4 (S</t>
    </r>
    <r>
      <rPr>
        <vertAlign val="subscript"/>
        <sz val="12"/>
        <color theme="1"/>
        <rFont val="Calibri"/>
        <family val="2"/>
        <scheme val="minor"/>
      </rPr>
      <t>4</t>
    </r>
    <r>
      <rPr>
        <sz val="12"/>
        <color theme="1"/>
        <rFont val="Calibri"/>
        <family val="2"/>
        <scheme val="minor"/>
      </rPr>
      <t xml:space="preserve">)= </t>
    </r>
  </si>
  <si>
    <r>
      <t>Volumetric Steam Flow Rate at Condition 5 (S</t>
    </r>
    <r>
      <rPr>
        <vertAlign val="subscript"/>
        <sz val="12"/>
        <color theme="1"/>
        <rFont val="Calibri"/>
        <family val="2"/>
        <scheme val="minor"/>
      </rPr>
      <t>5</t>
    </r>
    <r>
      <rPr>
        <sz val="12"/>
        <color theme="1"/>
        <rFont val="Calibri"/>
        <family val="2"/>
        <scheme val="minor"/>
      </rPr>
      <t xml:space="preserve">)= </t>
    </r>
  </si>
  <si>
    <r>
      <t>(M</t>
    </r>
    <r>
      <rPr>
        <vertAlign val="subscript"/>
        <sz val="12"/>
        <color theme="1"/>
        <rFont val="Calibri"/>
        <family val="2"/>
        <scheme val="minor"/>
      </rPr>
      <t>1</t>
    </r>
    <r>
      <rPr>
        <sz val="12"/>
        <color theme="1"/>
        <rFont val="Calibri"/>
        <family val="2"/>
        <scheme val="minor"/>
      </rPr>
      <t xml:space="preserve"> x t</t>
    </r>
    <r>
      <rPr>
        <vertAlign val="subscript"/>
        <sz val="12"/>
        <color theme="1"/>
        <rFont val="Calibri"/>
        <family val="2"/>
        <scheme val="minor"/>
      </rPr>
      <t>1</t>
    </r>
    <r>
      <rPr>
        <sz val="12"/>
        <color theme="1"/>
        <rFont val="Calibri"/>
        <family val="2"/>
        <scheme val="minor"/>
      </rPr>
      <t>) + (M</t>
    </r>
    <r>
      <rPr>
        <vertAlign val="subscript"/>
        <sz val="12"/>
        <color theme="1"/>
        <rFont val="Calibri"/>
        <family val="2"/>
        <scheme val="minor"/>
      </rPr>
      <t>2</t>
    </r>
    <r>
      <rPr>
        <sz val="12"/>
        <color theme="1"/>
        <rFont val="Calibri"/>
        <family val="2"/>
        <scheme val="minor"/>
      </rPr>
      <t xml:space="preserve"> x t</t>
    </r>
    <r>
      <rPr>
        <vertAlign val="subscript"/>
        <sz val="12"/>
        <color theme="1"/>
        <rFont val="Calibri"/>
        <family val="2"/>
        <scheme val="minor"/>
      </rPr>
      <t>2</t>
    </r>
    <r>
      <rPr>
        <sz val="12"/>
        <color theme="1"/>
        <rFont val="Calibri"/>
        <family val="2"/>
        <scheme val="minor"/>
      </rPr>
      <t>) + (M</t>
    </r>
    <r>
      <rPr>
        <vertAlign val="subscript"/>
        <sz val="12"/>
        <color theme="1"/>
        <rFont val="Calibri"/>
        <family val="2"/>
        <scheme val="minor"/>
      </rPr>
      <t>3</t>
    </r>
    <r>
      <rPr>
        <sz val="12"/>
        <color theme="1"/>
        <rFont val="Calibri"/>
        <family val="2"/>
        <scheme val="minor"/>
      </rPr>
      <t xml:space="preserve"> x t</t>
    </r>
    <r>
      <rPr>
        <vertAlign val="subscript"/>
        <sz val="12"/>
        <color theme="1"/>
        <rFont val="Calibri"/>
        <family val="2"/>
        <scheme val="minor"/>
      </rPr>
      <t>3</t>
    </r>
    <r>
      <rPr>
        <sz val="12"/>
        <color theme="1"/>
        <rFont val="Calibri"/>
        <family val="2"/>
        <scheme val="minor"/>
      </rPr>
      <t>) + (M</t>
    </r>
    <r>
      <rPr>
        <vertAlign val="subscript"/>
        <sz val="12"/>
        <color theme="1"/>
        <rFont val="Calibri"/>
        <family val="2"/>
        <scheme val="minor"/>
      </rPr>
      <t>4</t>
    </r>
    <r>
      <rPr>
        <sz val="12"/>
        <color theme="1"/>
        <rFont val="Calibri"/>
        <family val="2"/>
        <scheme val="minor"/>
      </rPr>
      <t xml:space="preserve"> x t</t>
    </r>
    <r>
      <rPr>
        <vertAlign val="subscript"/>
        <sz val="12"/>
        <color theme="1"/>
        <rFont val="Calibri"/>
        <family val="2"/>
        <scheme val="minor"/>
      </rPr>
      <t>4</t>
    </r>
    <r>
      <rPr>
        <sz val="12"/>
        <color theme="1"/>
        <rFont val="Calibri"/>
        <family val="2"/>
        <scheme val="minor"/>
      </rPr>
      <t>) + (M</t>
    </r>
    <r>
      <rPr>
        <vertAlign val="subscript"/>
        <sz val="12"/>
        <color theme="1"/>
        <rFont val="Calibri"/>
        <family val="2"/>
        <scheme val="minor"/>
      </rPr>
      <t>5</t>
    </r>
    <r>
      <rPr>
        <sz val="12"/>
        <color theme="1"/>
        <rFont val="Calibri"/>
        <family val="2"/>
        <scheme val="minor"/>
      </rPr>
      <t xml:space="preserve"> </t>
    </r>
    <r>
      <rPr>
        <sz val="12"/>
        <color theme="1"/>
        <rFont val="Calibri"/>
        <family val="2"/>
      </rPr>
      <t>× t</t>
    </r>
    <r>
      <rPr>
        <vertAlign val="subscript"/>
        <sz val="12"/>
        <color theme="1"/>
        <rFont val="Calibri"/>
        <family val="2"/>
      </rPr>
      <t>5</t>
    </r>
    <r>
      <rPr>
        <sz val="12"/>
        <color theme="1"/>
        <rFont val="Calibri"/>
        <family val="2"/>
      </rPr>
      <t xml:space="preserve">) </t>
    </r>
    <r>
      <rPr>
        <sz val="12"/>
        <color theme="1"/>
        <rFont val="Calibri"/>
        <family val="2"/>
        <scheme val="minor"/>
      </rPr>
      <t xml:space="preserve">= </t>
    </r>
  </si>
  <si>
    <r>
      <t>(B</t>
    </r>
    <r>
      <rPr>
        <vertAlign val="subscript"/>
        <sz val="12"/>
        <color theme="1"/>
        <rFont val="Calibri"/>
        <family val="2"/>
        <scheme val="minor"/>
      </rPr>
      <t>v,1</t>
    </r>
    <r>
      <rPr>
        <sz val="12"/>
        <color theme="1"/>
        <rFont val="Calibri"/>
        <family val="2"/>
        <scheme val="minor"/>
      </rPr>
      <t xml:space="preserve"> x Q</t>
    </r>
    <r>
      <rPr>
        <vertAlign val="subscript"/>
        <sz val="12"/>
        <color theme="1"/>
        <rFont val="Calibri"/>
        <family val="2"/>
        <scheme val="minor"/>
      </rPr>
      <t>1</t>
    </r>
    <r>
      <rPr>
        <sz val="12"/>
        <color theme="1"/>
        <rFont val="Calibri"/>
        <family val="2"/>
        <scheme val="minor"/>
      </rPr>
      <t>)/(Q</t>
    </r>
    <r>
      <rPr>
        <vertAlign val="subscript"/>
        <sz val="12"/>
        <color theme="1"/>
        <rFont val="Calibri"/>
        <family val="2"/>
        <scheme val="minor"/>
      </rPr>
      <t>1</t>
    </r>
    <r>
      <rPr>
        <sz val="12"/>
        <color theme="1"/>
        <rFont val="Calibri"/>
        <family val="2"/>
        <scheme val="minor"/>
      </rPr>
      <t xml:space="preserve"> + K</t>
    </r>
    <r>
      <rPr>
        <vertAlign val="subscript"/>
        <sz val="12"/>
        <color theme="1"/>
        <rFont val="Calibri"/>
        <family val="2"/>
        <scheme val="minor"/>
      </rPr>
      <t>1</t>
    </r>
    <r>
      <rPr>
        <sz val="12"/>
        <color theme="1"/>
        <rFont val="Calibri"/>
        <family val="2"/>
        <scheme val="minor"/>
      </rPr>
      <t>S</t>
    </r>
    <r>
      <rPr>
        <vertAlign val="subscript"/>
        <sz val="12"/>
        <color theme="1"/>
        <rFont val="Calibri"/>
        <family val="2"/>
        <scheme val="minor"/>
      </rPr>
      <t>1</t>
    </r>
    <r>
      <rPr>
        <sz val="12"/>
        <color theme="1"/>
        <rFont val="Calibri"/>
        <family val="2"/>
        <scheme val="minor"/>
      </rPr>
      <t>) =</t>
    </r>
  </si>
  <si>
    <r>
      <t>(B</t>
    </r>
    <r>
      <rPr>
        <vertAlign val="subscript"/>
        <sz val="12"/>
        <color theme="1"/>
        <rFont val="Calibri"/>
        <family val="2"/>
        <scheme val="minor"/>
      </rPr>
      <t>v,2</t>
    </r>
    <r>
      <rPr>
        <sz val="12"/>
        <color theme="1"/>
        <rFont val="Calibri"/>
        <family val="2"/>
        <scheme val="minor"/>
      </rPr>
      <t xml:space="preserve"> x Q</t>
    </r>
    <r>
      <rPr>
        <vertAlign val="subscript"/>
        <sz val="12"/>
        <color theme="1"/>
        <rFont val="Calibri"/>
        <family val="2"/>
        <scheme val="minor"/>
      </rPr>
      <t>2</t>
    </r>
    <r>
      <rPr>
        <sz val="12"/>
        <color theme="1"/>
        <rFont val="Calibri"/>
        <family val="2"/>
        <scheme val="minor"/>
      </rPr>
      <t>)/(Q</t>
    </r>
    <r>
      <rPr>
        <vertAlign val="subscript"/>
        <sz val="12"/>
        <color theme="1"/>
        <rFont val="Calibri"/>
        <family val="2"/>
        <scheme val="minor"/>
      </rPr>
      <t>2</t>
    </r>
    <r>
      <rPr>
        <sz val="12"/>
        <color theme="1"/>
        <rFont val="Calibri"/>
        <family val="2"/>
        <scheme val="minor"/>
      </rPr>
      <t xml:space="preserve"> + K</t>
    </r>
    <r>
      <rPr>
        <vertAlign val="subscript"/>
        <sz val="12"/>
        <color theme="1"/>
        <rFont val="Calibri"/>
        <family val="2"/>
        <scheme val="minor"/>
      </rPr>
      <t>1</t>
    </r>
    <r>
      <rPr>
        <sz val="12"/>
        <color theme="1"/>
        <rFont val="Calibri"/>
        <family val="2"/>
        <scheme val="minor"/>
      </rPr>
      <t>S</t>
    </r>
    <r>
      <rPr>
        <vertAlign val="subscript"/>
        <sz val="12"/>
        <color theme="1"/>
        <rFont val="Calibri"/>
        <family val="2"/>
        <scheme val="minor"/>
      </rPr>
      <t>2</t>
    </r>
    <r>
      <rPr>
        <sz val="12"/>
        <color theme="1"/>
        <rFont val="Calibri"/>
        <family val="2"/>
        <scheme val="minor"/>
      </rPr>
      <t>) =</t>
    </r>
  </si>
  <si>
    <r>
      <t>Combustion Zone Factor (K</t>
    </r>
    <r>
      <rPr>
        <vertAlign val="subscript"/>
        <sz val="12"/>
        <color theme="1"/>
        <rFont val="Calibri"/>
        <family val="2"/>
        <scheme val="minor"/>
      </rPr>
      <t>1</t>
    </r>
    <r>
      <rPr>
        <sz val="12"/>
        <color theme="1"/>
        <rFont val="Calibri"/>
        <family val="2"/>
        <scheme val="minor"/>
      </rPr>
      <t>)</t>
    </r>
  </si>
  <si>
    <r>
      <t>(B</t>
    </r>
    <r>
      <rPr>
        <vertAlign val="subscript"/>
        <sz val="12"/>
        <color theme="1"/>
        <rFont val="Calibri"/>
        <family val="2"/>
        <scheme val="minor"/>
      </rPr>
      <t>v,3</t>
    </r>
    <r>
      <rPr>
        <sz val="12"/>
        <color theme="1"/>
        <rFont val="Calibri"/>
        <family val="2"/>
        <scheme val="minor"/>
      </rPr>
      <t xml:space="preserve"> x Q</t>
    </r>
    <r>
      <rPr>
        <vertAlign val="subscript"/>
        <sz val="12"/>
        <color theme="1"/>
        <rFont val="Calibri"/>
        <family val="2"/>
        <scheme val="minor"/>
      </rPr>
      <t>3</t>
    </r>
    <r>
      <rPr>
        <sz val="12"/>
        <color theme="1"/>
        <rFont val="Calibri"/>
        <family val="2"/>
        <scheme val="minor"/>
      </rPr>
      <t>)/(Q</t>
    </r>
    <r>
      <rPr>
        <vertAlign val="subscript"/>
        <sz val="12"/>
        <color theme="1"/>
        <rFont val="Calibri"/>
        <family val="2"/>
        <scheme val="minor"/>
      </rPr>
      <t>3</t>
    </r>
    <r>
      <rPr>
        <sz val="12"/>
        <color theme="1"/>
        <rFont val="Calibri"/>
        <family val="2"/>
        <scheme val="minor"/>
      </rPr>
      <t xml:space="preserve"> + K</t>
    </r>
    <r>
      <rPr>
        <vertAlign val="subscript"/>
        <sz val="12"/>
        <color theme="1"/>
        <rFont val="Calibri"/>
        <family val="2"/>
        <scheme val="minor"/>
      </rPr>
      <t>1</t>
    </r>
    <r>
      <rPr>
        <sz val="12"/>
        <color theme="1"/>
        <rFont val="Calibri"/>
        <family val="2"/>
        <scheme val="minor"/>
      </rPr>
      <t>S</t>
    </r>
    <r>
      <rPr>
        <vertAlign val="subscript"/>
        <sz val="12"/>
        <color theme="1"/>
        <rFont val="Calibri"/>
        <family val="2"/>
        <scheme val="minor"/>
      </rPr>
      <t>3</t>
    </r>
    <r>
      <rPr>
        <sz val="12"/>
        <color theme="1"/>
        <rFont val="Calibri"/>
        <family val="2"/>
        <scheme val="minor"/>
      </rPr>
      <t>) =</t>
    </r>
  </si>
  <si>
    <r>
      <t>(B</t>
    </r>
    <r>
      <rPr>
        <vertAlign val="subscript"/>
        <sz val="12"/>
        <color theme="1"/>
        <rFont val="Calibri"/>
        <family val="2"/>
        <scheme val="minor"/>
      </rPr>
      <t>v,4</t>
    </r>
    <r>
      <rPr>
        <sz val="12"/>
        <color theme="1"/>
        <rFont val="Calibri"/>
        <family val="2"/>
        <scheme val="minor"/>
      </rPr>
      <t xml:space="preserve"> x Q</t>
    </r>
    <r>
      <rPr>
        <vertAlign val="subscript"/>
        <sz val="12"/>
        <color theme="1"/>
        <rFont val="Calibri"/>
        <family val="2"/>
        <scheme val="minor"/>
      </rPr>
      <t>4</t>
    </r>
    <r>
      <rPr>
        <sz val="12"/>
        <color theme="1"/>
        <rFont val="Calibri"/>
        <family val="2"/>
        <scheme val="minor"/>
      </rPr>
      <t>)/(Q</t>
    </r>
    <r>
      <rPr>
        <vertAlign val="subscript"/>
        <sz val="12"/>
        <color theme="1"/>
        <rFont val="Calibri"/>
        <family val="2"/>
        <scheme val="minor"/>
      </rPr>
      <t>4</t>
    </r>
    <r>
      <rPr>
        <sz val="12"/>
        <color theme="1"/>
        <rFont val="Calibri"/>
        <family val="2"/>
        <scheme val="minor"/>
      </rPr>
      <t xml:space="preserve"> + K</t>
    </r>
    <r>
      <rPr>
        <vertAlign val="subscript"/>
        <sz val="12"/>
        <color theme="1"/>
        <rFont val="Calibri"/>
        <family val="2"/>
        <scheme val="minor"/>
      </rPr>
      <t>1</t>
    </r>
    <r>
      <rPr>
        <sz val="12"/>
        <color theme="1"/>
        <rFont val="Calibri"/>
        <family val="2"/>
        <scheme val="minor"/>
      </rPr>
      <t>S</t>
    </r>
    <r>
      <rPr>
        <vertAlign val="subscript"/>
        <sz val="12"/>
        <color theme="1"/>
        <rFont val="Calibri"/>
        <family val="2"/>
        <scheme val="minor"/>
      </rPr>
      <t>4</t>
    </r>
    <r>
      <rPr>
        <sz val="12"/>
        <color theme="1"/>
        <rFont val="Calibri"/>
        <family val="2"/>
        <scheme val="minor"/>
      </rPr>
      <t>) =</t>
    </r>
  </si>
  <si>
    <r>
      <t>(B</t>
    </r>
    <r>
      <rPr>
        <vertAlign val="subscript"/>
        <sz val="12"/>
        <color theme="1"/>
        <rFont val="Calibri"/>
        <family val="2"/>
        <scheme val="minor"/>
      </rPr>
      <t>v,5</t>
    </r>
    <r>
      <rPr>
        <sz val="12"/>
        <color theme="1"/>
        <rFont val="Calibri"/>
        <family val="2"/>
        <scheme val="minor"/>
      </rPr>
      <t xml:space="preserve"> x Q</t>
    </r>
    <r>
      <rPr>
        <vertAlign val="subscript"/>
        <sz val="12"/>
        <color theme="1"/>
        <rFont val="Calibri"/>
        <family val="2"/>
        <scheme val="minor"/>
      </rPr>
      <t>5</t>
    </r>
    <r>
      <rPr>
        <sz val="12"/>
        <color theme="1"/>
        <rFont val="Calibri"/>
        <family val="2"/>
        <scheme val="minor"/>
      </rPr>
      <t>)/(Q</t>
    </r>
    <r>
      <rPr>
        <vertAlign val="subscript"/>
        <sz val="12"/>
        <color theme="1"/>
        <rFont val="Calibri"/>
        <family val="2"/>
        <scheme val="minor"/>
      </rPr>
      <t>5</t>
    </r>
    <r>
      <rPr>
        <sz val="12"/>
        <color theme="1"/>
        <rFont val="Calibri"/>
        <family val="2"/>
        <scheme val="minor"/>
      </rPr>
      <t xml:space="preserve"> + K</t>
    </r>
    <r>
      <rPr>
        <vertAlign val="subscript"/>
        <sz val="12"/>
        <color theme="1"/>
        <rFont val="Calibri"/>
        <family val="2"/>
        <scheme val="minor"/>
      </rPr>
      <t>1</t>
    </r>
    <r>
      <rPr>
        <sz val="12"/>
        <color theme="1"/>
        <rFont val="Calibri"/>
        <family val="2"/>
        <scheme val="minor"/>
      </rPr>
      <t>S</t>
    </r>
    <r>
      <rPr>
        <vertAlign val="subscript"/>
        <sz val="12"/>
        <color theme="1"/>
        <rFont val="Calibri"/>
        <family val="2"/>
        <scheme val="minor"/>
      </rPr>
      <t>5</t>
    </r>
    <r>
      <rPr>
        <sz val="12"/>
        <color theme="1"/>
        <rFont val="Calibri"/>
        <family val="2"/>
        <scheme val="minor"/>
      </rPr>
      <t>) =</t>
    </r>
  </si>
  <si>
    <r>
      <t>Net Heating Value at Condition 1 (NHV</t>
    </r>
    <r>
      <rPr>
        <vertAlign val="subscript"/>
        <sz val="12"/>
        <color theme="1"/>
        <rFont val="Calibri"/>
        <family val="2"/>
        <scheme val="minor"/>
      </rPr>
      <t>1</t>
    </r>
    <r>
      <rPr>
        <sz val="12"/>
        <color theme="1"/>
        <rFont val="Calibri"/>
        <family val="2"/>
        <scheme val="minor"/>
      </rPr>
      <t>) =</t>
    </r>
  </si>
  <si>
    <r>
      <t>Net Heating Value at Condition 2 (NHV</t>
    </r>
    <r>
      <rPr>
        <vertAlign val="subscript"/>
        <sz val="12"/>
        <color theme="1"/>
        <rFont val="Calibri"/>
        <family val="2"/>
        <scheme val="minor"/>
      </rPr>
      <t>2</t>
    </r>
    <r>
      <rPr>
        <sz val="12"/>
        <color theme="1"/>
        <rFont val="Calibri"/>
        <family val="2"/>
        <scheme val="minor"/>
      </rPr>
      <t>) =</t>
    </r>
  </si>
  <si>
    <r>
      <t>Net Heating Value at Condition 3 (NHV</t>
    </r>
    <r>
      <rPr>
        <vertAlign val="subscript"/>
        <sz val="12"/>
        <color theme="1"/>
        <rFont val="Calibri"/>
        <family val="2"/>
        <scheme val="minor"/>
      </rPr>
      <t>3</t>
    </r>
    <r>
      <rPr>
        <sz val="12"/>
        <color theme="1"/>
        <rFont val="Calibri"/>
        <family val="2"/>
        <scheme val="minor"/>
      </rPr>
      <t>) =</t>
    </r>
  </si>
  <si>
    <r>
      <t>Net Heating Value at Condition 4 (NHV</t>
    </r>
    <r>
      <rPr>
        <vertAlign val="subscript"/>
        <sz val="12"/>
        <color theme="1"/>
        <rFont val="Calibri"/>
        <family val="2"/>
        <scheme val="minor"/>
      </rPr>
      <t>4</t>
    </r>
    <r>
      <rPr>
        <sz val="12"/>
        <color theme="1"/>
        <rFont val="Calibri"/>
        <family val="2"/>
        <scheme val="minor"/>
      </rPr>
      <t>) =</t>
    </r>
  </si>
  <si>
    <r>
      <t>Net Heating Value at Condition 5 (NHV</t>
    </r>
    <r>
      <rPr>
        <vertAlign val="subscript"/>
        <sz val="12"/>
        <color theme="1"/>
        <rFont val="Calibri"/>
        <family val="2"/>
        <scheme val="minor"/>
      </rPr>
      <t>5</t>
    </r>
    <r>
      <rPr>
        <sz val="12"/>
        <color theme="1"/>
        <rFont val="Calibri"/>
        <family val="2"/>
        <scheme val="minor"/>
      </rPr>
      <t>) =</t>
    </r>
  </si>
  <si>
    <r>
      <t>Auxiliary Fuel Consumption at No Waste Gas Flow Conditions (F</t>
    </r>
    <r>
      <rPr>
        <vertAlign val="subscript"/>
        <sz val="12"/>
        <color theme="1"/>
        <rFont val="Calibri"/>
        <family val="2"/>
        <scheme val="minor"/>
      </rPr>
      <t>min 5</t>
    </r>
    <r>
      <rPr>
        <sz val="12"/>
        <color theme="1"/>
        <rFont val="Calibri"/>
        <family val="2"/>
        <scheme val="minor"/>
      </rPr>
      <t>) =</t>
    </r>
  </si>
  <si>
    <r>
      <t xml:space="preserve"> t</t>
    </r>
    <r>
      <rPr>
        <vertAlign val="subscript"/>
        <sz val="14"/>
        <color theme="1"/>
        <rFont val="Calibri"/>
        <family val="2"/>
        <scheme val="minor"/>
      </rPr>
      <t>1</t>
    </r>
    <r>
      <rPr>
        <sz val="14"/>
        <color theme="1"/>
        <rFont val="Calibri"/>
        <family val="2"/>
        <scheme val="minor"/>
      </rPr>
      <t xml:space="preserve"> + t</t>
    </r>
    <r>
      <rPr>
        <vertAlign val="subscript"/>
        <sz val="14"/>
        <color theme="1"/>
        <rFont val="Calibri"/>
        <family val="2"/>
        <scheme val="minor"/>
      </rPr>
      <t>2</t>
    </r>
    <r>
      <rPr>
        <sz val="14"/>
        <color theme="1"/>
        <rFont val="Calibri"/>
        <family val="2"/>
        <scheme val="minor"/>
      </rPr>
      <t xml:space="preserve"> + t</t>
    </r>
    <r>
      <rPr>
        <vertAlign val="subscript"/>
        <sz val="14"/>
        <color theme="1"/>
        <rFont val="Calibri"/>
        <family val="2"/>
        <scheme val="minor"/>
      </rPr>
      <t>3</t>
    </r>
    <r>
      <rPr>
        <sz val="14"/>
        <color theme="1"/>
        <rFont val="Calibri"/>
        <family val="2"/>
        <scheme val="minor"/>
      </rPr>
      <t xml:space="preserve"> + t</t>
    </r>
    <r>
      <rPr>
        <vertAlign val="subscript"/>
        <sz val="14"/>
        <color theme="1"/>
        <rFont val="Calibri"/>
        <family val="2"/>
        <scheme val="minor"/>
      </rPr>
      <t>4</t>
    </r>
    <r>
      <rPr>
        <sz val="14"/>
        <color theme="1"/>
        <rFont val="Calibri"/>
        <family val="2"/>
        <scheme val="minor"/>
      </rPr>
      <t xml:space="preserve"> + t</t>
    </r>
    <r>
      <rPr>
        <vertAlign val="subscript"/>
        <sz val="14"/>
        <color theme="1"/>
        <rFont val="Calibri"/>
        <family val="2"/>
        <scheme val="minor"/>
      </rPr>
      <t>5</t>
    </r>
    <r>
      <rPr>
        <sz val="14"/>
        <color theme="1"/>
        <rFont val="Calibri"/>
        <family val="2"/>
        <scheme val="minor"/>
      </rPr>
      <t xml:space="preserve"> =</t>
    </r>
  </si>
  <si>
    <r>
      <t>Q + F</t>
    </r>
    <r>
      <rPr>
        <vertAlign val="subscript"/>
        <sz val="12"/>
        <color theme="1"/>
        <rFont val="Calibri"/>
        <family val="2"/>
        <scheme val="minor"/>
      </rPr>
      <t>min</t>
    </r>
  </si>
  <si>
    <t>NHV vent gas</t>
  </si>
  <si>
    <t>Identify Max Flow and Min Velocity Condition</t>
  </si>
  <si>
    <r>
      <t>(Q</t>
    </r>
    <r>
      <rPr>
        <vertAlign val="subscript"/>
        <sz val="12"/>
        <color theme="1"/>
        <rFont val="Calibri"/>
        <family val="2"/>
        <scheme val="minor"/>
      </rPr>
      <t>max</t>
    </r>
    <r>
      <rPr>
        <sz val="12"/>
        <color theme="1"/>
        <rFont val="Calibri"/>
        <family val="2"/>
        <scheme val="minor"/>
      </rPr>
      <t xml:space="preserve"> + F</t>
    </r>
    <r>
      <rPr>
        <vertAlign val="subscript"/>
        <sz val="12"/>
        <color theme="1"/>
        <rFont val="Calibri"/>
        <family val="2"/>
        <scheme val="minor"/>
      </rPr>
      <t>min</t>
    </r>
    <r>
      <rPr>
        <sz val="12"/>
        <color theme="1"/>
        <rFont val="Calibri"/>
        <family val="2"/>
        <scheme val="minor"/>
      </rPr>
      <t>) x (T</t>
    </r>
    <r>
      <rPr>
        <vertAlign val="subscript"/>
        <sz val="12"/>
        <color theme="1"/>
        <rFont val="Calibri"/>
        <family val="2"/>
        <scheme val="minor"/>
      </rPr>
      <t>actual</t>
    </r>
    <r>
      <rPr>
        <sz val="12"/>
        <color theme="1"/>
        <rFont val="Calibri"/>
        <family val="2"/>
        <scheme val="minor"/>
      </rPr>
      <t>/T</t>
    </r>
    <r>
      <rPr>
        <vertAlign val="subscript"/>
        <sz val="12"/>
        <color theme="1"/>
        <rFont val="Calibri"/>
        <family val="2"/>
        <scheme val="minor"/>
      </rPr>
      <t>s</t>
    </r>
    <r>
      <rPr>
        <sz val="12"/>
        <color theme="1"/>
        <rFont val="Calibri"/>
        <family val="2"/>
        <scheme val="minor"/>
      </rPr>
      <t>) x (P</t>
    </r>
    <r>
      <rPr>
        <vertAlign val="subscript"/>
        <sz val="12"/>
        <color theme="1"/>
        <rFont val="Calibri"/>
        <family val="2"/>
        <scheme val="minor"/>
      </rPr>
      <t>s</t>
    </r>
    <r>
      <rPr>
        <sz val="12"/>
        <color theme="1"/>
        <rFont val="Calibri"/>
        <family val="2"/>
        <scheme val="minor"/>
      </rPr>
      <t>/P</t>
    </r>
    <r>
      <rPr>
        <vertAlign val="subscript"/>
        <sz val="12"/>
        <color theme="1"/>
        <rFont val="Calibri"/>
        <family val="2"/>
        <scheme val="minor"/>
      </rPr>
      <t>t</t>
    </r>
    <r>
      <rPr>
        <sz val="12"/>
        <color theme="1"/>
        <rFont val="Calibri"/>
        <family val="2"/>
        <scheme val="minor"/>
      </rPr>
      <t xml:space="preserve">) = </t>
    </r>
  </si>
  <si>
    <t>Allowed Velocity (ft/s)</t>
  </si>
  <si>
    <t>Heat Release (MMBtu/hr)</t>
  </si>
  <si>
    <r>
      <t>Total Waste Gas Flow Hours (t</t>
    </r>
    <r>
      <rPr>
        <vertAlign val="subscript"/>
        <sz val="12"/>
        <color theme="1"/>
        <rFont val="Calibri"/>
        <family val="2"/>
      </rPr>
      <t>waste gas</t>
    </r>
    <r>
      <rPr>
        <sz val="12"/>
        <color theme="1"/>
        <rFont val="Calibri"/>
        <family val="2"/>
      </rPr>
      <t>)</t>
    </r>
    <r>
      <rPr>
        <sz val="12"/>
        <color theme="1"/>
        <rFont val="Calibri"/>
        <family val="2"/>
        <scheme val="minor"/>
      </rPr>
      <t xml:space="preserve"> =</t>
    </r>
  </si>
  <si>
    <r>
      <rPr>
        <sz val="14"/>
        <color theme="1"/>
        <rFont val="Calibri"/>
        <family val="2"/>
      </rPr>
      <t>Σt</t>
    </r>
    <r>
      <rPr>
        <sz val="12"/>
        <color theme="1"/>
        <rFont val="Calibri"/>
        <family val="2"/>
      </rPr>
      <t xml:space="preserve"> if waste gas flow&gt;0</t>
    </r>
  </si>
  <si>
    <t xml:space="preserve">Total Waste Gas Flow Hours = </t>
  </si>
  <si>
    <r>
      <t>[(F</t>
    </r>
    <r>
      <rPr>
        <vertAlign val="subscript"/>
        <sz val="12"/>
        <color theme="1"/>
        <rFont val="Calibri"/>
        <family val="2"/>
        <scheme val="minor"/>
      </rPr>
      <t>min1</t>
    </r>
    <r>
      <rPr>
        <sz val="12"/>
        <color theme="1"/>
        <rFont val="Calibri"/>
        <family val="2"/>
        <scheme val="minor"/>
      </rPr>
      <t xml:space="preserve"> </t>
    </r>
    <r>
      <rPr>
        <sz val="12"/>
        <color theme="1"/>
        <rFont val="Calibri"/>
        <family val="2"/>
      </rPr>
      <t>× t</t>
    </r>
    <r>
      <rPr>
        <vertAlign val="subscript"/>
        <sz val="12"/>
        <color theme="1"/>
        <rFont val="Calibri"/>
        <family val="2"/>
      </rPr>
      <t>1</t>
    </r>
    <r>
      <rPr>
        <sz val="12"/>
        <color theme="1"/>
        <rFont val="Calibri"/>
        <family val="2"/>
      </rPr>
      <t xml:space="preserve">) </t>
    </r>
    <r>
      <rPr>
        <sz val="12"/>
        <color theme="1"/>
        <rFont val="Calibri"/>
        <family val="2"/>
        <scheme val="minor"/>
      </rPr>
      <t>+ (F</t>
    </r>
    <r>
      <rPr>
        <vertAlign val="subscript"/>
        <sz val="12"/>
        <color theme="1"/>
        <rFont val="Calibri"/>
        <family val="2"/>
        <scheme val="minor"/>
      </rPr>
      <t>min2</t>
    </r>
    <r>
      <rPr>
        <sz val="12"/>
        <color theme="1"/>
        <rFont val="Calibri"/>
        <family val="2"/>
        <scheme val="minor"/>
      </rPr>
      <t xml:space="preserve"> × t</t>
    </r>
    <r>
      <rPr>
        <vertAlign val="subscript"/>
        <sz val="12"/>
        <color theme="1"/>
        <rFont val="Calibri"/>
        <family val="2"/>
        <scheme val="minor"/>
      </rPr>
      <t>2</t>
    </r>
    <r>
      <rPr>
        <sz val="12"/>
        <color theme="1"/>
        <rFont val="Calibri"/>
        <family val="2"/>
        <scheme val="minor"/>
      </rPr>
      <t>)+ (F</t>
    </r>
    <r>
      <rPr>
        <vertAlign val="subscript"/>
        <sz val="12"/>
        <color theme="1"/>
        <rFont val="Calibri"/>
        <family val="2"/>
        <scheme val="minor"/>
      </rPr>
      <t>min3</t>
    </r>
    <r>
      <rPr>
        <sz val="12"/>
        <color theme="1"/>
        <rFont val="Calibri"/>
        <family val="2"/>
        <scheme val="minor"/>
      </rPr>
      <t xml:space="preserve"> × t</t>
    </r>
    <r>
      <rPr>
        <vertAlign val="subscript"/>
        <sz val="12"/>
        <color theme="1"/>
        <rFont val="Calibri"/>
        <family val="2"/>
        <scheme val="minor"/>
      </rPr>
      <t>3</t>
    </r>
    <r>
      <rPr>
        <sz val="12"/>
        <color theme="1"/>
        <rFont val="Calibri"/>
        <family val="2"/>
        <scheme val="minor"/>
      </rPr>
      <t>)+ (F</t>
    </r>
    <r>
      <rPr>
        <vertAlign val="subscript"/>
        <sz val="12"/>
        <color theme="1"/>
        <rFont val="Calibri"/>
        <family val="2"/>
        <scheme val="minor"/>
      </rPr>
      <t>min4</t>
    </r>
    <r>
      <rPr>
        <sz val="12"/>
        <color theme="1"/>
        <rFont val="Calibri"/>
        <family val="2"/>
        <scheme val="minor"/>
      </rPr>
      <t xml:space="preserve"> × t</t>
    </r>
    <r>
      <rPr>
        <vertAlign val="subscript"/>
        <sz val="12"/>
        <color theme="1"/>
        <rFont val="Calibri"/>
        <family val="2"/>
        <scheme val="minor"/>
      </rPr>
      <t>4</t>
    </r>
    <r>
      <rPr>
        <sz val="12"/>
        <color theme="1"/>
        <rFont val="Calibri"/>
        <family val="2"/>
        <scheme val="minor"/>
      </rPr>
      <t xml:space="preserve">) </t>
    </r>
    <r>
      <rPr>
        <sz val="12"/>
        <color theme="1"/>
        <rFont val="Calibri"/>
        <family val="2"/>
      </rPr>
      <t>+(F</t>
    </r>
    <r>
      <rPr>
        <vertAlign val="subscript"/>
        <sz val="12"/>
        <color theme="1"/>
        <rFont val="Calibri"/>
        <family val="2"/>
      </rPr>
      <t>min5</t>
    </r>
    <r>
      <rPr>
        <sz val="12"/>
        <color theme="1"/>
        <rFont val="Calibri"/>
        <family val="2"/>
      </rPr>
      <t xml:space="preserve"> + t</t>
    </r>
    <r>
      <rPr>
        <vertAlign val="subscript"/>
        <sz val="12"/>
        <color theme="1"/>
        <rFont val="Calibri"/>
        <family val="2"/>
      </rPr>
      <t>5</t>
    </r>
    <r>
      <rPr>
        <sz val="12"/>
        <color theme="1"/>
        <rFont val="Calibri"/>
        <family val="2"/>
      </rPr>
      <t xml:space="preserve">)] × 60 min/hr </t>
    </r>
    <r>
      <rPr>
        <sz val="12"/>
        <color theme="1"/>
        <rFont val="Calibri"/>
        <family val="2"/>
        <scheme val="minor"/>
      </rPr>
      <t>=</t>
    </r>
  </si>
  <si>
    <r>
      <rPr>
        <b/>
        <u/>
        <sz val="12"/>
        <color theme="8" tint="-0.499984740745262"/>
        <rFont val="Calibri"/>
        <family val="2"/>
        <scheme val="minor"/>
      </rPr>
      <t>Step 5</t>
    </r>
    <r>
      <rPr>
        <b/>
        <sz val="12"/>
        <color theme="8" tint="-0.499984740745262"/>
        <rFont val="Calibri"/>
        <family val="2"/>
        <scheme val="minor"/>
      </rPr>
      <t>:</t>
    </r>
    <r>
      <rPr>
        <sz val="12"/>
        <color theme="8" tint="-0.499984740745262"/>
        <rFont val="Calibri"/>
        <family val="2"/>
        <scheme val="minor"/>
      </rPr>
      <t xml:space="preserve"> Select the </t>
    </r>
    <r>
      <rPr>
        <b/>
        <i/>
        <sz val="12"/>
        <color theme="8" tint="-0.499984740745262"/>
        <rFont val="Calibri"/>
        <family val="2"/>
        <scheme val="minor"/>
      </rPr>
      <t>Cost Estimate</t>
    </r>
    <r>
      <rPr>
        <sz val="12"/>
        <color theme="8" tint="-0.499984740745262"/>
        <rFont val="Calibri"/>
        <family val="2"/>
        <scheme val="minor"/>
      </rPr>
      <t xml:space="preserve"> tab to view the estimated capital and total annual costs for the flare. If more than one type of flare support is applicable for the calculated flare stack height, you may wish to compare the costs calculated for each type of applicable flare support (by changing the selection in the drop down menu in the </t>
    </r>
    <r>
      <rPr>
        <b/>
        <i/>
        <sz val="12"/>
        <color theme="8" tint="-0.499984740745262"/>
        <rFont val="Calibri"/>
        <family val="2"/>
        <scheme val="minor"/>
      </rPr>
      <t>Data Inputs</t>
    </r>
    <r>
      <rPr>
        <sz val="12"/>
        <color theme="8" tint="-0.499984740745262"/>
        <rFont val="Calibri"/>
        <family val="2"/>
        <scheme val="minor"/>
      </rPr>
      <t xml:space="preserve"> tab) and select the lowest cost flare support type for your specific application.</t>
    </r>
  </si>
  <si>
    <r>
      <rPr>
        <b/>
        <u/>
        <sz val="12"/>
        <color theme="8" tint="-0.499984740745262"/>
        <rFont val="Calibri"/>
        <family val="2"/>
        <scheme val="minor"/>
      </rPr>
      <t>Step 3</t>
    </r>
    <r>
      <rPr>
        <b/>
        <sz val="12"/>
        <color theme="8" tint="-0.499984740745262"/>
        <rFont val="Calibri"/>
        <family val="2"/>
        <scheme val="minor"/>
      </rPr>
      <t xml:space="preserve">:  </t>
    </r>
    <r>
      <rPr>
        <sz val="12"/>
        <color theme="8" tint="-0.499984740745262"/>
        <rFont val="Calibri"/>
        <family val="2"/>
        <scheme val="minor"/>
      </rPr>
      <t xml:space="preserve">Complete all of the yellow data entry cells on the </t>
    </r>
    <r>
      <rPr>
        <b/>
        <i/>
        <sz val="12"/>
        <color theme="8" tint="-0.499984740745262"/>
        <rFont val="Calibri"/>
        <family val="2"/>
        <scheme val="minor"/>
      </rPr>
      <t>Data Inputs</t>
    </r>
    <r>
      <rPr>
        <sz val="12"/>
        <color theme="8" tint="-0.499984740745262"/>
        <rFont val="Calibri"/>
        <family val="2"/>
        <scheme val="minor"/>
      </rPr>
      <t xml:space="preserve"> tab. Many of the fields are pre-populated with default values.  Where possible, replace the default values with site-specific values in accordance with the recommendations provided in the Control Cost Manual. Use of actual values rather than the default values in this spreadsheet is recommended. Sources for all values used should be appropriately documented. </t>
    </r>
  </si>
  <si>
    <t>Enter cost data for the flare:</t>
  </si>
  <si>
    <t>Diameter (in)</t>
  </si>
  <si>
    <t>Do you intend to meet NHVtarget when waste gas flow is zero?</t>
  </si>
  <si>
    <r>
      <t>Flares complying with 40 CFR 63.670 are only required to meet the NHV</t>
    </r>
    <r>
      <rPr>
        <vertAlign val="subscript"/>
        <sz val="11"/>
        <color rgb="FFC00000"/>
        <rFont val="Calibri"/>
        <family val="2"/>
        <scheme val="minor"/>
      </rPr>
      <t>target</t>
    </r>
    <r>
      <rPr>
        <sz val="11"/>
        <color rgb="FFC00000"/>
        <rFont val="Calibri"/>
        <family val="2"/>
        <scheme val="minor"/>
      </rPr>
      <t xml:space="preserve"> when regulated material is sent to the flare. 
If the sweep or purge gas may contain regulated material, you should select "yes". Otherwise, you may select "no"</t>
    </r>
  </si>
  <si>
    <t xml:space="preserve">Enter 1 if the net heating value target is assessed in the combustion zone (as required for compliance with 40 CFR 63.670). 
Enter 0 if the new heating value target is assessed based on the flare gas (as required for compliance with 40 CFR 60.18 and 40 CFR 63.11). </t>
  </si>
  <si>
    <t>Enter a value from 300 to 330  Btu/scf for flares complying with 40 CFR 60.18 and 40 CFR 63.11. 
For flares complying with 40 CFR 63.670, enter a value from 270 to 297  Btu/scf.</t>
  </si>
  <si>
    <r>
      <t>Vent Stream Transport Piping (C</t>
    </r>
    <r>
      <rPr>
        <vertAlign val="subscript"/>
        <sz val="12"/>
        <color theme="1"/>
        <rFont val="Calibri"/>
        <family val="2"/>
        <scheme val="minor"/>
      </rPr>
      <t>p</t>
    </r>
    <r>
      <rPr>
        <sz val="12"/>
        <color theme="1"/>
        <rFont val="Calibri"/>
        <family val="2"/>
        <scheme val="minor"/>
      </rPr>
      <t xml:space="preserve">) = </t>
    </r>
  </si>
  <si>
    <r>
      <t>Initial estimate of mass steam flow rate at Condition 1 (M</t>
    </r>
    <r>
      <rPr>
        <vertAlign val="subscript"/>
        <sz val="12"/>
        <color theme="1"/>
        <rFont val="Calibri"/>
        <family val="2"/>
        <scheme val="minor"/>
      </rPr>
      <t>1</t>
    </r>
    <r>
      <rPr>
        <sz val="12"/>
        <color theme="1"/>
        <rFont val="Calibri"/>
        <family val="2"/>
        <scheme val="minor"/>
      </rPr>
      <t xml:space="preserve">)= </t>
    </r>
  </si>
  <si>
    <r>
      <t>Initial estimate of mass steam flow rate at Condition 2 (M</t>
    </r>
    <r>
      <rPr>
        <vertAlign val="subscript"/>
        <sz val="12"/>
        <color theme="1"/>
        <rFont val="Calibri"/>
        <family val="2"/>
        <scheme val="minor"/>
      </rPr>
      <t>2</t>
    </r>
    <r>
      <rPr>
        <sz val="12"/>
        <color theme="1"/>
        <rFont val="Calibri"/>
        <family val="2"/>
        <scheme val="minor"/>
      </rPr>
      <t xml:space="preserve">)= </t>
    </r>
  </si>
  <si>
    <r>
      <t>Initial estimate of mass steam flow rate at Condition 3 (M</t>
    </r>
    <r>
      <rPr>
        <vertAlign val="subscript"/>
        <sz val="12"/>
        <color theme="1"/>
        <rFont val="Calibri"/>
        <family val="2"/>
        <scheme val="minor"/>
      </rPr>
      <t>3</t>
    </r>
    <r>
      <rPr>
        <sz val="12"/>
        <color theme="1"/>
        <rFont val="Calibri"/>
        <family val="2"/>
        <scheme val="minor"/>
      </rPr>
      <t xml:space="preserve">)= </t>
    </r>
  </si>
  <si>
    <r>
      <t>Initial estimate of mass steam flow rate at Condition 4 (M</t>
    </r>
    <r>
      <rPr>
        <vertAlign val="subscript"/>
        <sz val="12"/>
        <color theme="1"/>
        <rFont val="Calibri"/>
        <family val="2"/>
        <scheme val="minor"/>
      </rPr>
      <t>4</t>
    </r>
    <r>
      <rPr>
        <sz val="12"/>
        <color theme="1"/>
        <rFont val="Calibri"/>
        <family val="2"/>
        <scheme val="minor"/>
      </rPr>
      <t xml:space="preserve">)= </t>
    </r>
  </si>
  <si>
    <r>
      <t>Initial estimate of mass steam flow rate at Condition 5 (M</t>
    </r>
    <r>
      <rPr>
        <vertAlign val="subscript"/>
        <sz val="12"/>
        <color theme="1"/>
        <rFont val="Calibri"/>
        <family val="2"/>
        <scheme val="minor"/>
      </rPr>
      <t>5</t>
    </r>
    <r>
      <rPr>
        <sz val="12"/>
        <color theme="1"/>
        <rFont val="Calibri"/>
        <family val="2"/>
        <scheme val="minor"/>
      </rPr>
      <t xml:space="preserve">)= </t>
    </r>
  </si>
  <si>
    <r>
      <t>Flare Seal or Flame Arrestor (C</t>
    </r>
    <r>
      <rPr>
        <vertAlign val="subscript"/>
        <sz val="12"/>
        <color theme="1"/>
        <rFont val="Calibri"/>
        <family val="2"/>
        <scheme val="minor"/>
      </rPr>
      <t>S</t>
    </r>
    <r>
      <rPr>
        <sz val="12"/>
        <color theme="1"/>
        <rFont val="Calibri"/>
        <family val="2"/>
        <scheme val="minor"/>
      </rPr>
      <t>) =</t>
    </r>
  </si>
  <si>
    <t>Flame Arrestor</t>
  </si>
  <si>
    <t>Water Seal</t>
  </si>
  <si>
    <r>
      <t>Electricity (Cost</t>
    </r>
    <r>
      <rPr>
        <vertAlign val="subscript"/>
        <sz val="12"/>
        <color theme="1"/>
        <rFont val="Calibri"/>
        <family val="2"/>
        <scheme val="minor"/>
      </rPr>
      <t>Elec</t>
    </r>
    <r>
      <rPr>
        <sz val="12"/>
        <color theme="1"/>
        <rFont val="Calibri"/>
        <family val="2"/>
        <scheme val="minor"/>
      </rPr>
      <t>)</t>
    </r>
  </si>
  <si>
    <t>per Kw-hr</t>
  </si>
  <si>
    <t>Electricity ($/Kw-hr)</t>
  </si>
  <si>
    <r>
      <t>Flare gas recovery (C</t>
    </r>
    <r>
      <rPr>
        <vertAlign val="subscript"/>
        <sz val="12"/>
        <color theme="1"/>
        <rFont val="Calibri"/>
        <family val="2"/>
        <scheme val="minor"/>
      </rPr>
      <t>FGR</t>
    </r>
    <r>
      <rPr>
        <sz val="12"/>
        <color theme="1"/>
        <rFont val="Calibri"/>
        <family val="2"/>
        <scheme val="minor"/>
      </rPr>
      <t>)</t>
    </r>
  </si>
  <si>
    <t>Flare Gas Recovery System</t>
  </si>
  <si>
    <r>
      <t>Design Flow Capacity of FGR System (Q</t>
    </r>
    <r>
      <rPr>
        <vertAlign val="subscript"/>
        <sz val="12"/>
        <color theme="1"/>
        <rFont val="Calibri"/>
        <family val="2"/>
        <scheme val="minor"/>
      </rPr>
      <t>cap</t>
    </r>
    <r>
      <rPr>
        <sz val="12"/>
        <color theme="1"/>
        <rFont val="Calibri"/>
        <family val="2"/>
        <scheme val="minor"/>
      </rPr>
      <t>) =</t>
    </r>
  </si>
  <si>
    <r>
      <t>Utility costs (C</t>
    </r>
    <r>
      <rPr>
        <vertAlign val="subscript"/>
        <sz val="12"/>
        <color theme="1"/>
        <rFont val="Calibri"/>
        <family val="2"/>
        <scheme val="minor"/>
      </rPr>
      <t>U</t>
    </r>
    <r>
      <rPr>
        <sz val="12"/>
        <color theme="1"/>
        <rFont val="Calibri"/>
        <family val="2"/>
        <scheme val="minor"/>
      </rPr>
      <t>)</t>
    </r>
  </si>
  <si>
    <r>
      <t>C</t>
    </r>
    <r>
      <rPr>
        <vertAlign val="subscript"/>
        <sz val="12"/>
        <color theme="1"/>
        <rFont val="Calibri"/>
        <family val="2"/>
        <scheme val="minor"/>
      </rPr>
      <t>F</t>
    </r>
    <r>
      <rPr>
        <sz val="12"/>
        <color theme="1"/>
        <rFont val="Calibri"/>
        <family val="2"/>
        <scheme val="minor"/>
      </rPr>
      <t xml:space="preserve"> + C</t>
    </r>
    <r>
      <rPr>
        <vertAlign val="subscript"/>
        <sz val="12"/>
        <color theme="1"/>
        <rFont val="Calibri"/>
        <family val="2"/>
        <scheme val="minor"/>
      </rPr>
      <t>M</t>
    </r>
    <r>
      <rPr>
        <sz val="12"/>
        <color theme="1"/>
        <rFont val="Calibri"/>
        <family val="2"/>
        <scheme val="minor"/>
      </rPr>
      <t xml:space="preserve"> + C</t>
    </r>
    <r>
      <rPr>
        <vertAlign val="subscript"/>
        <sz val="12"/>
        <color theme="1"/>
        <rFont val="Calibri"/>
        <family val="2"/>
        <scheme val="minor"/>
      </rPr>
      <t>P</t>
    </r>
    <r>
      <rPr>
        <sz val="12"/>
        <color theme="1"/>
        <rFont val="Calibri"/>
        <family val="2"/>
        <scheme val="minor"/>
      </rPr>
      <t xml:space="preserve"> + C</t>
    </r>
    <r>
      <rPr>
        <vertAlign val="subscript"/>
        <sz val="12"/>
        <color theme="1"/>
        <rFont val="Calibri"/>
        <family val="2"/>
        <scheme val="minor"/>
      </rPr>
      <t>K</t>
    </r>
    <r>
      <rPr>
        <sz val="12"/>
        <color theme="1"/>
        <rFont val="Calibri"/>
        <family val="2"/>
        <scheme val="minor"/>
      </rPr>
      <t xml:space="preserve"> + C</t>
    </r>
    <r>
      <rPr>
        <vertAlign val="subscript"/>
        <sz val="12"/>
        <color theme="1"/>
        <rFont val="Calibri"/>
        <family val="2"/>
        <scheme val="minor"/>
      </rPr>
      <t>S</t>
    </r>
    <r>
      <rPr>
        <sz val="12"/>
        <color theme="1"/>
        <rFont val="Calibri"/>
        <family val="2"/>
        <scheme val="minor"/>
      </rPr>
      <t xml:space="preserve"> + C</t>
    </r>
    <r>
      <rPr>
        <vertAlign val="subscript"/>
        <sz val="12"/>
        <color theme="1"/>
        <rFont val="Calibri"/>
        <family val="2"/>
        <scheme val="minor"/>
      </rPr>
      <t>FGR</t>
    </r>
    <r>
      <rPr>
        <sz val="12"/>
        <color theme="1"/>
        <rFont val="Calibri"/>
        <family val="2"/>
        <scheme val="minor"/>
      </rPr>
      <t xml:space="preserve"> + C</t>
    </r>
    <r>
      <rPr>
        <vertAlign val="subscript"/>
        <sz val="12"/>
        <color theme="1"/>
        <rFont val="Calibri"/>
        <family val="2"/>
        <scheme val="minor"/>
      </rPr>
      <t>U</t>
    </r>
    <r>
      <rPr>
        <sz val="12"/>
        <color theme="1"/>
        <rFont val="Calibri"/>
        <family val="2"/>
        <scheme val="minor"/>
      </rPr>
      <t xml:space="preserve"> =</t>
    </r>
  </si>
  <si>
    <t>If known, enter any additional capital costs for utilities and installation costs for site preparation and building construction/modification:</t>
  </si>
  <si>
    <r>
      <t>Capital Equipment Costs for Utilities (C</t>
    </r>
    <r>
      <rPr>
        <vertAlign val="subscript"/>
        <sz val="12"/>
        <color theme="1"/>
        <rFont val="Calibri"/>
        <family val="2"/>
        <scheme val="minor"/>
      </rPr>
      <t>U</t>
    </r>
    <r>
      <rPr>
        <sz val="12"/>
        <color theme="1"/>
        <rFont val="Calibri"/>
        <family val="2"/>
        <scheme val="minor"/>
      </rPr>
      <t>) =</t>
    </r>
  </si>
  <si>
    <t>Contingency Factor (CF) =</t>
  </si>
  <si>
    <t>As entered in Data Inputs tab</t>
  </si>
  <si>
    <t>Mscf/yr</t>
  </si>
  <si>
    <r>
      <t>Annual NG Offset from recovered flare gas (-C</t>
    </r>
    <r>
      <rPr>
        <vertAlign val="subscript"/>
        <sz val="12"/>
        <color theme="1"/>
        <rFont val="Calibri"/>
        <family val="2"/>
        <scheme val="minor"/>
      </rPr>
      <t>rec</t>
    </r>
    <r>
      <rPr>
        <sz val="12"/>
        <color theme="1"/>
        <rFont val="Calibri"/>
        <family val="2"/>
        <scheme val="minor"/>
      </rPr>
      <t>) =</t>
    </r>
  </si>
  <si>
    <r>
      <t>Annual Electricity Cost (C</t>
    </r>
    <r>
      <rPr>
        <vertAlign val="subscript"/>
        <sz val="12"/>
        <color theme="1"/>
        <rFont val="Calibri"/>
        <family val="2"/>
        <scheme val="minor"/>
      </rPr>
      <t>e</t>
    </r>
    <r>
      <rPr>
        <sz val="12"/>
        <color theme="1"/>
        <rFont val="Calibri"/>
        <family val="2"/>
        <scheme val="minor"/>
      </rPr>
      <t>) =</t>
    </r>
  </si>
  <si>
    <r>
      <t>E</t>
    </r>
    <r>
      <rPr>
        <vertAlign val="subscript"/>
        <sz val="12"/>
        <color theme="1"/>
        <rFont val="Calibri"/>
        <family val="2"/>
        <scheme val="minor"/>
      </rPr>
      <t>FGR</t>
    </r>
    <r>
      <rPr>
        <sz val="12"/>
        <color theme="1"/>
        <rFont val="Calibri"/>
        <family val="2"/>
      </rPr>
      <t xml:space="preserve"> x Cost</t>
    </r>
    <r>
      <rPr>
        <vertAlign val="subscript"/>
        <sz val="12"/>
        <color theme="1"/>
        <rFont val="Calibri"/>
        <family val="2"/>
      </rPr>
      <t>e</t>
    </r>
    <r>
      <rPr>
        <sz val="12"/>
        <color theme="1"/>
        <rFont val="Calibri"/>
        <family val="2"/>
      </rPr>
      <t xml:space="preserve"> =</t>
    </r>
  </si>
  <si>
    <r>
      <t xml:space="preserve"> (S</t>
    </r>
    <r>
      <rPr>
        <vertAlign val="subscript"/>
        <sz val="12"/>
        <color theme="1"/>
        <rFont val="Calibri"/>
        <family val="2"/>
        <scheme val="minor"/>
      </rPr>
      <t>1</t>
    </r>
    <r>
      <rPr>
        <sz val="12"/>
        <color theme="1"/>
        <rFont val="Calibri"/>
        <family val="2"/>
        <scheme val="minor"/>
      </rPr>
      <t>)(60)(18/385.3) =</t>
    </r>
  </si>
  <si>
    <r>
      <t xml:space="preserve"> (S</t>
    </r>
    <r>
      <rPr>
        <vertAlign val="subscript"/>
        <sz val="12"/>
        <color theme="1"/>
        <rFont val="Calibri"/>
        <family val="2"/>
        <scheme val="minor"/>
      </rPr>
      <t>2</t>
    </r>
    <r>
      <rPr>
        <sz val="12"/>
        <color theme="1"/>
        <rFont val="Calibri"/>
        <family val="2"/>
        <scheme val="minor"/>
      </rPr>
      <t>)(60)(18/385.3) =</t>
    </r>
  </si>
  <si>
    <r>
      <t xml:space="preserve"> (S</t>
    </r>
    <r>
      <rPr>
        <vertAlign val="subscript"/>
        <sz val="12"/>
        <color theme="1"/>
        <rFont val="Calibri"/>
        <family val="2"/>
        <scheme val="minor"/>
      </rPr>
      <t>3</t>
    </r>
    <r>
      <rPr>
        <sz val="12"/>
        <color theme="1"/>
        <rFont val="Calibri"/>
        <family val="2"/>
        <scheme val="minor"/>
      </rPr>
      <t>)(60)(18/385.3) =</t>
    </r>
  </si>
  <si>
    <r>
      <t xml:space="preserve"> (S</t>
    </r>
    <r>
      <rPr>
        <vertAlign val="subscript"/>
        <sz val="12"/>
        <color theme="1"/>
        <rFont val="Calibri"/>
        <family val="2"/>
        <scheme val="minor"/>
      </rPr>
      <t>4</t>
    </r>
    <r>
      <rPr>
        <sz val="12"/>
        <color theme="1"/>
        <rFont val="Calibri"/>
        <family val="2"/>
        <scheme val="minor"/>
      </rPr>
      <t>)(60)(18/385.3) =</t>
    </r>
  </si>
  <si>
    <r>
      <t xml:space="preserve"> (S</t>
    </r>
    <r>
      <rPr>
        <vertAlign val="subscript"/>
        <sz val="12"/>
        <color theme="1"/>
        <rFont val="Calibri"/>
        <family val="2"/>
        <scheme val="minor"/>
      </rPr>
      <t>5</t>
    </r>
    <r>
      <rPr>
        <sz val="12"/>
        <color theme="1"/>
        <rFont val="Calibri"/>
        <family val="2"/>
        <scheme val="minor"/>
      </rPr>
      <t>)(60)(18/385.3) =</t>
    </r>
  </si>
  <si>
    <t>kW-hr/yr</t>
  </si>
  <si>
    <t xml:space="preserve">fraction </t>
  </si>
  <si>
    <t>Indicate which monitoring equipment is needed:</t>
  </si>
  <si>
    <t>Use actual values if known, or estimate steam cost as 1.3 x Fuel Cost for oil and gas-fired facilities. See also Department of Energy, Energy Efficiency and Renewable Energy, " How to Calculate the True Cost of Steam." DOE/GO-102003-1736, September 2003 (available at https://www.energy.gov/sites/prod/files/2014/05/f15/tech_brief_true_cost.pdf) and "Benchmark the Fuel Cost of Steam Generation." DOE/GO-102012-3391, January 2012 (Available at https://www.energy.gov/sites/prod/files/2014/05/f16/steam15_benchmark.pdf)</t>
  </si>
  <si>
    <t>Price of steam was estimated using the industrial gas price, 85.7% overall boiler efficiency for delivered steam, a NHV value for natural gas of 920 Btu/scf, steam pressure of 150 psig and inlet water temperature of 100 deg. F (energy need of 1,128 Btu/lb steam; see U.S. DOE, 2012. Available at https://www.energy.gov/sites/prod/files/2014/05/f16/steam15_benchmark.pdf) then multiplying fuel cost by 1.3 (U.S. DOE , 2003) to estimate total cost of steam.</t>
  </si>
  <si>
    <t>Operating and Maintenance Labor for the Flare System:</t>
  </si>
  <si>
    <t>Expected Number of Operator Labor Hours Annually</t>
  </si>
  <si>
    <t>Expected Number of Maintenance Labor Hours per Shift</t>
  </si>
  <si>
    <r>
      <t>W</t>
    </r>
    <r>
      <rPr>
        <i/>
        <vertAlign val="subscript"/>
        <sz val="12"/>
        <color theme="1"/>
        <rFont val="Calibri"/>
        <family val="2"/>
        <scheme val="minor"/>
      </rPr>
      <t>voc</t>
    </r>
    <r>
      <rPr>
        <i/>
        <sz val="12"/>
        <color theme="1"/>
        <rFont val="Calibri"/>
        <family val="2"/>
        <scheme val="minor"/>
      </rPr>
      <t xml:space="preserve"> = M</t>
    </r>
    <r>
      <rPr>
        <i/>
        <vertAlign val="subscript"/>
        <sz val="12"/>
        <color theme="1"/>
        <rFont val="Calibri"/>
        <family val="2"/>
        <scheme val="minor"/>
      </rPr>
      <t>voc</t>
    </r>
    <r>
      <rPr>
        <i/>
        <sz val="12"/>
        <color theme="1"/>
        <rFont val="Calibri"/>
        <family val="2"/>
        <scheme val="minor"/>
      </rPr>
      <t xml:space="preserve"> x t</t>
    </r>
    <r>
      <rPr>
        <i/>
        <vertAlign val="subscript"/>
        <sz val="12"/>
        <color theme="1"/>
        <rFont val="Calibri"/>
        <family val="2"/>
      </rPr>
      <t xml:space="preserve">WG </t>
    </r>
    <r>
      <rPr>
        <i/>
        <sz val="12"/>
        <color theme="1"/>
        <rFont val="Calibri"/>
        <family val="2"/>
      </rPr>
      <t>x DE =</t>
    </r>
  </si>
  <si>
    <r>
      <t>0.4 x (Q</t>
    </r>
    <r>
      <rPr>
        <vertAlign val="subscript"/>
        <sz val="12"/>
        <color theme="1"/>
        <rFont val="Calibri"/>
        <family val="2"/>
        <scheme val="minor"/>
      </rPr>
      <t>i</t>
    </r>
    <r>
      <rPr>
        <sz val="12"/>
        <color theme="1"/>
        <rFont val="Calibri"/>
        <family val="2"/>
        <scheme val="minor"/>
      </rPr>
      <t xml:space="preserve"> - Qcap) x 60 x (MWt/385.3) =
Where Qi is the flow rate at condition i. 
If Qcap &gt; Qi, then intial estimate of mass steam flow rate for condition i is zero. </t>
    </r>
  </si>
  <si>
    <r>
      <t>Average VOC Emission Rate at Condition 1 (M</t>
    </r>
    <r>
      <rPr>
        <vertAlign val="subscript"/>
        <sz val="12"/>
        <color theme="1"/>
        <rFont val="Calibri"/>
        <family val="2"/>
        <scheme val="minor"/>
      </rPr>
      <t>voc-1</t>
    </r>
    <r>
      <rPr>
        <sz val="12"/>
        <color theme="1"/>
        <rFont val="Calibri"/>
        <family val="2"/>
        <scheme val="minor"/>
      </rPr>
      <t xml:space="preserve">) </t>
    </r>
  </si>
  <si>
    <r>
      <t>Average VOC Emission Rate at Condition 2 (M</t>
    </r>
    <r>
      <rPr>
        <vertAlign val="subscript"/>
        <sz val="12"/>
        <color theme="1"/>
        <rFont val="Calibri"/>
        <family val="2"/>
        <scheme val="minor"/>
      </rPr>
      <t>voc-2</t>
    </r>
    <r>
      <rPr>
        <sz val="12"/>
        <color theme="1"/>
        <rFont val="Calibri"/>
        <family val="2"/>
        <scheme val="minor"/>
      </rPr>
      <t xml:space="preserve">) </t>
    </r>
  </si>
  <si>
    <r>
      <t>Average VOC Emission Rate at Condition 3 (M</t>
    </r>
    <r>
      <rPr>
        <vertAlign val="subscript"/>
        <sz val="12"/>
        <color theme="1"/>
        <rFont val="Calibri"/>
        <family val="2"/>
        <scheme val="minor"/>
      </rPr>
      <t>voc-3</t>
    </r>
    <r>
      <rPr>
        <sz val="12"/>
        <color theme="1"/>
        <rFont val="Calibri"/>
        <family val="2"/>
        <scheme val="minor"/>
      </rPr>
      <t xml:space="preserve">) </t>
    </r>
  </si>
  <si>
    <r>
      <t>Average VOC Emission Rate at Condition 4 (M</t>
    </r>
    <r>
      <rPr>
        <vertAlign val="subscript"/>
        <sz val="12"/>
        <color theme="1"/>
        <rFont val="Calibri"/>
        <family val="2"/>
        <scheme val="minor"/>
      </rPr>
      <t>voc-4</t>
    </r>
    <r>
      <rPr>
        <sz val="12"/>
        <color theme="1"/>
        <rFont val="Calibri"/>
        <family val="2"/>
        <scheme val="minor"/>
      </rPr>
      <t xml:space="preserve">) </t>
    </r>
  </si>
  <si>
    <r>
      <t>Average VOC Emission Rate at Condition 5 (M</t>
    </r>
    <r>
      <rPr>
        <vertAlign val="subscript"/>
        <sz val="12"/>
        <color theme="1"/>
        <rFont val="Calibri"/>
        <family val="2"/>
        <scheme val="minor"/>
      </rPr>
      <t>voc-5</t>
    </r>
    <r>
      <rPr>
        <sz val="12"/>
        <color theme="1"/>
        <rFont val="Calibri"/>
        <family val="2"/>
        <scheme val="minor"/>
      </rPr>
      <t xml:space="preserve">) </t>
    </r>
  </si>
  <si>
    <r>
      <t>W</t>
    </r>
    <r>
      <rPr>
        <i/>
        <vertAlign val="subscript"/>
        <sz val="12"/>
        <color theme="1"/>
        <rFont val="Calibri"/>
        <family val="2"/>
        <scheme val="minor"/>
      </rPr>
      <t>voc</t>
    </r>
    <r>
      <rPr>
        <i/>
        <sz val="12"/>
        <color theme="1"/>
        <rFont val="Calibri"/>
        <family val="2"/>
        <scheme val="minor"/>
      </rPr>
      <t xml:space="preserve"> = </t>
    </r>
    <r>
      <rPr>
        <sz val="12"/>
        <color theme="1"/>
        <rFont val="Calibri"/>
        <family val="2"/>
      </rPr>
      <t>∑</t>
    </r>
    <r>
      <rPr>
        <i/>
        <sz val="12"/>
        <color theme="1"/>
        <rFont val="Calibri"/>
        <family val="2"/>
      </rPr>
      <t xml:space="preserve"> (</t>
    </r>
    <r>
      <rPr>
        <i/>
        <sz val="12"/>
        <color theme="1"/>
        <rFont val="Calibri"/>
        <family val="2"/>
        <scheme val="minor"/>
      </rPr>
      <t>M</t>
    </r>
    <r>
      <rPr>
        <i/>
        <vertAlign val="subscript"/>
        <sz val="12"/>
        <color theme="1"/>
        <rFont val="Calibri"/>
        <family val="2"/>
        <scheme val="minor"/>
      </rPr>
      <t>voc-i</t>
    </r>
    <r>
      <rPr>
        <i/>
        <sz val="12"/>
        <color theme="1"/>
        <rFont val="Calibri"/>
        <family val="2"/>
        <scheme val="minor"/>
      </rPr>
      <t xml:space="preserve"> x t</t>
    </r>
    <r>
      <rPr>
        <i/>
        <vertAlign val="subscript"/>
        <sz val="12"/>
        <color theme="1"/>
        <rFont val="Calibri"/>
        <family val="2"/>
        <scheme val="minor"/>
      </rPr>
      <t>i</t>
    </r>
    <r>
      <rPr>
        <i/>
        <vertAlign val="subscript"/>
        <sz val="12"/>
        <color theme="1"/>
        <rFont val="Calibri"/>
        <family val="2"/>
      </rPr>
      <t xml:space="preserve"> </t>
    </r>
    <r>
      <rPr>
        <i/>
        <sz val="12"/>
        <color theme="1"/>
        <rFont val="Calibri"/>
        <family val="2"/>
      </rPr>
      <t>x DE)/2000 =</t>
    </r>
  </si>
  <si>
    <r>
      <t>F</t>
    </r>
    <r>
      <rPr>
        <vertAlign val="subscript"/>
        <sz val="12"/>
        <color theme="1"/>
        <rFont val="Calibri"/>
        <family val="2"/>
        <scheme val="minor"/>
      </rPr>
      <t>offset</t>
    </r>
    <r>
      <rPr>
        <sz val="12"/>
        <color theme="1"/>
        <rFont val="Calibri"/>
        <family val="2"/>
        <scheme val="minor"/>
      </rPr>
      <t xml:space="preserve"> x Cost</t>
    </r>
    <r>
      <rPr>
        <vertAlign val="subscript"/>
        <sz val="12"/>
        <color theme="1"/>
        <rFont val="Calibri"/>
        <family val="2"/>
        <scheme val="minor"/>
      </rPr>
      <t>fuel</t>
    </r>
    <r>
      <rPr>
        <sz val="12"/>
        <color theme="1"/>
        <rFont val="Calibri"/>
        <family val="2"/>
        <scheme val="minor"/>
      </rPr>
      <t xml:space="preserve"> =</t>
    </r>
  </si>
  <si>
    <r>
      <t>20.5 x [d x t x (h + 0.812 x d)]</t>
    </r>
    <r>
      <rPr>
        <vertAlign val="superscript"/>
        <sz val="12"/>
        <color theme="1"/>
        <rFont val="Calibri"/>
        <family val="2"/>
        <scheme val="minor"/>
      </rPr>
      <t>0.737</t>
    </r>
    <r>
      <rPr>
        <sz val="12"/>
        <color theme="1"/>
        <rFont val="Calibri"/>
        <family val="2"/>
        <scheme val="minor"/>
      </rPr>
      <t xml:space="preserve"> </t>
    </r>
  </si>
  <si>
    <t>Is a flame arrestor needed?</t>
  </si>
  <si>
    <t>Design flow factor per compressor</t>
  </si>
  <si>
    <t>Suggested factors: 1.3 for 1 compressor; 1.2 for 2 compressors; 0.6 for 3 compressors; 0.4 for 4 compressors</t>
  </si>
  <si>
    <t>Required VOC removal/destruction efficiency of flare (DE)</t>
  </si>
  <si>
    <t>Do you intend to use a flare gas recovery system (FGRS)?</t>
  </si>
  <si>
    <t>Which flow condition should be used to size the FGRS?</t>
  </si>
  <si>
    <t>Number of compressors in FGRS</t>
  </si>
  <si>
    <t>Equipment Costs (A) =</t>
  </si>
  <si>
    <t>Fraction of time the FGRS is operational during the year</t>
  </si>
  <si>
    <t>Direct Installation Costs =</t>
  </si>
  <si>
    <t xml:space="preserve">The calculation methodologies used in this spreadsheet are those presented in the U.S. EPA's Air Pollution Control Cost Manual.  This spreadsheet is intended to be used in combination with the Control Cost Manual. For a detailed description of the technology and cost methodology, see Section 3.2 (VOC Destruction Controls), Chapter 1 (Flares) of the Air Pollution Control Cost Manual (as updated in 2019). A copy of the Control Cost Manual is available on the U.S. EPA's "Technology Transfer Network" website at: https://www.epa.gov/economic-and-cost-analysis-air-pollution-regulations/cost-reports-and-guidance-air-pollution.  </t>
  </si>
  <si>
    <t xml:space="preserve">Enter flare gas composition information for up to five different operating conditions. Enter the corresponding number of operating hours for each operating  in cells B30 through B35. </t>
  </si>
  <si>
    <t xml:space="preserve">U.S. annual average industrial price  electricity for 2017 (EIA). https://www.eia.gov/electricity/annual/html/epa_02_04.html </t>
  </si>
  <si>
    <r>
      <t>Natural gas offset (F</t>
    </r>
    <r>
      <rPr>
        <vertAlign val="subscript"/>
        <sz val="12"/>
        <color theme="1"/>
        <rFont val="Calibri"/>
        <family val="2"/>
        <scheme val="minor"/>
      </rPr>
      <t>offset</t>
    </r>
    <r>
      <rPr>
        <sz val="12"/>
        <color theme="1"/>
        <rFont val="Calibri"/>
        <family val="2"/>
        <scheme val="minor"/>
      </rPr>
      <t>) =</t>
    </r>
  </si>
  <si>
    <r>
      <t>Electricity Consumption at Condition 1 (t</t>
    </r>
    <r>
      <rPr>
        <vertAlign val="subscript"/>
        <sz val="12"/>
        <color theme="1"/>
        <rFont val="Calibri"/>
        <family val="2"/>
        <scheme val="minor"/>
      </rPr>
      <t>1</t>
    </r>
    <r>
      <rPr>
        <sz val="12"/>
        <color theme="1"/>
        <rFont val="Calibri"/>
        <family val="2"/>
        <scheme val="minor"/>
      </rPr>
      <t xml:space="preserve"> </t>
    </r>
    <r>
      <rPr>
        <sz val="12"/>
        <color theme="1"/>
        <rFont val="Calibri"/>
        <family val="2"/>
      </rPr>
      <t xml:space="preserve">× </t>
    </r>
    <r>
      <rPr>
        <sz val="12"/>
        <color theme="1"/>
        <rFont val="Calibri"/>
        <family val="2"/>
        <scheme val="minor"/>
      </rPr>
      <t>E</t>
    </r>
    <r>
      <rPr>
        <vertAlign val="subscript"/>
        <sz val="12"/>
        <color theme="1"/>
        <rFont val="Calibri"/>
        <family val="2"/>
        <scheme val="minor"/>
      </rPr>
      <t>FGR,1</t>
    </r>
    <r>
      <rPr>
        <sz val="12"/>
        <color theme="1"/>
        <rFont val="Calibri"/>
        <family val="2"/>
        <scheme val="minor"/>
      </rPr>
      <t>) =</t>
    </r>
  </si>
  <si>
    <r>
      <t>Electricity Consumption at Condition 2 (t</t>
    </r>
    <r>
      <rPr>
        <vertAlign val="subscript"/>
        <sz val="12"/>
        <color theme="1"/>
        <rFont val="Calibri"/>
        <family val="2"/>
        <scheme val="minor"/>
      </rPr>
      <t>2</t>
    </r>
    <r>
      <rPr>
        <sz val="12"/>
        <color theme="1"/>
        <rFont val="Calibri"/>
        <family val="2"/>
        <scheme val="minor"/>
      </rPr>
      <t xml:space="preserve"> × E</t>
    </r>
    <r>
      <rPr>
        <vertAlign val="subscript"/>
        <sz val="12"/>
        <color theme="1"/>
        <rFont val="Calibri"/>
        <family val="2"/>
        <scheme val="minor"/>
      </rPr>
      <t>FGR,2</t>
    </r>
    <r>
      <rPr>
        <sz val="12"/>
        <color theme="1"/>
        <rFont val="Calibri"/>
        <family val="2"/>
        <scheme val="minor"/>
      </rPr>
      <t>) =</t>
    </r>
  </si>
  <si>
    <r>
      <t>Electricity Consumption at Condition 3 (t</t>
    </r>
    <r>
      <rPr>
        <vertAlign val="subscript"/>
        <sz val="12"/>
        <color theme="1"/>
        <rFont val="Calibri"/>
        <family val="2"/>
        <scheme val="minor"/>
      </rPr>
      <t>3</t>
    </r>
    <r>
      <rPr>
        <sz val="12"/>
        <color theme="1"/>
        <rFont val="Calibri"/>
        <family val="2"/>
        <scheme val="minor"/>
      </rPr>
      <t xml:space="preserve"> × E</t>
    </r>
    <r>
      <rPr>
        <vertAlign val="subscript"/>
        <sz val="12"/>
        <color theme="1"/>
        <rFont val="Calibri"/>
        <family val="2"/>
        <scheme val="minor"/>
      </rPr>
      <t>FGR,3</t>
    </r>
    <r>
      <rPr>
        <sz val="12"/>
        <color theme="1"/>
        <rFont val="Calibri"/>
        <family val="2"/>
        <scheme val="minor"/>
      </rPr>
      <t>) =</t>
    </r>
  </si>
  <si>
    <r>
      <t>Electricity Consumption at Condition 4 (t</t>
    </r>
    <r>
      <rPr>
        <vertAlign val="subscript"/>
        <sz val="12"/>
        <color theme="1"/>
        <rFont val="Calibri"/>
        <family val="2"/>
        <scheme val="minor"/>
      </rPr>
      <t>4</t>
    </r>
    <r>
      <rPr>
        <sz val="12"/>
        <color theme="1"/>
        <rFont val="Calibri"/>
        <family val="2"/>
        <scheme val="minor"/>
      </rPr>
      <t xml:space="preserve"> × E</t>
    </r>
    <r>
      <rPr>
        <vertAlign val="subscript"/>
        <sz val="12"/>
        <color theme="1"/>
        <rFont val="Calibri"/>
        <family val="2"/>
        <scheme val="minor"/>
      </rPr>
      <t>FGR,4</t>
    </r>
    <r>
      <rPr>
        <sz val="12"/>
        <color theme="1"/>
        <rFont val="Calibri"/>
        <family val="2"/>
        <scheme val="minor"/>
      </rPr>
      <t>) =</t>
    </r>
  </si>
  <si>
    <r>
      <t>Electricity Consumption at Condition 5 (t</t>
    </r>
    <r>
      <rPr>
        <vertAlign val="subscript"/>
        <sz val="12"/>
        <color theme="1"/>
        <rFont val="Calibri"/>
        <family val="2"/>
        <scheme val="minor"/>
      </rPr>
      <t>5</t>
    </r>
    <r>
      <rPr>
        <sz val="12"/>
        <color theme="1"/>
        <rFont val="Calibri"/>
        <family val="2"/>
        <scheme val="minor"/>
      </rPr>
      <t xml:space="preserve"> × E</t>
    </r>
    <r>
      <rPr>
        <vertAlign val="subscript"/>
        <sz val="12"/>
        <color theme="1"/>
        <rFont val="Calibri"/>
        <family val="2"/>
        <scheme val="minor"/>
      </rPr>
      <t>FGR,5</t>
    </r>
    <r>
      <rPr>
        <sz val="12"/>
        <color theme="1"/>
        <rFont val="Calibri"/>
        <family val="2"/>
        <scheme val="minor"/>
      </rPr>
      <t>) =</t>
    </r>
  </si>
  <si>
    <r>
      <t>t</t>
    </r>
    <r>
      <rPr>
        <vertAlign val="subscript"/>
        <sz val="12"/>
        <color theme="1"/>
        <rFont val="Calibri"/>
        <family val="2"/>
        <scheme val="minor"/>
      </rPr>
      <t>1</t>
    </r>
    <r>
      <rPr>
        <sz val="12"/>
        <color theme="1"/>
        <rFont val="Calibri"/>
        <family val="2"/>
        <scheme val="minor"/>
      </rPr>
      <t xml:space="preserve"> </t>
    </r>
    <r>
      <rPr>
        <sz val="12"/>
        <color theme="1"/>
        <rFont val="Calibri"/>
        <family val="2"/>
      </rPr>
      <t>× 0.806 × N</t>
    </r>
    <r>
      <rPr>
        <vertAlign val="subscript"/>
        <sz val="12"/>
        <color theme="1"/>
        <rFont val="Calibri"/>
        <family val="2"/>
      </rPr>
      <t>op,1</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r>
      <rPr>
        <sz val="12"/>
        <color theme="1"/>
        <rFont val="Calibri"/>
        <family val="2"/>
        <scheme val="minor"/>
      </rPr>
      <t>)</t>
    </r>
  </si>
  <si>
    <r>
      <t>t</t>
    </r>
    <r>
      <rPr>
        <vertAlign val="subscript"/>
        <sz val="12"/>
        <color theme="1"/>
        <rFont val="Calibri"/>
        <family val="2"/>
        <scheme val="minor"/>
      </rPr>
      <t>2</t>
    </r>
    <r>
      <rPr>
        <sz val="12"/>
        <color theme="1"/>
        <rFont val="Calibri"/>
        <family val="2"/>
        <scheme val="minor"/>
      </rPr>
      <t xml:space="preserve"> </t>
    </r>
    <r>
      <rPr>
        <sz val="12"/>
        <color theme="1"/>
        <rFont val="Calibri"/>
        <family val="2"/>
      </rPr>
      <t>× 0.806 × N</t>
    </r>
    <r>
      <rPr>
        <vertAlign val="subscript"/>
        <sz val="12"/>
        <color theme="1"/>
        <rFont val="Calibri"/>
        <family val="2"/>
      </rPr>
      <t>op,2</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r>
      <rPr>
        <sz val="12"/>
        <color theme="1"/>
        <rFont val="Calibri"/>
        <family val="2"/>
        <scheme val="minor"/>
      </rPr>
      <t>)</t>
    </r>
  </si>
  <si>
    <r>
      <t>t</t>
    </r>
    <r>
      <rPr>
        <vertAlign val="subscript"/>
        <sz val="12"/>
        <color theme="1"/>
        <rFont val="Calibri"/>
        <family val="2"/>
        <scheme val="minor"/>
      </rPr>
      <t>3</t>
    </r>
    <r>
      <rPr>
        <sz val="12"/>
        <color theme="1"/>
        <rFont val="Calibri"/>
        <family val="2"/>
        <scheme val="minor"/>
      </rPr>
      <t xml:space="preserve"> </t>
    </r>
    <r>
      <rPr>
        <sz val="12"/>
        <color theme="1"/>
        <rFont val="Calibri"/>
        <family val="2"/>
      </rPr>
      <t>× 0.806 × N</t>
    </r>
    <r>
      <rPr>
        <vertAlign val="subscript"/>
        <sz val="12"/>
        <color theme="1"/>
        <rFont val="Calibri"/>
        <family val="2"/>
      </rPr>
      <t>op,3</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r>
      <rPr>
        <sz val="12"/>
        <color theme="1"/>
        <rFont val="Calibri"/>
        <family val="2"/>
        <scheme val="minor"/>
      </rPr>
      <t>)</t>
    </r>
  </si>
  <si>
    <r>
      <t>t</t>
    </r>
    <r>
      <rPr>
        <vertAlign val="subscript"/>
        <sz val="12"/>
        <color theme="1"/>
        <rFont val="Calibri"/>
        <family val="2"/>
        <scheme val="minor"/>
      </rPr>
      <t>4</t>
    </r>
    <r>
      <rPr>
        <sz val="12"/>
        <color theme="1"/>
        <rFont val="Calibri"/>
        <family val="2"/>
        <scheme val="minor"/>
      </rPr>
      <t xml:space="preserve"> </t>
    </r>
    <r>
      <rPr>
        <sz val="12"/>
        <color theme="1"/>
        <rFont val="Calibri"/>
        <family val="2"/>
      </rPr>
      <t>× 0.806 × N</t>
    </r>
    <r>
      <rPr>
        <vertAlign val="subscript"/>
        <sz val="12"/>
        <color theme="1"/>
        <rFont val="Calibri"/>
        <family val="2"/>
      </rPr>
      <t>op,4</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r>
      <rPr>
        <sz val="12"/>
        <color theme="1"/>
        <rFont val="Calibri"/>
        <family val="2"/>
        <scheme val="minor"/>
      </rPr>
      <t>)</t>
    </r>
  </si>
  <si>
    <r>
      <t>t</t>
    </r>
    <r>
      <rPr>
        <vertAlign val="subscript"/>
        <sz val="12"/>
        <color theme="1"/>
        <rFont val="Calibri"/>
        <family val="2"/>
        <scheme val="minor"/>
      </rPr>
      <t>5</t>
    </r>
    <r>
      <rPr>
        <sz val="12"/>
        <color theme="1"/>
        <rFont val="Calibri"/>
        <family val="2"/>
        <scheme val="minor"/>
      </rPr>
      <t xml:space="preserve"> </t>
    </r>
    <r>
      <rPr>
        <sz val="12"/>
        <color theme="1"/>
        <rFont val="Calibri"/>
        <family val="2"/>
      </rPr>
      <t>× 0.806 × N</t>
    </r>
    <r>
      <rPr>
        <vertAlign val="subscript"/>
        <sz val="12"/>
        <color theme="1"/>
        <rFont val="Calibri"/>
        <family val="2"/>
      </rPr>
      <t>op,5</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r>
      <rPr>
        <sz val="12"/>
        <color theme="1"/>
        <rFont val="Calibri"/>
        <family val="2"/>
        <scheme val="minor"/>
      </rPr>
      <t>)</t>
    </r>
  </si>
  <si>
    <t>Aggregate Natural Gas Cost (or Credit)</t>
  </si>
  <si>
    <r>
      <rPr>
        <sz val="12"/>
        <rFont val="Calibri"/>
        <family val="2"/>
        <scheme val="minor"/>
      </rPr>
      <t>C</t>
    </r>
    <r>
      <rPr>
        <vertAlign val="subscript"/>
        <sz val="12"/>
        <color theme="1"/>
        <rFont val="Calibri"/>
        <family val="2"/>
        <scheme val="minor"/>
      </rPr>
      <t>purge</t>
    </r>
    <r>
      <rPr>
        <sz val="12"/>
        <color theme="1"/>
        <rFont val="Calibri"/>
        <family val="2"/>
        <scheme val="minor"/>
      </rPr>
      <t xml:space="preserve"> + C</t>
    </r>
    <r>
      <rPr>
        <vertAlign val="subscript"/>
        <sz val="12"/>
        <color theme="1"/>
        <rFont val="Calibri"/>
        <family val="2"/>
        <scheme val="minor"/>
      </rPr>
      <t>pilot</t>
    </r>
    <r>
      <rPr>
        <sz val="12"/>
        <color theme="1"/>
        <rFont val="Calibri"/>
        <family val="2"/>
        <scheme val="minor"/>
      </rPr>
      <t xml:space="preserve"> + C</t>
    </r>
    <r>
      <rPr>
        <vertAlign val="subscript"/>
        <sz val="12"/>
        <color theme="1"/>
        <rFont val="Calibri"/>
        <family val="2"/>
        <scheme val="minor"/>
      </rPr>
      <t>a</t>
    </r>
    <r>
      <rPr>
        <sz val="12"/>
        <color theme="1"/>
        <rFont val="Calibri"/>
        <family val="2"/>
        <scheme val="minor"/>
      </rPr>
      <t xml:space="preserve"> - C</t>
    </r>
    <r>
      <rPr>
        <vertAlign val="subscript"/>
        <sz val="12"/>
        <color theme="1"/>
        <rFont val="Calibri"/>
        <family val="2"/>
        <scheme val="minor"/>
      </rPr>
      <t>rec</t>
    </r>
    <r>
      <rPr>
        <sz val="12"/>
        <color theme="1"/>
        <rFont val="Calibri"/>
        <family val="2"/>
        <scheme val="minor"/>
      </rPr>
      <t xml:space="preserve"> =</t>
    </r>
  </si>
  <si>
    <r>
      <t>Electricity Consumption Total (</t>
    </r>
    <r>
      <rPr>
        <sz val="12"/>
        <color theme="1"/>
        <rFont val="Calibri"/>
        <family val="2"/>
      </rPr>
      <t>Σt</t>
    </r>
    <r>
      <rPr>
        <vertAlign val="subscript"/>
        <sz val="12"/>
        <color theme="1"/>
        <rFont val="Calibri"/>
        <family val="2"/>
      </rPr>
      <t>n</t>
    </r>
    <r>
      <rPr>
        <sz val="12"/>
        <color theme="1"/>
        <rFont val="Calibri"/>
        <family val="2"/>
        <scheme val="minor"/>
      </rPr>
      <t>E</t>
    </r>
    <r>
      <rPr>
        <vertAlign val="subscript"/>
        <sz val="12"/>
        <color theme="1"/>
        <rFont val="Calibri"/>
        <family val="2"/>
        <scheme val="minor"/>
      </rPr>
      <t>FGR,n</t>
    </r>
    <r>
      <rPr>
        <sz val="12"/>
        <color theme="1"/>
        <rFont val="Calibri"/>
        <family val="2"/>
        <scheme val="minor"/>
      </rPr>
      <t>)</t>
    </r>
  </si>
  <si>
    <r>
      <rPr>
        <sz val="12"/>
        <color theme="1"/>
        <rFont val="Calibri"/>
        <family val="2"/>
      </rPr>
      <t>N</t>
    </r>
    <r>
      <rPr>
        <vertAlign val="subscript"/>
        <sz val="12"/>
        <color theme="1"/>
        <rFont val="Calibri"/>
        <family val="2"/>
      </rPr>
      <t>op</t>
    </r>
    <r>
      <rPr>
        <sz val="12"/>
        <color theme="1"/>
        <rFont val="Calibri"/>
        <family val="2"/>
      </rPr>
      <t xml:space="preserve"> × Q</t>
    </r>
    <r>
      <rPr>
        <vertAlign val="subscript"/>
        <sz val="12"/>
        <color theme="1"/>
        <rFont val="Calibri"/>
        <family val="2"/>
      </rPr>
      <t>cap</t>
    </r>
    <r>
      <rPr>
        <sz val="12"/>
        <color theme="1"/>
        <rFont val="Calibri"/>
        <family val="2"/>
      </rPr>
      <t>/N</t>
    </r>
    <r>
      <rPr>
        <vertAlign val="subscript"/>
        <sz val="12"/>
        <color theme="1"/>
        <rFont val="Calibri"/>
        <family val="2"/>
      </rPr>
      <t>total</t>
    </r>
  </si>
  <si>
    <t>Number of compressors needed for full recovery</t>
  </si>
  <si>
    <t>Overview of Workbook</t>
  </si>
  <si>
    <t>Tab</t>
  </si>
  <si>
    <t>Description of Tab Contents</t>
  </si>
  <si>
    <t>Read Me</t>
  </si>
  <si>
    <t>Introduction and intructions</t>
  </si>
  <si>
    <t>Cost Estimates</t>
  </si>
  <si>
    <t>Table A &amp; B</t>
  </si>
  <si>
    <t>This tab contains the final cost outputs for the designed flare system.</t>
  </si>
  <si>
    <t xml:space="preserve">This tab is used for entering data needed to design and cost the flare. Enter the flare support type in row 3.  All other input cells are highlighted yellow. </t>
  </si>
  <si>
    <t>This tab contains the calculations used to determine flare diameter, stack height, and other paramters needed to estimate costs of the flare system.</t>
  </si>
  <si>
    <t>This tab contains table of default flare monitoring costs (Table A) and a table for the fraction of heat radiated for common gases (Table B).</t>
  </si>
  <si>
    <r>
      <rPr>
        <b/>
        <u/>
        <sz val="12"/>
        <color theme="8" tint="-0.499984740745262"/>
        <rFont val="Calibri"/>
        <family val="2"/>
        <scheme val="minor"/>
      </rPr>
      <t>Step 2</t>
    </r>
    <r>
      <rPr>
        <b/>
        <sz val="12"/>
        <color theme="8" tint="-0.499984740745262"/>
        <rFont val="Calibri"/>
        <family val="2"/>
        <scheme val="minor"/>
      </rPr>
      <t xml:space="preserve">: </t>
    </r>
    <r>
      <rPr>
        <sz val="12"/>
        <color theme="8" tint="-0.499984740745262"/>
        <rFont val="Calibri"/>
        <family val="2"/>
        <scheme val="minor"/>
      </rPr>
      <t xml:space="preserve"> Use the drop down menu on Row 3 of the </t>
    </r>
    <r>
      <rPr>
        <b/>
        <i/>
        <sz val="12"/>
        <color theme="8" tint="-0.499984740745262"/>
        <rFont val="Calibri"/>
        <family val="2"/>
        <scheme val="minor"/>
      </rPr>
      <t xml:space="preserve">Data Inputs </t>
    </r>
    <r>
      <rPr>
        <sz val="12"/>
        <color theme="8" tint="-0.499984740745262"/>
        <rFont val="Calibri"/>
        <family val="2"/>
        <scheme val="minor"/>
      </rPr>
      <t xml:space="preserve">tab to select the type of flare support (preliminary selection).    </t>
    </r>
  </si>
  <si>
    <r>
      <rPr>
        <b/>
        <u/>
        <sz val="12"/>
        <color theme="8" tint="-0.499984740745262"/>
        <rFont val="Calibri"/>
        <family val="2"/>
        <scheme val="minor"/>
      </rPr>
      <t>Step 1</t>
    </r>
    <r>
      <rPr>
        <b/>
        <sz val="12"/>
        <color theme="8" tint="-0.499984740745262"/>
        <rFont val="Calibri"/>
        <family val="2"/>
        <scheme val="minor"/>
      </rPr>
      <t xml:space="preserve">: </t>
    </r>
    <r>
      <rPr>
        <sz val="12"/>
        <color theme="8" tint="-0.499984740745262"/>
        <rFont val="Calibri"/>
        <family val="2"/>
        <scheme val="minor"/>
      </rPr>
      <t xml:space="preserve">Please select the </t>
    </r>
    <r>
      <rPr>
        <b/>
        <i/>
        <sz val="12"/>
        <color theme="8" tint="-0.499984740745262"/>
        <rFont val="Calibri"/>
        <family val="2"/>
        <scheme val="minor"/>
      </rPr>
      <t>Data Inputs</t>
    </r>
    <r>
      <rPr>
        <sz val="12"/>
        <color theme="8" tint="-0.499984740745262"/>
        <rFont val="Calibri"/>
        <family val="2"/>
        <scheme val="minor"/>
      </rPr>
      <t xml:space="preserve"> tab to enter data needed to design and calt the flare system. You may click on the </t>
    </r>
    <r>
      <rPr>
        <b/>
        <i/>
        <sz val="12"/>
        <color theme="8" tint="-0.499984740745262"/>
        <rFont val="Calibri"/>
        <family val="2"/>
        <scheme val="minor"/>
      </rPr>
      <t>Reset Form</t>
    </r>
    <r>
      <rPr>
        <sz val="12"/>
        <color theme="8" tint="-0.499984740745262"/>
        <rFont val="Calibri"/>
        <family val="2"/>
        <scheme val="minor"/>
      </rPr>
      <t xml:space="preserve"> button to reset the values on the Data Inputs tab.  </t>
    </r>
  </si>
  <si>
    <t>Key Design Parameters</t>
  </si>
  <si>
    <t>Warnings (if applicable)</t>
  </si>
  <si>
    <t>Flare Tip Diameter (D)</t>
  </si>
  <si>
    <t>Height of Flare Stack (H)</t>
  </si>
  <si>
    <t>Drum Diameter (d) (rounded to the next largest drum size in 6-inch increments) =</t>
  </si>
  <si>
    <r>
      <rPr>
        <b/>
        <u/>
        <sz val="12"/>
        <color theme="8" tint="-0.499984740745262"/>
        <rFont val="Calibri"/>
        <family val="2"/>
        <scheme val="minor"/>
      </rPr>
      <t>Step 4</t>
    </r>
    <r>
      <rPr>
        <b/>
        <sz val="12"/>
        <color theme="8" tint="-0.499984740745262"/>
        <rFont val="Calibri"/>
        <family val="2"/>
        <scheme val="minor"/>
      </rPr>
      <t xml:space="preserve">:  </t>
    </r>
    <r>
      <rPr>
        <sz val="12"/>
        <color theme="8" tint="-0.499984740745262"/>
        <rFont val="Calibri"/>
        <family val="2"/>
        <scheme val="minor"/>
      </rPr>
      <t xml:space="preserve">Once all of the data fields are complete, select the </t>
    </r>
    <r>
      <rPr>
        <b/>
        <i/>
        <sz val="12"/>
        <color theme="8" tint="-0.499984740745262"/>
        <rFont val="Calibri"/>
        <family val="2"/>
        <scheme val="minor"/>
      </rPr>
      <t>Design Parameters</t>
    </r>
    <r>
      <rPr>
        <sz val="12"/>
        <color theme="8" tint="-0.499984740745262"/>
        <rFont val="Calibri"/>
        <family val="2"/>
        <scheme val="minor"/>
      </rPr>
      <t xml:space="preserve"> tab to see the calculated design parameters for your flare. Review the calculated Height of Flare Stack in Row 7. If there is a warning message, the type of flare support selected in </t>
    </r>
    <r>
      <rPr>
        <b/>
        <u/>
        <sz val="12"/>
        <color theme="8" tint="-0.499984740745262"/>
        <rFont val="Calibri"/>
        <family val="2"/>
        <scheme val="minor"/>
      </rPr>
      <t>Step 2</t>
    </r>
    <r>
      <rPr>
        <sz val="12"/>
        <color theme="8" tint="-0.499984740745262"/>
        <rFont val="Calibri"/>
        <family val="2"/>
        <scheme val="minor"/>
      </rPr>
      <t xml:space="preserve"> is not applicable to the calculated flare stack height. In this case, go back to the </t>
    </r>
    <r>
      <rPr>
        <b/>
        <i/>
        <sz val="12"/>
        <color theme="8" tint="-0.499984740745262"/>
        <rFont val="Calibri"/>
        <family val="2"/>
        <scheme val="minor"/>
      </rPr>
      <t>Data Inputs</t>
    </r>
    <r>
      <rPr>
        <sz val="12"/>
        <color theme="8" tint="-0.499984740745262"/>
        <rFont val="Calibri"/>
        <family val="2"/>
        <scheme val="minor"/>
      </rPr>
      <t xml:space="preserve"> tab and select an appropriate type of flare support. Generally,  self-supported flares may be selected if the flare stack height is 100 ft or less, guy-supported flares may be selected if the flare stack height is between 50 and 450 ft, and derrick-supported flares may be selected if the flare stack height is 200 ft or more. </t>
    </r>
  </si>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</sst>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3" formatCode="_(* #,##0.00_);_(* \(#,##0.00\);_(* &quot;-&quot;??_);_(@_)"/>
    <numFmt numFmtId="164" formatCode="0.0"/>
    <numFmt numFmtId="165" formatCode="&quot;$&quot;#,##0"/>
    <numFmt numFmtId="166" formatCode="0.0000"/>
    <numFmt numFmtId="167" formatCode="&quot;$&quot;#,##0.00"/>
    <numFmt numFmtId="168" formatCode="#,##0.0"/>
    <numFmt numFmtId="169" formatCode="_(* #,##0_);_(* \(#,##0\);_(* &quot;-&quot;??_);_(@_)"/>
    <numFmt numFmtId="170" formatCode="#,##0.0000"/>
    <numFmt numFmtId="171" formatCode="#,##0.000"/>
    <numFmt numFmtId="172" formatCode="_(* #,##0.0_);_(* \(#,##0.0\);_(* &quot;-&quot;??_);_(@_)"/>
    <numFmt numFmtId="173" formatCode="&quot;$&quot;#,##0.0000"/>
    <numFmt numFmtId="174" formatCode="0.000"/>
  </numFmts>
  <fonts count="63" x14ac:knownFonts="1">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8"/>
      <color theme="0"/>
      <name val="Calibri"/>
      <family val="2"/>
      <scheme val="minor"/>
    </font>
    <font>
      <sz val="12"/>
      <color theme="8" tint="-0.249977111117893"/>
      <name val="Calibri"/>
      <family val="2"/>
      <scheme val="minor"/>
    </font>
    <font>
      <sz val="12"/>
      <color theme="1"/>
      <name val="Calibri"/>
      <family val="2"/>
      <scheme val="minor"/>
    </font>
    <font>
      <sz val="12"/>
      <color theme="8" tint="-0.499984740745262"/>
      <name val="Calibri"/>
      <family val="2"/>
      <scheme val="minor"/>
    </font>
    <font>
      <b/>
      <sz val="16"/>
      <color theme="0"/>
      <name val="Calibri"/>
      <family val="2"/>
      <scheme val="minor"/>
    </font>
    <font>
      <b/>
      <u/>
      <sz val="12"/>
      <color theme="8" tint="-0.499984740745262"/>
      <name val="Calibri"/>
      <family val="2"/>
      <scheme val="minor"/>
    </font>
    <font>
      <b/>
      <sz val="12"/>
      <color theme="8" tint="-0.499984740745262"/>
      <name val="Calibri"/>
      <family val="2"/>
      <scheme val="minor"/>
    </font>
    <font>
      <b/>
      <i/>
      <sz val="12"/>
      <color theme="8" tint="-0.499984740745262"/>
      <name val="Calibri"/>
      <family val="2"/>
      <scheme val="minor"/>
    </font>
    <font>
      <sz val="12"/>
      <color theme="8" tint="-0.499984740745262"/>
      <name val="Times New Roman"/>
      <family val="1"/>
    </font>
    <font>
      <b/>
      <sz val="18"/>
      <color theme="0"/>
      <name val="Calibri"/>
      <family val="2"/>
      <scheme val="minor"/>
    </font>
    <font>
      <b/>
      <sz val="14"/>
      <color theme="0"/>
      <name val="Calibri"/>
      <family val="2"/>
      <scheme val="minor"/>
    </font>
    <font>
      <sz val="14"/>
      <color theme="1"/>
      <name val="Calibri"/>
      <family val="2"/>
      <scheme val="minor"/>
    </font>
    <font>
      <sz val="12"/>
      <name val="Calibri"/>
      <family val="2"/>
      <scheme val="minor"/>
    </font>
    <font>
      <sz val="14"/>
      <color rgb="FFFF0000"/>
      <name val="Calibri"/>
      <family val="2"/>
      <scheme val="minor"/>
    </font>
    <font>
      <sz val="12"/>
      <color rgb="FFFF0000"/>
      <name val="Calibri"/>
      <family val="2"/>
      <scheme val="minor"/>
    </font>
    <font>
      <b/>
      <sz val="12"/>
      <color theme="8" tint="-0.249977111117893"/>
      <name val="Calibri"/>
      <family val="2"/>
      <scheme val="minor"/>
    </font>
    <font>
      <b/>
      <i/>
      <sz val="12"/>
      <color theme="8" tint="-0.249977111117893"/>
      <name val="Calibri"/>
      <family val="2"/>
      <scheme val="minor"/>
    </font>
    <font>
      <sz val="9"/>
      <color rgb="FFC00000"/>
      <name val="Calibri"/>
      <family val="2"/>
      <scheme val="minor"/>
    </font>
    <font>
      <sz val="11"/>
      <color rgb="FF000000"/>
      <name val="Calibri"/>
      <family val="2"/>
    </font>
    <font>
      <b/>
      <sz val="12"/>
      <color theme="0"/>
      <name val="Calibri"/>
      <family val="2"/>
      <scheme val="minor"/>
    </font>
    <font>
      <sz val="11"/>
      <color rgb="FFC00000"/>
      <name val="Calibri"/>
      <family val="2"/>
      <scheme val="minor"/>
    </font>
    <font>
      <vertAlign val="superscript"/>
      <sz val="12"/>
      <color theme="1"/>
      <name val="Calibri"/>
      <family val="2"/>
      <scheme val="minor"/>
    </font>
    <font>
      <vertAlign val="subscript"/>
      <sz val="12"/>
      <color theme="1"/>
      <name val="Calibri"/>
      <family val="2"/>
      <scheme val="minor"/>
    </font>
    <font>
      <sz val="12"/>
      <color theme="1"/>
      <name val="Calibri"/>
      <family val="2"/>
    </font>
    <font>
      <vertAlign val="subscript"/>
      <sz val="12"/>
      <color theme="1"/>
      <name val="Calibri"/>
      <family val="2"/>
    </font>
    <font>
      <b/>
      <sz val="18"/>
      <color rgb="FFFF0000"/>
      <name val="Calibri"/>
      <family val="2"/>
      <scheme val="minor"/>
    </font>
    <font>
      <b/>
      <sz val="14"/>
      <color rgb="FFFF0000"/>
      <name val="Calibri"/>
      <family val="2"/>
      <scheme val="minor"/>
    </font>
    <font>
      <sz val="11"/>
      <color theme="1"/>
      <name val="Calibri"/>
      <family val="2"/>
      <scheme val="minor"/>
    </font>
    <font>
      <b/>
      <sz val="12"/>
      <name val="Calibri"/>
      <family val="2"/>
      <scheme val="minor"/>
    </font>
    <font>
      <b/>
      <sz val="12"/>
      <color theme="8" tint="-0.249977111117893"/>
      <name val="Calibri"/>
      <family val="2"/>
    </font>
    <font>
      <b/>
      <sz val="11"/>
      <color theme="8" tint="-0.249977111117893"/>
      <name val="Calibri"/>
      <family val="2"/>
      <scheme val="minor"/>
    </font>
    <font>
      <b/>
      <sz val="12"/>
      <color theme="1"/>
      <name val="Calibri"/>
      <family val="2"/>
      <scheme val="minor"/>
    </font>
    <font>
      <b/>
      <sz val="12"/>
      <color theme="0" tint="-4.9989318521683403E-2"/>
      <name val="Calibri"/>
      <family val="2"/>
      <scheme val="minor"/>
    </font>
    <font>
      <sz val="12"/>
      <color rgb="FFC00000"/>
      <name val="Calibri"/>
      <family val="2"/>
      <scheme val="minor"/>
    </font>
    <font>
      <sz val="11"/>
      <color theme="8" tint="-0.249977111117893"/>
      <name val="Calibri"/>
      <family val="2"/>
      <scheme val="minor"/>
    </font>
    <font>
      <sz val="12"/>
      <name val="Calibri"/>
      <family val="2"/>
    </font>
    <font>
      <b/>
      <sz val="18"/>
      <color theme="0" tint="-4.9989318521683403E-2"/>
      <name val="Calibri"/>
      <family val="2"/>
      <scheme val="minor"/>
    </font>
    <font>
      <i/>
      <sz val="12"/>
      <color theme="1"/>
      <name val="Calibri"/>
      <family val="2"/>
      <scheme val="minor"/>
    </font>
    <font>
      <i/>
      <vertAlign val="subscript"/>
      <sz val="12"/>
      <color theme="1"/>
      <name val="Calibri"/>
      <family val="2"/>
      <scheme val="minor"/>
    </font>
    <font>
      <i/>
      <sz val="12"/>
      <color theme="1"/>
      <name val="Calibri"/>
      <family val="2"/>
    </font>
    <font>
      <i/>
      <vertAlign val="subscript"/>
      <sz val="12"/>
      <color theme="1"/>
      <name val="Calibri"/>
      <family val="2"/>
    </font>
    <font>
      <sz val="14"/>
      <color theme="7" tint="-0.499984740745262"/>
      <name val="Calibri"/>
      <family val="2"/>
      <scheme val="minor"/>
    </font>
    <font>
      <sz val="12"/>
      <color theme="7" tint="-0.499984740745262"/>
      <name val="Calibri"/>
      <family val="2"/>
      <scheme val="minor"/>
    </font>
    <font>
      <b/>
      <sz val="12"/>
      <color theme="7" tint="-0.499984740745262"/>
      <name val="Calibri"/>
      <family val="2"/>
      <scheme val="minor"/>
    </font>
    <font>
      <b/>
      <sz val="11"/>
      <color theme="7" tint="-0.499984740745262"/>
      <name val="Calibri"/>
      <family val="2"/>
      <scheme val="minor"/>
    </font>
    <font>
      <vertAlign val="subscript"/>
      <sz val="12"/>
      <name val="Calibri"/>
      <family val="2"/>
    </font>
    <font>
      <vertAlign val="superscript"/>
      <sz val="12"/>
      <name val="Calibri"/>
      <family val="2"/>
    </font>
    <font>
      <u/>
      <sz val="12"/>
      <color theme="1"/>
      <name val="Calibri"/>
      <family val="2"/>
      <scheme val="minor"/>
    </font>
    <font>
      <vertAlign val="subscript"/>
      <sz val="14"/>
      <color theme="1"/>
      <name val="Calibri"/>
      <family val="2"/>
      <scheme val="minor"/>
    </font>
    <font>
      <sz val="14"/>
      <color theme="0"/>
      <name val="Calibri"/>
      <family val="2"/>
      <scheme val="minor"/>
    </font>
    <font>
      <sz val="12"/>
      <color theme="0"/>
      <name val="Calibri"/>
      <family val="2"/>
      <scheme val="minor"/>
    </font>
    <font>
      <u/>
      <sz val="12"/>
      <color theme="0"/>
      <name val="Calibri"/>
      <family val="2"/>
      <scheme val="minor"/>
    </font>
    <font>
      <sz val="14"/>
      <color theme="1"/>
      <name val="Calibri"/>
      <family val="2"/>
    </font>
    <font>
      <vertAlign val="subscript"/>
      <sz val="11"/>
      <color rgb="FFC00000"/>
      <name val="Calibri"/>
      <family val="2"/>
      <scheme val="minor"/>
    </font>
    <font>
      <b/>
      <sz val="11"/>
      <color theme="0"/>
      <name val="Calibri"/>
      <family val="2"/>
      <scheme val="minor"/>
    </font>
    <font>
      <b/>
      <sz val="11"/>
      <color theme="1"/>
      <name val="Calibri"/>
      <family val="2"/>
      <scheme val="minor"/>
    </font>
    <font>
      <sz val="11"/>
      <color theme="0" tint="-4.9989318521683403E-2"/>
      <name val="Calibri"/>
      <family val="2"/>
      <scheme val="minor"/>
    </font>
    <font>
      <sz val="13"/>
      <color rgb="FFFF0000"/>
      <name val="Calibri"/>
      <family val="2"/>
      <scheme val="minor"/>
    </font>
    <font>
      <b/>
      <sz val="12"/>
      <color rgb="FFFF0000"/>
      <name val="Calibri"/>
      <family val="2"/>
      <scheme val="minor"/>
    </font>
  </fonts>
  <fills count="21">
    <fill>
      <patternFill patternType="none"/>
    </fill>
    <fill>
      <patternFill patternType="gray125"/>
    </fill>
    <fill>
      <patternFill patternType="solid">
        <fgColor theme="8"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8" tint="-0.499984740745262"/>
      </top>
      <bottom/>
      <diagonal/>
    </border>
    <border>
      <left/>
      <right/>
      <top/>
      <bottom style="medium">
        <color theme="8" tint="-0.499984740745262"/>
      </bottom>
      <diagonal/>
    </border>
    <border>
      <left/>
      <right/>
      <top style="thin">
        <color theme="8"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31" fillId="0" borderId="0" applyFont="0" applyFill="0" applyBorder="0" applyAlignment="0" applyProtection="0"/>
  </cellStyleXfs>
  <cellXfs count="408">
    <xf numFmtId="0" fontId="0" fillId="0" borderId="0" xfId="0"/>
    <xf numFmtId="3" fontId="0" fillId="0" borderId="0" xfId="0" applyNumberFormat="1"/>
    <xf numFmtId="0" fontId="0" fillId="0" borderId="0" xfId="0" applyAlignment="1">
      <alignment horizontal="right"/>
    </xf>
    <xf numFmtId="0" fontId="6" fillId="0" borderId="0" xfId="0" applyFont="1"/>
    <xf numFmtId="0" fontId="6" fillId="0" borderId="0" xfId="0" applyFont="1" applyAlignment="1">
      <alignment wrapText="1"/>
    </xf>
    <xf numFmtId="0" fontId="7" fillId="0" borderId="0" xfId="0" applyFont="1" applyAlignment="1">
      <alignment horizontal="left" vertical="top" wrapText="1"/>
    </xf>
    <xf numFmtId="0" fontId="0" fillId="0" borderId="0" xfId="0" applyAlignment="1">
      <alignment vertical="center"/>
    </xf>
    <xf numFmtId="0" fontId="12" fillId="0" borderId="0" xfId="0" applyFont="1" applyAlignment="1">
      <alignment horizontal="left" wrapText="1"/>
    </xf>
    <xf numFmtId="0" fontId="16" fillId="5" borderId="0" xfId="0" applyFont="1" applyFill="1"/>
    <xf numFmtId="0" fontId="16" fillId="0" borderId="0" xfId="0" applyFont="1"/>
    <xf numFmtId="0" fontId="17" fillId="5" borderId="0" xfId="0" applyFont="1" applyFill="1"/>
    <xf numFmtId="0" fontId="1" fillId="5" borderId="0" xfId="0" applyFont="1" applyFill="1"/>
    <xf numFmtId="0" fontId="6" fillId="0" borderId="4" xfId="0" applyFont="1" applyBorder="1"/>
    <xf numFmtId="0" fontId="0" fillId="5" borderId="0" xfId="0" applyFill="1" applyProtection="1">
      <protection hidden="1"/>
    </xf>
    <xf numFmtId="0" fontId="0" fillId="0" borderId="0" xfId="0" applyProtection="1">
      <protection hidden="1"/>
    </xf>
    <xf numFmtId="0" fontId="6" fillId="0" borderId="0" xfId="0" applyFont="1" applyProtection="1">
      <protection hidden="1"/>
    </xf>
    <xf numFmtId="0" fontId="6" fillId="5" borderId="0" xfId="0" applyFont="1" applyFill="1" applyProtection="1">
      <protection hidden="1"/>
    </xf>
    <xf numFmtId="0" fontId="6" fillId="5" borderId="0" xfId="0" applyFont="1" applyFill="1"/>
    <xf numFmtId="0" fontId="0" fillId="5" borderId="0" xfId="0" applyFill="1"/>
    <xf numFmtId="0" fontId="29" fillId="5" borderId="0" xfId="0" applyFont="1" applyFill="1"/>
    <xf numFmtId="0" fontId="30" fillId="5" borderId="0" xfId="0" applyFont="1" applyFill="1"/>
    <xf numFmtId="0" fontId="15" fillId="5" borderId="0" xfId="0" applyFont="1" applyFill="1"/>
    <xf numFmtId="0" fontId="17" fillId="5" borderId="0" xfId="0" applyFont="1" applyFill="1" applyAlignment="1">
      <alignment wrapText="1"/>
    </xf>
    <xf numFmtId="0" fontId="6" fillId="5" borderId="0" xfId="0" applyFont="1" applyFill="1" applyAlignment="1" applyProtection="1">
      <alignment wrapText="1"/>
      <protection hidden="1"/>
    </xf>
    <xf numFmtId="0" fontId="15" fillId="9" borderId="0" xfId="0" applyFont="1" applyFill="1"/>
    <xf numFmtId="0" fontId="13" fillId="7" borderId="0" xfId="0" applyFont="1" applyFill="1" applyAlignment="1">
      <alignment horizontal="center"/>
    </xf>
    <xf numFmtId="0" fontId="0" fillId="5" borderId="0" xfId="0" applyFill="1" applyAlignment="1">
      <alignment vertical="center" wrapText="1"/>
    </xf>
    <xf numFmtId="0" fontId="3" fillId="9" borderId="0" xfId="0" applyFont="1" applyFill="1"/>
    <xf numFmtId="0" fontId="6" fillId="9" borderId="0" xfId="0" applyFont="1" applyFill="1"/>
    <xf numFmtId="0" fontId="0" fillId="9" borderId="0" xfId="0" applyFill="1"/>
    <xf numFmtId="0" fontId="23" fillId="2" borderId="0" xfId="0" applyFont="1" applyFill="1" applyAlignment="1" applyProtection="1">
      <alignment horizontal="left" wrapText="1"/>
      <protection hidden="1"/>
    </xf>
    <xf numFmtId="0" fontId="6" fillId="6" borderId="0" xfId="0" applyFont="1" applyFill="1"/>
    <xf numFmtId="1" fontId="6" fillId="6" borderId="0" xfId="0" applyNumberFormat="1" applyFont="1" applyFill="1"/>
    <xf numFmtId="0" fontId="6" fillId="0" borderId="0" xfId="0" applyFont="1" applyAlignment="1">
      <alignment horizontal="right"/>
    </xf>
    <xf numFmtId="0" fontId="13" fillId="0" borderId="0" xfId="0" applyFont="1" applyAlignment="1">
      <alignment horizontal="center"/>
    </xf>
    <xf numFmtId="0" fontId="6" fillId="9" borderId="0" xfId="0" applyFont="1" applyFill="1" applyProtection="1">
      <protection hidden="1"/>
    </xf>
    <xf numFmtId="0" fontId="36" fillId="2" borderId="0" xfId="0" applyFont="1" applyFill="1" applyAlignment="1" applyProtection="1">
      <alignment wrapText="1"/>
      <protection hidden="1"/>
    </xf>
    <xf numFmtId="0" fontId="6" fillId="5" borderId="11" xfId="0" applyFont="1" applyFill="1" applyBorder="1"/>
    <xf numFmtId="0" fontId="21" fillId="9" borderId="0" xfId="0" applyFont="1" applyFill="1" applyAlignment="1">
      <alignment horizontal="left" wrapText="1"/>
    </xf>
    <xf numFmtId="0" fontId="6" fillId="9" borderId="0" xfId="0" applyFont="1" applyFill="1" applyAlignment="1">
      <alignment wrapText="1"/>
    </xf>
    <xf numFmtId="165" fontId="6" fillId="9" borderId="0" xfId="0" applyNumberFormat="1" applyFont="1" applyFill="1"/>
    <xf numFmtId="0" fontId="18" fillId="5" borderId="10" xfId="0" applyFont="1" applyFill="1" applyBorder="1"/>
    <xf numFmtId="0" fontId="16" fillId="7" borderId="0" xfId="0" applyFont="1" applyFill="1" applyAlignment="1">
      <alignment horizontal="left"/>
    </xf>
    <xf numFmtId="0" fontId="19" fillId="8" borderId="0" xfId="0" applyFont="1" applyFill="1" applyAlignment="1" applyProtection="1">
      <alignment wrapText="1"/>
      <protection hidden="1"/>
    </xf>
    <xf numFmtId="0" fontId="19" fillId="8" borderId="0" xfId="0" applyFont="1" applyFill="1"/>
    <xf numFmtId="1" fontId="19" fillId="8" borderId="0" xfId="0" applyNumberFormat="1" applyFont="1" applyFill="1"/>
    <xf numFmtId="2" fontId="19" fillId="8" borderId="0" xfId="0" applyNumberFormat="1" applyFont="1" applyFill="1"/>
    <xf numFmtId="0" fontId="6" fillId="8" borderId="0" xfId="0" applyFont="1" applyFill="1"/>
    <xf numFmtId="0" fontId="33" fillId="8" borderId="0" xfId="0" applyFont="1" applyFill="1"/>
    <xf numFmtId="3" fontId="19" fillId="8" borderId="0" xfId="0" applyNumberFormat="1" applyFont="1" applyFill="1"/>
    <xf numFmtId="0" fontId="0" fillId="7" borderId="0" xfId="0" applyFill="1"/>
    <xf numFmtId="0" fontId="16" fillId="7" borderId="0" xfId="0" applyFont="1" applyFill="1" applyAlignment="1">
      <alignment horizontal="left" wrapText="1"/>
    </xf>
    <xf numFmtId="0" fontId="6" fillId="6" borderId="0" xfId="0" applyFont="1" applyFill="1" applyAlignment="1">
      <alignment horizontal="left"/>
    </xf>
    <xf numFmtId="0" fontId="13" fillId="2" borderId="0" xfId="0" applyFont="1" applyFill="1"/>
    <xf numFmtId="0" fontId="14" fillId="2" borderId="0" xfId="0" applyFont="1" applyFill="1"/>
    <xf numFmtId="0" fontId="35" fillId="8" borderId="0" xfId="0" applyFont="1" applyFill="1"/>
    <xf numFmtId="0" fontId="32" fillId="8" borderId="0" xfId="0" applyFont="1" applyFill="1"/>
    <xf numFmtId="0" fontId="32" fillId="8" borderId="0" xfId="0" applyFont="1" applyFill="1" applyAlignment="1">
      <alignment horizontal="center"/>
    </xf>
    <xf numFmtId="0" fontId="35" fillId="6" borderId="0" xfId="0" applyFont="1" applyFill="1" applyAlignment="1">
      <alignment horizontal="center"/>
    </xf>
    <xf numFmtId="9" fontId="6" fillId="6" borderId="0" xfId="0" applyNumberFormat="1" applyFont="1" applyFill="1"/>
    <xf numFmtId="3" fontId="6" fillId="0" borderId="0" xfId="0" applyNumberFormat="1" applyFont="1"/>
    <xf numFmtId="0" fontId="16" fillId="6" borderId="0" xfId="0" applyFont="1" applyFill="1" applyAlignment="1">
      <alignment horizontal="right"/>
    </xf>
    <xf numFmtId="0" fontId="16" fillId="6" borderId="0" xfId="0" applyFont="1" applyFill="1" applyAlignment="1">
      <alignment horizontal="left"/>
    </xf>
    <xf numFmtId="0" fontId="32" fillId="6" borderId="0" xfId="0" applyFont="1" applyFill="1" applyAlignment="1">
      <alignment horizontal="left"/>
    </xf>
    <xf numFmtId="0" fontId="32" fillId="6" borderId="0" xfId="0" applyFont="1" applyFill="1" applyAlignment="1">
      <alignment horizontal="center"/>
    </xf>
    <xf numFmtId="9" fontId="16" fillId="6" borderId="0" xfId="0" applyNumberFormat="1" applyFont="1" applyFill="1"/>
    <xf numFmtId="0" fontId="16" fillId="5" borderId="0" xfId="0" applyFont="1" applyFill="1" applyAlignment="1">
      <alignment horizontal="left"/>
    </xf>
    <xf numFmtId="165" fontId="16" fillId="6" borderId="0" xfId="0" applyNumberFormat="1" applyFont="1" applyFill="1" applyAlignment="1">
      <alignment horizontal="center"/>
    </xf>
    <xf numFmtId="165" fontId="16" fillId="0" borderId="0" xfId="0" applyNumberFormat="1" applyFont="1" applyAlignment="1">
      <alignment horizontal="center"/>
    </xf>
    <xf numFmtId="165" fontId="6" fillId="6" borderId="0" xfId="0" applyNumberFormat="1" applyFont="1" applyFill="1" applyAlignment="1">
      <alignment horizontal="center"/>
    </xf>
    <xf numFmtId="0" fontId="6" fillId="0" borderId="0" xfId="0" applyFont="1" applyAlignment="1">
      <alignment horizontal="center"/>
    </xf>
    <xf numFmtId="9" fontId="6" fillId="0" borderId="0" xfId="0" applyNumberFormat="1" applyFont="1"/>
    <xf numFmtId="0" fontId="35" fillId="0" borderId="0" xfId="0" applyFont="1"/>
    <xf numFmtId="9" fontId="35" fillId="0" borderId="0" xfId="0" applyNumberFormat="1" applyFont="1"/>
    <xf numFmtId="3" fontId="35" fillId="0" borderId="0" xfId="0" applyNumberFormat="1" applyFont="1"/>
    <xf numFmtId="165" fontId="6" fillId="0" borderId="0" xfId="0" applyNumberFormat="1" applyFont="1" applyAlignment="1">
      <alignment horizontal="center"/>
    </xf>
    <xf numFmtId="3" fontId="6" fillId="0" borderId="0" xfId="0" applyNumberFormat="1" applyFont="1" applyAlignment="1">
      <alignment horizontal="center"/>
    </xf>
    <xf numFmtId="0" fontId="23" fillId="2" borderId="0" xfId="0" applyFont="1" applyFill="1" applyAlignment="1">
      <alignment horizontal="left"/>
    </xf>
    <xf numFmtId="0" fontId="23" fillId="2" borderId="0" xfId="0" applyFont="1" applyFill="1"/>
    <xf numFmtId="0" fontId="23" fillId="0" borderId="0" xfId="0" applyFont="1" applyAlignment="1">
      <alignment horizontal="left"/>
    </xf>
    <xf numFmtId="0" fontId="23" fillId="0" borderId="0" xfId="0" applyFont="1"/>
    <xf numFmtId="167" fontId="23" fillId="0" borderId="0" xfId="0" applyNumberFormat="1" applyFont="1" applyAlignment="1">
      <alignment horizontal="right"/>
    </xf>
    <xf numFmtId="0" fontId="6" fillId="0" borderId="0" xfId="0" quotePrefix="1" applyFont="1" applyAlignment="1">
      <alignment wrapText="1"/>
    </xf>
    <xf numFmtId="165" fontId="18" fillId="0" borderId="0" xfId="0" applyNumberFormat="1" applyFont="1"/>
    <xf numFmtId="165" fontId="6" fillId="0" borderId="0" xfId="0" applyNumberFormat="1" applyFont="1" applyAlignment="1">
      <alignment horizontal="right"/>
    </xf>
    <xf numFmtId="165" fontId="23" fillId="2" borderId="0" xfId="0" applyNumberFormat="1" applyFont="1" applyFill="1" applyAlignment="1">
      <alignment horizontal="center"/>
    </xf>
    <xf numFmtId="0" fontId="16" fillId="0" borderId="0" xfId="0" applyFont="1" applyAlignment="1">
      <alignment horizontal="left"/>
    </xf>
    <xf numFmtId="0" fontId="16" fillId="0" borderId="0" xfId="0" quotePrefix="1" applyFont="1" applyAlignment="1">
      <alignment horizontal="left" wrapText="1"/>
    </xf>
    <xf numFmtId="165" fontId="16" fillId="0" borderId="0" xfId="0" applyNumberFormat="1" applyFont="1" applyAlignment="1">
      <alignment horizontal="left"/>
    </xf>
    <xf numFmtId="166" fontId="6" fillId="6" borderId="0" xfId="0" applyNumberFormat="1" applyFont="1" applyFill="1" applyAlignment="1">
      <alignment horizontal="right"/>
    </xf>
    <xf numFmtId="165" fontId="6" fillId="6" borderId="0" xfId="0" applyNumberFormat="1" applyFont="1" applyFill="1" applyAlignment="1" applyProtection="1">
      <alignment horizontal="center"/>
      <protection hidden="1"/>
    </xf>
    <xf numFmtId="7" fontId="6" fillId="6" borderId="0" xfId="0" applyNumberFormat="1" applyFont="1" applyFill="1" applyAlignment="1">
      <alignment horizontal="left"/>
    </xf>
    <xf numFmtId="0" fontId="34" fillId="4" borderId="9" xfId="0" applyFont="1" applyFill="1" applyBorder="1"/>
    <xf numFmtId="0" fontId="34" fillId="4" borderId="9" xfId="0" applyFont="1" applyFill="1" applyBorder="1" applyAlignment="1">
      <alignment horizontal="center"/>
    </xf>
    <xf numFmtId="0" fontId="34" fillId="4" borderId="9" xfId="0" applyFont="1" applyFill="1" applyBorder="1" applyAlignment="1">
      <alignment horizontal="left" vertical="top" wrapText="1"/>
    </xf>
    <xf numFmtId="0" fontId="38" fillId="4" borderId="9" xfId="0" applyFont="1" applyFill="1" applyBorder="1" applyAlignment="1">
      <alignment horizontal="left" vertical="top" wrapText="1"/>
    </xf>
    <xf numFmtId="2" fontId="0" fillId="0" borderId="0" xfId="0" applyNumberFormat="1"/>
    <xf numFmtId="0" fontId="6" fillId="5" borderId="11" xfId="0" applyFont="1" applyFill="1" applyBorder="1" applyAlignment="1">
      <alignment vertical="center"/>
    </xf>
    <xf numFmtId="0" fontId="14" fillId="5" borderId="0" xfId="0" applyFont="1" applyFill="1"/>
    <xf numFmtId="0" fontId="29" fillId="2" borderId="0" xfId="0" applyFont="1" applyFill="1"/>
    <xf numFmtId="0" fontId="29" fillId="7" borderId="0" xfId="0" applyFont="1" applyFill="1"/>
    <xf numFmtId="0" fontId="14" fillId="9" borderId="0" xfId="0" applyFont="1" applyFill="1" applyAlignment="1">
      <alignment horizontal="left"/>
    </xf>
    <xf numFmtId="0" fontId="30" fillId="9" borderId="0" xfId="0" applyFont="1" applyFill="1"/>
    <xf numFmtId="0" fontId="24" fillId="9" borderId="4" xfId="0" applyFont="1" applyFill="1" applyBorder="1"/>
    <xf numFmtId="0" fontId="21" fillId="9" borderId="0" xfId="0" applyFont="1" applyFill="1" applyAlignment="1">
      <alignment wrapText="1"/>
    </xf>
    <xf numFmtId="0" fontId="6" fillId="9" borderId="0" xfId="0" applyFont="1" applyFill="1" applyAlignment="1">
      <alignment horizontal="left"/>
    </xf>
    <xf numFmtId="0" fontId="24" fillId="9" borderId="0" xfId="0" applyFont="1" applyFill="1"/>
    <xf numFmtId="0" fontId="0" fillId="9" borderId="0" xfId="0" applyFill="1" applyAlignment="1">
      <alignment vertical="center" wrapText="1"/>
    </xf>
    <xf numFmtId="0" fontId="17" fillId="9" borderId="0" xfId="0" applyFont="1" applyFill="1" applyAlignment="1">
      <alignment wrapText="1"/>
    </xf>
    <xf numFmtId="2" fontId="2" fillId="5" borderId="0" xfId="0" applyNumberFormat="1" applyFont="1" applyFill="1"/>
    <xf numFmtId="164" fontId="2" fillId="5" borderId="0" xfId="0" applyNumberFormat="1" applyFont="1" applyFill="1"/>
    <xf numFmtId="0" fontId="6" fillId="9" borderId="0" xfId="0" applyFont="1" applyFill="1" applyAlignment="1" applyProtection="1">
      <alignment wrapText="1"/>
      <protection hidden="1"/>
    </xf>
    <xf numFmtId="0" fontId="6" fillId="9" borderId="0" xfId="0" quotePrefix="1" applyFont="1" applyFill="1" applyAlignment="1" applyProtection="1">
      <alignment wrapText="1"/>
      <protection hidden="1"/>
    </xf>
    <xf numFmtId="0" fontId="2" fillId="5" borderId="0" xfId="0" applyFont="1" applyFill="1" applyAlignment="1">
      <alignment horizontal="right"/>
    </xf>
    <xf numFmtId="0" fontId="16" fillId="5" borderId="0" xfId="0" applyFont="1" applyFill="1" applyAlignment="1">
      <alignment horizontal="right"/>
    </xf>
    <xf numFmtId="0" fontId="16" fillId="5" borderId="0" xfId="0" applyFont="1" applyFill="1" applyAlignment="1">
      <alignment vertical="top"/>
    </xf>
    <xf numFmtId="165" fontId="16" fillId="5" borderId="0" xfId="0" applyNumberFormat="1" applyFont="1" applyFill="1" applyAlignment="1">
      <alignment horizontal="center"/>
    </xf>
    <xf numFmtId="165" fontId="35" fillId="5" borderId="0" xfId="0" applyNumberFormat="1" applyFont="1" applyFill="1" applyAlignment="1">
      <alignment horizontal="center"/>
    </xf>
    <xf numFmtId="165" fontId="6" fillId="5" borderId="0" xfId="0" applyNumberFormat="1" applyFont="1" applyFill="1" applyAlignment="1">
      <alignment horizontal="right"/>
    </xf>
    <xf numFmtId="0" fontId="6" fillId="5" borderId="10" xfId="0" applyFont="1" applyFill="1" applyBorder="1"/>
    <xf numFmtId="0" fontId="6" fillId="10" borderId="10" xfId="0" applyFont="1" applyFill="1" applyBorder="1"/>
    <xf numFmtId="167" fontId="6" fillId="10" borderId="10" xfId="0" applyNumberFormat="1" applyFont="1" applyFill="1" applyBorder="1"/>
    <xf numFmtId="165" fontId="6" fillId="10" borderId="9" xfId="0" applyNumberFormat="1" applyFont="1" applyFill="1" applyBorder="1"/>
    <xf numFmtId="165" fontId="16" fillId="10" borderId="9" xfId="0" applyNumberFormat="1" applyFont="1" applyFill="1" applyBorder="1" applyAlignment="1">
      <alignment horizontal="right"/>
    </xf>
    <xf numFmtId="0" fontId="6" fillId="10" borderId="9" xfId="0" applyFont="1" applyFill="1" applyBorder="1" applyProtection="1">
      <protection locked="0"/>
    </xf>
    <xf numFmtId="0" fontId="0" fillId="0" borderId="0" xfId="0" applyAlignment="1">
      <alignment horizontal="left"/>
    </xf>
    <xf numFmtId="0" fontId="6" fillId="5" borderId="0" xfId="0" applyFont="1" applyFill="1" applyAlignment="1">
      <alignment horizontal="left"/>
    </xf>
    <xf numFmtId="165" fontId="23" fillId="0" borderId="0" xfId="0" applyNumberFormat="1" applyFont="1" applyAlignment="1">
      <alignment horizontal="center"/>
    </xf>
    <xf numFmtId="0" fontId="6" fillId="3" borderId="9" xfId="0" applyFont="1" applyFill="1" applyBorder="1" applyAlignment="1">
      <alignment horizontal="right"/>
    </xf>
    <xf numFmtId="0" fontId="16" fillId="3" borderId="9" xfId="0" applyFont="1" applyFill="1" applyBorder="1"/>
    <xf numFmtId="167" fontId="6" fillId="10" borderId="10" xfId="0" applyNumberFormat="1" applyFont="1" applyFill="1" applyBorder="1" applyAlignment="1">
      <alignment horizontal="right" vertical="center"/>
    </xf>
    <xf numFmtId="167" fontId="6" fillId="10" borderId="10" xfId="0" applyNumberFormat="1" applyFont="1" applyFill="1" applyBorder="1" applyAlignment="1">
      <alignment vertical="center"/>
    </xf>
    <xf numFmtId="169" fontId="6" fillId="6" borderId="0" xfId="1" applyNumberFormat="1" applyFont="1" applyFill="1"/>
    <xf numFmtId="0" fontId="6" fillId="5" borderId="0" xfId="0" quotePrefix="1" applyFont="1" applyFill="1"/>
    <xf numFmtId="0" fontId="19" fillId="9" borderId="0" xfId="0" applyFont="1" applyFill="1"/>
    <xf numFmtId="0" fontId="35" fillId="5" borderId="0" xfId="0" applyFont="1" applyFill="1"/>
    <xf numFmtId="0" fontId="6" fillId="5" borderId="0" xfId="0" applyFont="1" applyFill="1" applyAlignment="1">
      <alignment horizontal="right"/>
    </xf>
    <xf numFmtId="0" fontId="16" fillId="5" borderId="0" xfId="0" quotePrefix="1" applyFont="1" applyFill="1" applyAlignment="1">
      <alignment horizontal="left" wrapText="1"/>
    </xf>
    <xf numFmtId="3" fontId="6" fillId="6" borderId="0" xfId="0" quotePrefix="1" applyNumberFormat="1" applyFont="1" applyFill="1" applyAlignment="1" applyProtection="1">
      <alignment horizontal="center"/>
      <protection hidden="1"/>
    </xf>
    <xf numFmtId="0" fontId="45" fillId="5" borderId="0" xfId="0" applyFont="1" applyFill="1"/>
    <xf numFmtId="0" fontId="46" fillId="0" borderId="0" xfId="0" applyFont="1"/>
    <xf numFmtId="0" fontId="47" fillId="0" borderId="0" xfId="0" applyFont="1"/>
    <xf numFmtId="0" fontId="47" fillId="5" borderId="0" xfId="0" applyFont="1" applyFill="1"/>
    <xf numFmtId="0" fontId="48" fillId="5" borderId="0" xfId="0" applyFont="1" applyFill="1"/>
    <xf numFmtId="4" fontId="16" fillId="6" borderId="0" xfId="0" applyNumberFormat="1" applyFont="1" applyFill="1"/>
    <xf numFmtId="0" fontId="40" fillId="11" borderId="0" xfId="0" applyFont="1" applyFill="1"/>
    <xf numFmtId="3" fontId="6" fillId="6" borderId="0" xfId="0" applyNumberFormat="1" applyFont="1" applyFill="1"/>
    <xf numFmtId="0" fontId="0" fillId="0" borderId="13" xfId="0" applyBorder="1"/>
    <xf numFmtId="0" fontId="6" fillId="5" borderId="14" xfId="0" applyFont="1" applyFill="1" applyBorder="1"/>
    <xf numFmtId="0" fontId="0" fillId="0" borderId="13" xfId="0" applyBorder="1" applyAlignment="1">
      <alignment horizontal="right"/>
    </xf>
    <xf numFmtId="0" fontId="0" fillId="5" borderId="15" xfId="0" applyFill="1" applyBorder="1"/>
    <xf numFmtId="0" fontId="37" fillId="9" borderId="0" xfId="0" applyFont="1" applyFill="1"/>
    <xf numFmtId="0" fontId="16" fillId="9" borderId="0" xfId="0" applyFont="1" applyFill="1"/>
    <xf numFmtId="0" fontId="18" fillId="5" borderId="0" xfId="0" applyFont="1" applyFill="1" applyAlignment="1">
      <alignment horizontal="center" wrapText="1"/>
    </xf>
    <xf numFmtId="0" fontId="6" fillId="0" borderId="0" xfId="0" quotePrefix="1" applyFont="1"/>
    <xf numFmtId="165" fontId="6" fillId="6" borderId="0" xfId="0" quotePrefix="1" applyNumberFormat="1" applyFont="1" applyFill="1" applyAlignment="1">
      <alignment horizontal="center"/>
    </xf>
    <xf numFmtId="0" fontId="2" fillId="5" borderId="0" xfId="0" applyFont="1" applyFill="1" applyAlignment="1">
      <alignment horizontal="left" vertical="center" wrapText="1"/>
    </xf>
    <xf numFmtId="0" fontId="37" fillId="6" borderId="0" xfId="0" applyFont="1" applyFill="1" applyAlignment="1">
      <alignment horizontal="center" vertical="center" wrapText="1"/>
    </xf>
    <xf numFmtId="0" fontId="6" fillId="9" borderId="0" xfId="0" applyFont="1" applyFill="1" applyAlignment="1">
      <alignment horizontal="left" indent="21"/>
    </xf>
    <xf numFmtId="165" fontId="16" fillId="9" borderId="0" xfId="0" applyNumberFormat="1" applyFont="1" applyFill="1" applyAlignment="1">
      <alignment horizontal="right"/>
    </xf>
    <xf numFmtId="0" fontId="6" fillId="0" borderId="5" xfId="0" applyFont="1" applyBorder="1"/>
    <xf numFmtId="0" fontId="6" fillId="5" borderId="5" xfId="0" applyFont="1" applyFill="1" applyBorder="1"/>
    <xf numFmtId="0" fontId="6" fillId="5" borderId="4" xfId="0" applyFont="1" applyFill="1" applyBorder="1"/>
    <xf numFmtId="0" fontId="6" fillId="0" borderId="6" xfId="0" applyFont="1" applyBorder="1"/>
    <xf numFmtId="0" fontId="6" fillId="0" borderId="7" xfId="0" applyFont="1" applyBorder="1"/>
    <xf numFmtId="0" fontId="6" fillId="0" borderId="8" xfId="0" applyFont="1" applyBorder="1"/>
    <xf numFmtId="0" fontId="6" fillId="9" borderId="0" xfId="0" quotePrefix="1" applyFont="1" applyFill="1"/>
    <xf numFmtId="0" fontId="6" fillId="9" borderId="9" xfId="0" applyFont="1" applyFill="1" applyBorder="1" applyAlignment="1">
      <alignment horizontal="left"/>
    </xf>
    <xf numFmtId="0" fontId="6" fillId="12" borderId="9" xfId="0" applyFont="1" applyFill="1" applyBorder="1"/>
    <xf numFmtId="165" fontId="6" fillId="12" borderId="9" xfId="0" applyNumberFormat="1" applyFont="1" applyFill="1" applyBorder="1" applyAlignment="1">
      <alignment horizontal="center"/>
    </xf>
    <xf numFmtId="165" fontId="6" fillId="5" borderId="9" xfId="0" applyNumberFormat="1" applyFont="1" applyFill="1" applyBorder="1"/>
    <xf numFmtId="165" fontId="18" fillId="9" borderId="0" xfId="0" applyNumberFormat="1" applyFont="1" applyFill="1"/>
    <xf numFmtId="0" fontId="41" fillId="0" borderId="0" xfId="0" applyFont="1"/>
    <xf numFmtId="0" fontId="39" fillId="9" borderId="0" xfId="0" applyFont="1" applyFill="1"/>
    <xf numFmtId="0" fontId="39" fillId="9" borderId="0" xfId="0" quotePrefix="1" applyFont="1" applyFill="1"/>
    <xf numFmtId="0" fontId="27" fillId="9" borderId="0" xfId="0" applyFont="1" applyFill="1"/>
    <xf numFmtId="3" fontId="6" fillId="9" borderId="0" xfId="0" applyNumberFormat="1" applyFont="1" applyFill="1"/>
    <xf numFmtId="3" fontId="16" fillId="6" borderId="0" xfId="0" applyNumberFormat="1" applyFont="1" applyFill="1"/>
    <xf numFmtId="168" fontId="16" fillId="6" borderId="0" xfId="0" applyNumberFormat="1" applyFont="1" applyFill="1"/>
    <xf numFmtId="4" fontId="16" fillId="9" borderId="0" xfId="0" applyNumberFormat="1" applyFont="1" applyFill="1"/>
    <xf numFmtId="2" fontId="6" fillId="9" borderId="0" xfId="0" applyNumberFormat="1" applyFont="1" applyFill="1"/>
    <xf numFmtId="166" fontId="6" fillId="9" borderId="0" xfId="0" applyNumberFormat="1" applyFont="1" applyFill="1" applyAlignment="1">
      <alignment horizontal="right"/>
    </xf>
    <xf numFmtId="169" fontId="6" fillId="9" borderId="0" xfId="1" applyNumberFormat="1" applyFont="1" applyFill="1"/>
    <xf numFmtId="0" fontId="18" fillId="9" borderId="0" xfId="0" applyFont="1" applyFill="1"/>
    <xf numFmtId="165" fontId="6" fillId="0" borderId="0" xfId="0" applyNumberFormat="1" applyFont="1"/>
    <xf numFmtId="165" fontId="6" fillId="9" borderId="0" xfId="0" applyNumberFormat="1" applyFont="1" applyFill="1" applyAlignment="1">
      <alignment horizontal="center"/>
    </xf>
    <xf numFmtId="165" fontId="6" fillId="6" borderId="0" xfId="0" quotePrefix="1" applyNumberFormat="1" applyFont="1" applyFill="1" applyAlignment="1">
      <alignment horizontal="left"/>
    </xf>
    <xf numFmtId="0" fontId="6" fillId="8" borderId="0" xfId="0" quotePrefix="1" applyFont="1" applyFill="1"/>
    <xf numFmtId="169" fontId="6" fillId="8" borderId="0" xfId="1" applyNumberFormat="1" applyFont="1" applyFill="1"/>
    <xf numFmtId="0" fontId="45" fillId="9" borderId="0" xfId="0" applyFont="1" applyFill="1"/>
    <xf numFmtId="0" fontId="46" fillId="9" borderId="0" xfId="0" applyFont="1" applyFill="1"/>
    <xf numFmtId="0" fontId="47" fillId="9" borderId="0" xfId="0" applyFont="1" applyFill="1"/>
    <xf numFmtId="0" fontId="0" fillId="0" borderId="12" xfId="0" applyBorder="1" applyAlignment="1" applyProtection="1">
      <alignment vertical="top"/>
      <protection hidden="1"/>
    </xf>
    <xf numFmtId="0" fontId="0" fillId="5" borderId="12" xfId="0" applyFill="1" applyBorder="1" applyAlignment="1">
      <alignment vertical="top"/>
    </xf>
    <xf numFmtId="0" fontId="0" fillId="5" borderId="0" xfId="0" applyFill="1" applyAlignment="1">
      <alignment vertical="top"/>
    </xf>
    <xf numFmtId="0" fontId="0" fillId="5" borderId="11" xfId="0" applyFill="1" applyBorder="1" applyAlignment="1">
      <alignment horizontal="left" vertical="top"/>
    </xf>
    <xf numFmtId="2" fontId="19" fillId="9" borderId="0" xfId="0" applyNumberFormat="1" applyFont="1" applyFill="1"/>
    <xf numFmtId="0" fontId="51" fillId="5" borderId="1" xfId="0" applyFont="1" applyFill="1" applyBorder="1"/>
    <xf numFmtId="0" fontId="6" fillId="5" borderId="2" xfId="0" applyFont="1" applyFill="1" applyBorder="1"/>
    <xf numFmtId="0" fontId="6" fillId="5" borderId="3" xfId="0" applyFont="1" applyFill="1" applyBorder="1"/>
    <xf numFmtId="0" fontId="6" fillId="5" borderId="6" xfId="0" applyFont="1" applyFill="1" applyBorder="1"/>
    <xf numFmtId="0" fontId="16" fillId="5" borderId="4" xfId="0" applyFont="1" applyFill="1" applyBorder="1"/>
    <xf numFmtId="164" fontId="6" fillId="9" borderId="0" xfId="0" applyNumberFormat="1" applyFont="1" applyFill="1"/>
    <xf numFmtId="1" fontId="6" fillId="9" borderId="0" xfId="0" applyNumberFormat="1" applyFont="1" applyFill="1"/>
    <xf numFmtId="0" fontId="6" fillId="5" borderId="6" xfId="0" quotePrefix="1" applyFont="1" applyFill="1" applyBorder="1"/>
    <xf numFmtId="0" fontId="6" fillId="5" borderId="7" xfId="0" applyFont="1" applyFill="1" applyBorder="1"/>
    <xf numFmtId="0" fontId="6" fillId="5" borderId="8" xfId="0" applyFont="1" applyFill="1" applyBorder="1"/>
    <xf numFmtId="0" fontId="6" fillId="5" borderId="12" xfId="0" applyFont="1" applyFill="1" applyBorder="1"/>
    <xf numFmtId="0" fontId="35" fillId="9" borderId="0" xfId="0" applyFont="1" applyFill="1"/>
    <xf numFmtId="4" fontId="16" fillId="5" borderId="17" xfId="0" applyNumberFormat="1" applyFont="1" applyFill="1" applyBorder="1"/>
    <xf numFmtId="0" fontId="6" fillId="12" borderId="10" xfId="0" applyFont="1" applyFill="1" applyBorder="1"/>
    <xf numFmtId="0" fontId="6" fillId="5" borderId="18" xfId="0" applyFont="1" applyFill="1" applyBorder="1"/>
    <xf numFmtId="0" fontId="6" fillId="5" borderId="17" xfId="0" applyFont="1" applyFill="1" applyBorder="1"/>
    <xf numFmtId="164" fontId="6" fillId="5" borderId="18" xfId="0" applyNumberFormat="1" applyFont="1" applyFill="1" applyBorder="1"/>
    <xf numFmtId="164" fontId="6" fillId="5" borderId="17" xfId="0" applyNumberFormat="1" applyFont="1" applyFill="1" applyBorder="1"/>
    <xf numFmtId="0" fontId="6" fillId="5" borderId="16" xfId="0" applyFont="1" applyFill="1" applyBorder="1"/>
    <xf numFmtId="164" fontId="6" fillId="5" borderId="16" xfId="0" applyNumberFormat="1" applyFont="1" applyFill="1" applyBorder="1" applyAlignment="1">
      <alignment horizontal="right"/>
    </xf>
    <xf numFmtId="167" fontId="6" fillId="9" borderId="10" xfId="0" applyNumberFormat="1" applyFont="1" applyFill="1" applyBorder="1" applyAlignment="1">
      <alignment horizontal="center" vertical="top"/>
    </xf>
    <xf numFmtId="3" fontId="6" fillId="6" borderId="0" xfId="0" quotePrefix="1" applyNumberFormat="1" applyFont="1" applyFill="1"/>
    <xf numFmtId="0" fontId="6" fillId="9" borderId="0" xfId="1" applyNumberFormat="1" applyFont="1" applyFill="1"/>
    <xf numFmtId="0" fontId="6" fillId="13" borderId="9" xfId="0" applyFont="1" applyFill="1" applyBorder="1"/>
    <xf numFmtId="0" fontId="16" fillId="13" borderId="9" xfId="0" applyFont="1" applyFill="1" applyBorder="1"/>
    <xf numFmtId="0" fontId="16" fillId="13" borderId="10" xfId="0" applyFont="1" applyFill="1" applyBorder="1"/>
    <xf numFmtId="0" fontId="16" fillId="13" borderId="11" xfId="0" applyFont="1" applyFill="1" applyBorder="1"/>
    <xf numFmtId="0" fontId="16" fillId="13" borderId="12" xfId="0" applyFont="1" applyFill="1" applyBorder="1"/>
    <xf numFmtId="0" fontId="6" fillId="5" borderId="9" xfId="0" applyFont="1" applyFill="1" applyBorder="1"/>
    <xf numFmtId="171" fontId="16" fillId="6" borderId="17" xfId="0" applyNumberFormat="1" applyFont="1" applyFill="1" applyBorder="1"/>
    <xf numFmtId="171" fontId="16" fillId="5" borderId="9" xfId="0" applyNumberFormat="1" applyFont="1" applyFill="1" applyBorder="1"/>
    <xf numFmtId="3" fontId="16" fillId="5" borderId="16" xfId="0" applyNumberFormat="1" applyFont="1" applyFill="1" applyBorder="1"/>
    <xf numFmtId="3" fontId="6" fillId="10" borderId="9" xfId="0" applyNumberFormat="1" applyFont="1" applyFill="1" applyBorder="1"/>
    <xf numFmtId="0" fontId="53" fillId="5" borderId="0" xfId="0" applyFont="1" applyFill="1"/>
    <xf numFmtId="0" fontId="53" fillId="9" borderId="0" xfId="0" applyFont="1" applyFill="1"/>
    <xf numFmtId="0" fontId="54" fillId="9" borderId="0" xfId="0" applyFont="1" applyFill="1"/>
    <xf numFmtId="0" fontId="13" fillId="5" borderId="0" xfId="0" applyFont="1" applyFill="1"/>
    <xf numFmtId="0" fontId="6" fillId="10" borderId="10" xfId="0" applyFont="1" applyFill="1" applyBorder="1" applyAlignment="1">
      <alignment horizontal="center"/>
    </xf>
    <xf numFmtId="1" fontId="6" fillId="6" borderId="0" xfId="1" applyNumberFormat="1" applyFont="1" applyFill="1"/>
    <xf numFmtId="3" fontId="6" fillId="5" borderId="9" xfId="0" applyNumberFormat="1" applyFont="1" applyFill="1" applyBorder="1"/>
    <xf numFmtId="1" fontId="6" fillId="5" borderId="9" xfId="0" applyNumberFormat="1" applyFont="1" applyFill="1" applyBorder="1"/>
    <xf numFmtId="164" fontId="6" fillId="5" borderId="9" xfId="0" applyNumberFormat="1" applyFont="1" applyFill="1" applyBorder="1"/>
    <xf numFmtId="0" fontId="6" fillId="13" borderId="9" xfId="0" applyFont="1" applyFill="1" applyBorder="1" applyAlignment="1" applyProtection="1">
      <alignment horizontal="center"/>
      <protection hidden="1"/>
    </xf>
    <xf numFmtId="0" fontId="6" fillId="13" borderId="16" xfId="0" applyFont="1" applyFill="1" applyBorder="1" applyAlignment="1" applyProtection="1">
      <alignment wrapText="1"/>
      <protection hidden="1"/>
    </xf>
    <xf numFmtId="0" fontId="55" fillId="2" borderId="0" xfId="0" applyFont="1" applyFill="1"/>
    <xf numFmtId="0" fontId="54" fillId="2" borderId="0" xfId="0" applyFont="1" applyFill="1"/>
    <xf numFmtId="3" fontId="6" fillId="10" borderId="10" xfId="0" applyNumberFormat="1" applyFont="1" applyFill="1" applyBorder="1"/>
    <xf numFmtId="0" fontId="6" fillId="0" borderId="12" xfId="0" applyFont="1" applyBorder="1"/>
    <xf numFmtId="4" fontId="6" fillId="10" borderId="6" xfId="0" applyNumberFormat="1" applyFont="1" applyFill="1" applyBorder="1"/>
    <xf numFmtId="4" fontId="6" fillId="10" borderId="10" xfId="0" applyNumberFormat="1" applyFont="1" applyFill="1" applyBorder="1"/>
    <xf numFmtId="170" fontId="6" fillId="10" borderId="10" xfId="0" applyNumberFormat="1" applyFont="1" applyFill="1" applyBorder="1"/>
    <xf numFmtId="3" fontId="6" fillId="10" borderId="4" xfId="0" applyNumberFormat="1" applyFont="1" applyFill="1" applyBorder="1"/>
    <xf numFmtId="0" fontId="24" fillId="9" borderId="0" xfId="0" applyFont="1" applyFill="1" applyAlignment="1">
      <alignment vertical="center"/>
    </xf>
    <xf numFmtId="0" fontId="0" fillId="9" borderId="0" xfId="0" applyFill="1" applyAlignment="1">
      <alignment vertical="center"/>
    </xf>
    <xf numFmtId="0" fontId="1" fillId="9" borderId="0" xfId="0" applyFont="1" applyFill="1" applyAlignment="1">
      <alignment vertical="center"/>
    </xf>
    <xf numFmtId="0" fontId="15" fillId="9" borderId="0" xfId="0" applyFont="1" applyFill="1" applyAlignment="1">
      <alignment vertical="center"/>
    </xf>
    <xf numFmtId="0" fontId="6" fillId="9" borderId="0" xfId="0" applyFont="1" applyFill="1" applyAlignment="1">
      <alignment vertical="center"/>
    </xf>
    <xf numFmtId="0" fontId="14" fillId="9" borderId="0" xfId="0" applyFont="1" applyFill="1" applyAlignment="1">
      <alignment horizontal="left" vertical="center"/>
    </xf>
    <xf numFmtId="0" fontId="30" fillId="9" borderId="0" xfId="0" applyFont="1" applyFill="1" applyAlignment="1">
      <alignment vertical="center"/>
    </xf>
    <xf numFmtId="0" fontId="0" fillId="14" borderId="10" xfId="0" applyFill="1" applyBorder="1" applyAlignment="1">
      <alignment vertical="center"/>
    </xf>
    <xf numFmtId="3" fontId="6" fillId="14" borderId="12" xfId="0" applyNumberFormat="1" applyFont="1" applyFill="1" applyBorder="1" applyAlignment="1">
      <alignment horizontal="center" vertical="center"/>
    </xf>
    <xf numFmtId="0" fontId="24" fillId="9" borderId="0" xfId="0" applyFont="1" applyFill="1" applyAlignment="1">
      <alignment horizontal="left" vertical="center" wrapText="1"/>
    </xf>
    <xf numFmtId="0" fontId="15" fillId="5" borderId="0" xfId="0" applyFont="1" applyFill="1" applyAlignment="1">
      <alignment vertical="center"/>
    </xf>
    <xf numFmtId="172" fontId="6" fillId="6" borderId="0" xfId="1" applyNumberFormat="1" applyFont="1" applyFill="1"/>
    <xf numFmtId="167" fontId="6" fillId="0" borderId="0" xfId="0" applyNumberFormat="1" applyFont="1"/>
    <xf numFmtId="173" fontId="6" fillId="10" borderId="10" xfId="0" applyNumberFormat="1" applyFont="1" applyFill="1" applyBorder="1" applyAlignment="1">
      <alignment vertical="center"/>
    </xf>
    <xf numFmtId="0" fontId="58" fillId="9" borderId="0" xfId="0" applyFont="1" applyFill="1"/>
    <xf numFmtId="0" fontId="23" fillId="9" borderId="0" xfId="0" applyFont="1" applyFill="1"/>
    <xf numFmtId="3" fontId="6" fillId="6" borderId="0" xfId="1" applyNumberFormat="1" applyFont="1" applyFill="1"/>
    <xf numFmtId="0" fontId="16" fillId="5" borderId="0" xfId="0" applyFont="1" applyFill="1" applyAlignment="1">
      <alignment horizontal="left" vertical="center"/>
    </xf>
    <xf numFmtId="0" fontId="6" fillId="5" borderId="12" xfId="0" applyFont="1" applyFill="1" applyBorder="1" applyAlignment="1">
      <alignment vertical="center"/>
    </xf>
    <xf numFmtId="165" fontId="6" fillId="15" borderId="9" xfId="0" applyNumberFormat="1" applyFont="1" applyFill="1" applyBorder="1" applyAlignment="1">
      <alignment wrapText="1"/>
    </xf>
    <xf numFmtId="165" fontId="16" fillId="16" borderId="9" xfId="0" applyNumberFormat="1" applyFont="1" applyFill="1" applyBorder="1" applyAlignment="1">
      <alignment horizontal="right"/>
    </xf>
    <xf numFmtId="0" fontId="0" fillId="5" borderId="0" xfId="0" applyFill="1" applyAlignment="1">
      <alignment horizontal="left" vertical="top"/>
    </xf>
    <xf numFmtId="167" fontId="0" fillId="5" borderId="0" xfId="0" applyNumberFormat="1" applyFill="1" applyAlignment="1">
      <alignment horizontal="center" vertical="top"/>
    </xf>
    <xf numFmtId="0" fontId="38" fillId="4" borderId="0" xfId="0" applyFont="1" applyFill="1" applyAlignment="1">
      <alignment horizontal="left" vertical="top" wrapText="1"/>
    </xf>
    <xf numFmtId="0" fontId="0" fillId="5" borderId="9" xfId="0" applyFill="1" applyBorder="1" applyAlignment="1">
      <alignment horizontal="left" vertical="top"/>
    </xf>
    <xf numFmtId="165" fontId="6" fillId="15" borderId="9" xfId="0" applyNumberFormat="1" applyFont="1" applyFill="1" applyBorder="1" applyAlignment="1">
      <alignment horizontal="center" wrapText="1"/>
    </xf>
    <xf numFmtId="0" fontId="60" fillId="9" borderId="0" xfId="0" applyFont="1" applyFill="1"/>
    <xf numFmtId="0" fontId="6" fillId="10" borderId="10" xfId="0" applyFont="1" applyFill="1" applyBorder="1" applyAlignment="1">
      <alignment horizontal="right"/>
    </xf>
    <xf numFmtId="0" fontId="6" fillId="10" borderId="10" xfId="0" applyFont="1" applyFill="1" applyBorder="1" applyAlignment="1">
      <alignment horizontal="right" vertical="center"/>
    </xf>
    <xf numFmtId="0" fontId="24" fillId="16" borderId="9" xfId="0" applyFont="1" applyFill="1" applyBorder="1"/>
    <xf numFmtId="0" fontId="41" fillId="9" borderId="0" xfId="0" applyFont="1" applyFill="1" applyAlignment="1">
      <alignment vertical="top"/>
    </xf>
    <xf numFmtId="4" fontId="6" fillId="10" borderId="4" xfId="0" applyNumberFormat="1" applyFont="1" applyFill="1" applyBorder="1"/>
    <xf numFmtId="0" fontId="18" fillId="5" borderId="0" xfId="0" applyFont="1" applyFill="1" applyAlignment="1">
      <alignment wrapText="1"/>
    </xf>
    <xf numFmtId="165" fontId="6" fillId="6" borderId="7" xfId="0" applyNumberFormat="1" applyFont="1" applyFill="1" applyBorder="1" applyAlignment="1">
      <alignment horizontal="center"/>
    </xf>
    <xf numFmtId="167" fontId="0" fillId="9" borderId="10" xfId="0" applyNumberFormat="1" applyFill="1" applyBorder="1" applyAlignment="1">
      <alignment horizontal="center" vertical="top"/>
    </xf>
    <xf numFmtId="173" fontId="0" fillId="9" borderId="9" xfId="0" applyNumberFormat="1" applyFill="1" applyBorder="1" applyAlignment="1">
      <alignment horizontal="center" vertical="top"/>
    </xf>
    <xf numFmtId="0" fontId="59" fillId="5" borderId="0" xfId="0" applyFont="1" applyFill="1"/>
    <xf numFmtId="0" fontId="19" fillId="5" borderId="0" xfId="0" applyFont="1" applyFill="1" applyAlignment="1" applyProtection="1">
      <alignment horizontal="left" wrapText="1"/>
      <protection hidden="1"/>
    </xf>
    <xf numFmtId="3" fontId="6" fillId="6" borderId="0" xfId="1" applyNumberFormat="1" applyFont="1" applyFill="1" applyAlignment="1">
      <alignment vertical="center"/>
    </xf>
    <xf numFmtId="0" fontId="6" fillId="0" borderId="0" xfId="0" applyFont="1" applyAlignment="1">
      <alignment vertical="center"/>
    </xf>
    <xf numFmtId="0" fontId="16" fillId="8" borderId="0" xfId="0" applyFont="1" applyFill="1" applyAlignment="1">
      <alignment horizontal="center"/>
    </xf>
    <xf numFmtId="0" fontId="6" fillId="13" borderId="9" xfId="0" applyFont="1" applyFill="1" applyBorder="1" applyAlignment="1">
      <alignment wrapText="1"/>
    </xf>
    <xf numFmtId="174" fontId="6" fillId="9" borderId="0" xfId="1" applyNumberFormat="1" applyFont="1" applyFill="1" applyAlignment="1">
      <alignment horizontal="right"/>
    </xf>
    <xf numFmtId="165" fontId="6" fillId="6" borderId="0" xfId="0" applyNumberFormat="1" applyFont="1" applyFill="1" applyAlignment="1">
      <alignment horizontal="center" vertical="center"/>
    </xf>
    <xf numFmtId="0" fontId="61" fillId="7" borderId="0" xfId="0" applyFont="1" applyFill="1"/>
    <xf numFmtId="0" fontId="36" fillId="2" borderId="0" xfId="0" applyFont="1" applyFill="1" applyAlignment="1" applyProtection="1">
      <alignment horizontal="center" wrapText="1"/>
      <protection hidden="1"/>
    </xf>
    <xf numFmtId="3" fontId="27" fillId="9" borderId="0" xfId="0" applyNumberFormat="1" applyFont="1" applyFill="1" applyAlignment="1">
      <alignment horizontal="center" vertical="center"/>
    </xf>
    <xf numFmtId="0" fontId="16" fillId="9" borderId="0" xfId="0" applyFont="1" applyFill="1" applyAlignment="1">
      <alignment vertical="center"/>
    </xf>
    <xf numFmtId="0" fontId="23" fillId="2" borderId="0" xfId="0" applyFont="1" applyFill="1" applyAlignment="1" applyProtection="1">
      <alignment wrapText="1"/>
      <protection hidden="1"/>
    </xf>
    <xf numFmtId="0" fontId="18" fillId="5" borderId="0" xfId="0" applyFont="1" applyFill="1" applyAlignment="1">
      <alignment vertical="center" wrapText="1"/>
    </xf>
    <xf numFmtId="0" fontId="62" fillId="5" borderId="0" xfId="0" applyFont="1" applyFill="1" applyAlignment="1" applyProtection="1">
      <alignment wrapText="1"/>
      <protection hidden="1"/>
    </xf>
    <xf numFmtId="0" fontId="62" fillId="5" borderId="0" xfId="0" applyFont="1" applyFill="1" applyAlignment="1" applyProtection="1">
      <alignment vertical="center" wrapText="1"/>
      <protection hidden="1"/>
    </xf>
    <xf numFmtId="3" fontId="27" fillId="6" borderId="0" xfId="0" applyNumberFormat="1" applyFont="1" applyFill="1" applyAlignment="1">
      <alignment horizontal="center" vertical="center"/>
    </xf>
    <xf numFmtId="0" fontId="10" fillId="19" borderId="4" xfId="0" applyFont="1" applyFill="1" applyBorder="1" applyAlignment="1">
      <alignment horizontal="center" vertical="center" wrapText="1"/>
    </xf>
    <xf numFmtId="0" fontId="10" fillId="19" borderId="0"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0" xfId="0" applyFont="1" applyFill="1" applyAlignment="1">
      <alignment horizontal="center" vertical="center" wrapText="1"/>
    </xf>
    <xf numFmtId="0" fontId="7" fillId="20"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10" fillId="18" borderId="4" xfId="0" applyFont="1" applyFill="1" applyBorder="1" applyAlignment="1">
      <alignment horizontal="left" vertical="center" wrapText="1"/>
    </xf>
    <xf numFmtId="0" fontId="7" fillId="18" borderId="0" xfId="0" applyFont="1" applyFill="1" applyAlignment="1">
      <alignment horizontal="left" vertical="center" wrapText="1"/>
    </xf>
    <xf numFmtId="0" fontId="7" fillId="18" borderId="5" xfId="0" applyFont="1" applyFill="1" applyBorder="1" applyAlignment="1">
      <alignment horizontal="left" vertical="center" wrapText="1"/>
    </xf>
    <xf numFmtId="0" fontId="7" fillId="18" borderId="6" xfId="0" applyFont="1" applyFill="1" applyBorder="1" applyAlignment="1">
      <alignment horizontal="left" vertical="center" wrapText="1"/>
    </xf>
    <xf numFmtId="0" fontId="7" fillId="18" borderId="7" xfId="0" applyFont="1" applyFill="1" applyBorder="1" applyAlignment="1">
      <alignment horizontal="left" vertical="center" wrapText="1"/>
    </xf>
    <xf numFmtId="0" fontId="7" fillId="18" borderId="8" xfId="0" applyFont="1" applyFill="1" applyBorder="1" applyAlignment="1">
      <alignment horizontal="left" vertical="center" wrapText="1"/>
    </xf>
    <xf numFmtId="0" fontId="8" fillId="2" borderId="9" xfId="0" applyFont="1" applyFill="1" applyBorder="1" applyAlignment="1">
      <alignment horizontal="center" vertical="top" wrapText="1"/>
    </xf>
    <xf numFmtId="0" fontId="7" fillId="18" borderId="4" xfId="0" applyFont="1" applyFill="1" applyBorder="1" applyAlignment="1">
      <alignment horizontal="left" vertical="center" wrapText="1"/>
    </xf>
    <xf numFmtId="0" fontId="8" fillId="2" borderId="0" xfId="0" applyFont="1" applyFill="1" applyBorder="1" applyAlignment="1">
      <alignment horizontal="center" vertical="top" wrapText="1"/>
    </xf>
    <xf numFmtId="0" fontId="8" fillId="2" borderId="5" xfId="0" applyFont="1" applyFill="1" applyBorder="1" applyAlignment="1">
      <alignment horizontal="center" vertical="top" wrapText="1"/>
    </xf>
    <xf numFmtId="0" fontId="7" fillId="18" borderId="0" xfId="0" applyFont="1" applyFill="1" applyAlignment="1">
      <alignment horizontal="center" vertical="center" wrapText="1"/>
    </xf>
    <xf numFmtId="0" fontId="7" fillId="18" borderId="5"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5"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5"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10" fillId="18" borderId="0" xfId="0" applyFont="1" applyFill="1" applyBorder="1" applyAlignment="1">
      <alignment horizontal="center" vertical="center" wrapText="1"/>
    </xf>
    <xf numFmtId="0" fontId="10" fillId="1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Alignment="1">
      <alignment horizontal="center"/>
    </xf>
    <xf numFmtId="0" fontId="4" fillId="2" borderId="5" xfId="0" applyFont="1" applyFill="1" applyBorder="1" applyAlignment="1">
      <alignment horizontal="center"/>
    </xf>
    <xf numFmtId="0" fontId="5" fillId="3" borderId="4" xfId="0" applyFont="1" applyFill="1" applyBorder="1" applyAlignment="1">
      <alignment horizontal="center" wrapText="1"/>
    </xf>
    <xf numFmtId="0" fontId="5" fillId="3" borderId="0" xfId="0" applyFont="1" applyFill="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horizontal="center"/>
    </xf>
    <xf numFmtId="0" fontId="5" fillId="3" borderId="0" xfId="0" applyFont="1" applyFill="1" applyAlignment="1">
      <alignment horizontal="center"/>
    </xf>
    <xf numFmtId="0" fontId="5" fillId="3" borderId="5" xfId="0" applyFont="1" applyFill="1" applyBorder="1" applyAlignment="1">
      <alignment horizontal="center"/>
    </xf>
    <xf numFmtId="0" fontId="5" fillId="3" borderId="4"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7" fillId="0" borderId="0" xfId="0" applyFont="1" applyAlignment="1">
      <alignment horizontal="left" vertical="top" wrapText="1"/>
    </xf>
    <xf numFmtId="0" fontId="0" fillId="0" borderId="9" xfId="0" applyBorder="1" applyAlignment="1" applyProtection="1">
      <alignment horizontal="left" vertical="top" wrapText="1"/>
      <protection hidden="1"/>
    </xf>
    <xf numFmtId="0" fontId="0" fillId="5" borderId="9" xfId="0" applyFill="1" applyBorder="1" applyAlignment="1" applyProtection="1">
      <alignment horizontal="center" vertical="top" wrapText="1"/>
      <protection locked="0"/>
    </xf>
    <xf numFmtId="0" fontId="0" fillId="0" borderId="0" xfId="0" applyAlignment="1" applyProtection="1">
      <alignment horizontal="left" vertical="top" wrapText="1"/>
      <protection hidden="1"/>
    </xf>
    <xf numFmtId="0" fontId="0" fillId="5" borderId="0" xfId="0" applyFill="1" applyAlignment="1" applyProtection="1">
      <alignment horizontal="center" vertical="top" wrapText="1"/>
      <protection locked="0"/>
    </xf>
    <xf numFmtId="0" fontId="24" fillId="9" borderId="4" xfId="0" applyFont="1" applyFill="1" applyBorder="1" applyAlignment="1">
      <alignment horizontal="left" vertical="center" wrapText="1"/>
    </xf>
    <xf numFmtId="0" fontId="24" fillId="9" borderId="0" xfId="0" applyFont="1" applyFill="1" applyAlignment="1">
      <alignment horizontal="left" vertical="center" wrapText="1"/>
    </xf>
    <xf numFmtId="0" fontId="59" fillId="17" borderId="9" xfId="0" applyFont="1" applyFill="1" applyBorder="1" applyAlignment="1">
      <alignment horizontal="center" wrapText="1"/>
    </xf>
    <xf numFmtId="0" fontId="0" fillId="0" borderId="10"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5" borderId="10"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0" borderId="10" xfId="0" applyBorder="1" applyAlignment="1" applyProtection="1">
      <alignment horizontal="left" vertical="top" wrapText="1"/>
      <protection locked="0" hidden="1"/>
    </xf>
    <xf numFmtId="0" fontId="0" fillId="0" borderId="12" xfId="0" applyBorder="1" applyAlignment="1" applyProtection="1">
      <alignment horizontal="left" vertical="top" wrapText="1"/>
      <protection locked="0" hidden="1"/>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4" fillId="4" borderId="10" xfId="0" applyFont="1" applyFill="1" applyBorder="1" applyAlignment="1">
      <alignment horizontal="left" wrapText="1"/>
    </xf>
    <xf numFmtId="0" fontId="34" fillId="4" borderId="11" xfId="0" applyFont="1" applyFill="1" applyBorder="1" applyAlignment="1">
      <alignment horizontal="left" wrapText="1"/>
    </xf>
    <xf numFmtId="0" fontId="34" fillId="4" borderId="12" xfId="0" applyFont="1" applyFill="1" applyBorder="1" applyAlignment="1">
      <alignment horizontal="left" wrapText="1"/>
    </xf>
    <xf numFmtId="0" fontId="34" fillId="4" borderId="10" xfId="0" applyFont="1" applyFill="1" applyBorder="1" applyAlignment="1">
      <alignment horizontal="center"/>
    </xf>
    <xf numFmtId="0" fontId="34" fillId="4" borderId="12" xfId="0" applyFont="1" applyFill="1" applyBorder="1" applyAlignment="1">
      <alignment horizontal="center"/>
    </xf>
    <xf numFmtId="0" fontId="24" fillId="9" borderId="4" xfId="0" applyFont="1" applyFill="1" applyBorder="1" applyAlignment="1">
      <alignment horizontal="left" vertical="top"/>
    </xf>
    <xf numFmtId="0" fontId="24" fillId="9" borderId="0" xfId="0" applyFont="1" applyFill="1" applyAlignment="1">
      <alignment horizontal="left" vertical="top"/>
    </xf>
    <xf numFmtId="0" fontId="2" fillId="5" borderId="0" xfId="0" applyFont="1" applyFill="1" applyAlignment="1">
      <alignment horizontal="left" vertical="center" wrapText="1"/>
    </xf>
    <xf numFmtId="0" fontId="2" fillId="5" borderId="4" xfId="0" applyFont="1" applyFill="1" applyBorder="1" applyAlignment="1">
      <alignment horizontal="left" vertical="center" wrapText="1"/>
    </xf>
    <xf numFmtId="0" fontId="6" fillId="13" borderId="16" xfId="0" applyFont="1" applyFill="1" applyBorder="1" applyAlignment="1" applyProtection="1">
      <alignment horizontal="center" wrapText="1"/>
      <protection hidden="1"/>
    </xf>
    <xf numFmtId="0" fontId="6" fillId="13" borderId="17" xfId="0" applyFont="1" applyFill="1" applyBorder="1" applyAlignment="1" applyProtection="1">
      <alignment horizontal="center" wrapText="1"/>
      <protection hidden="1"/>
    </xf>
    <xf numFmtId="0" fontId="13" fillId="2" borderId="0" xfId="0" applyFont="1" applyFill="1" applyAlignment="1" applyProtection="1">
      <alignment horizontal="center"/>
      <protection hidden="1"/>
    </xf>
    <xf numFmtId="0" fontId="19" fillId="5" borderId="0" xfId="0" applyFont="1" applyFill="1" applyAlignment="1" applyProtection="1">
      <alignment horizontal="left" wrapText="1"/>
      <protection hidden="1"/>
    </xf>
    <xf numFmtId="0" fontId="6" fillId="9" borderId="0" xfId="0" applyFont="1" applyFill="1" applyAlignment="1" applyProtection="1">
      <alignment horizontal="left" wrapText="1"/>
      <protection hidden="1"/>
    </xf>
    <xf numFmtId="0" fontId="6" fillId="9" borderId="0" xfId="0" applyFont="1" applyFill="1" applyAlignment="1">
      <alignment horizontal="center" vertical="center"/>
    </xf>
    <xf numFmtId="0" fontId="54" fillId="2" borderId="10" xfId="0" applyFont="1" applyFill="1" applyBorder="1" applyAlignment="1" applyProtection="1">
      <alignment horizontal="center"/>
      <protection hidden="1"/>
    </xf>
    <xf numFmtId="0" fontId="54" fillId="2" borderId="12" xfId="0" applyFont="1" applyFill="1" applyBorder="1" applyAlignment="1" applyProtection="1">
      <alignment horizontal="center"/>
      <protection hidden="1"/>
    </xf>
    <xf numFmtId="169" fontId="6" fillId="9" borderId="0" xfId="1" quotePrefix="1" applyNumberFormat="1" applyFont="1" applyFill="1" applyAlignment="1">
      <alignment horizontal="left" vertical="top" wrapText="1"/>
    </xf>
    <xf numFmtId="169" fontId="6" fillId="9" borderId="0" xfId="1" quotePrefix="1" applyNumberFormat="1" applyFont="1" applyFill="1" applyAlignment="1">
      <alignment horizontal="left" vertical="top"/>
    </xf>
    <xf numFmtId="0" fontId="8" fillId="2" borderId="0" xfId="0" applyFont="1" applyFill="1" applyAlignment="1">
      <alignment horizontal="center"/>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13" fillId="2" borderId="0" xfId="0" applyFont="1" applyFill="1" applyAlignment="1">
      <alignment horizontal="center"/>
    </xf>
    <xf numFmtId="0" fontId="16" fillId="6" borderId="0" xfId="0" applyFont="1" applyFill="1" applyAlignment="1">
      <alignment horizontal="right"/>
    </xf>
    <xf numFmtId="0" fontId="40" fillId="11" borderId="0" xfId="0" applyFont="1" applyFill="1" applyAlignment="1">
      <alignment horizontal="left"/>
    </xf>
  </cellXfs>
  <cellStyles count="2">
    <cellStyle name="Comma" xfId="1" builtinId="3"/>
    <cellStyle name="Normal" xfId="0" builtinId="0"/>
  </cellStyles>
  <dxfs count="1">
    <dxf>
      <font>
        <color rgb="FFC0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4" dropStyle="combo" dx="22" fmlaLink="$L$1" fmlaRange="$M$1:$M$4" noThreeD="1" sel="3"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xdr:row>
          <xdr:rowOff>285750</xdr:rowOff>
        </xdr:from>
        <xdr:to>
          <xdr:col>3</xdr:col>
          <xdr:colOff>1162050</xdr:colOff>
          <xdr:row>3</xdr:row>
          <xdr:rowOff>38100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3295650</xdr:colOff>
          <xdr:row>2</xdr:row>
          <xdr:rowOff>28575</xdr:rowOff>
        </xdr:from>
        <xdr:to>
          <xdr:col>1</xdr:col>
          <xdr:colOff>895350</xdr:colOff>
          <xdr:row>3</xdr:row>
          <xdr:rowOff>19050</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70</xdr:row>
      <xdr:rowOff>0</xdr:rowOff>
    </xdr:from>
    <xdr:to>
      <xdr:col>1</xdr:col>
      <xdr:colOff>1276350</xdr:colOff>
      <xdr:row>70</xdr:row>
      <xdr:rowOff>485775</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57850" y="15697200"/>
          <a:ext cx="1276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O29"/>
  <sheetViews>
    <sheetView showGridLines="0" topLeftCell="A8" zoomScaleNormal="100" workbookViewId="0">
      <selection activeCell="B9" sqref="B9:N9"/>
    </sheetView>
  </sheetViews>
  <sheetFormatPr defaultRowHeight="15" x14ac:dyDescent="0.25"/>
  <cols>
    <col min="1" max="1" width="4.7109375" customWidth="1"/>
    <col min="3" max="3" width="3.7109375" customWidth="1"/>
    <col min="4" max="4" width="22.42578125" customWidth="1"/>
    <col min="5" max="5" width="37.85546875" customWidth="1"/>
    <col min="13" max="13" width="34.85546875" customWidth="1"/>
    <col min="15" max="15" width="6.5703125" customWidth="1"/>
  </cols>
  <sheetData>
    <row r="1" spans="1:15" ht="23.25" x14ac:dyDescent="0.35">
      <c r="A1" s="343" t="s">
        <v>15</v>
      </c>
      <c r="B1" s="344"/>
      <c r="C1" s="344"/>
      <c r="D1" s="344"/>
      <c r="E1" s="344"/>
      <c r="F1" s="344"/>
      <c r="G1" s="344"/>
      <c r="H1" s="344"/>
      <c r="I1" s="344"/>
      <c r="J1" s="344"/>
      <c r="K1" s="344"/>
      <c r="L1" s="344"/>
      <c r="M1" s="344"/>
      <c r="N1" s="344"/>
      <c r="O1" s="345"/>
    </row>
    <row r="2" spans="1:15" ht="23.25" x14ac:dyDescent="0.35">
      <c r="A2" s="346" t="s">
        <v>229</v>
      </c>
      <c r="B2" s="347"/>
      <c r="C2" s="347"/>
      <c r="D2" s="347"/>
      <c r="E2" s="347"/>
      <c r="F2" s="347"/>
      <c r="G2" s="347"/>
      <c r="H2" s="347"/>
      <c r="I2" s="347"/>
      <c r="J2" s="347"/>
      <c r="K2" s="347"/>
      <c r="L2" s="347"/>
      <c r="M2" s="347"/>
      <c r="N2" s="347"/>
      <c r="O2" s="348"/>
    </row>
    <row r="3" spans="1:15" ht="15.75" x14ac:dyDescent="0.25">
      <c r="A3" s="349" t="s">
        <v>16</v>
      </c>
      <c r="B3" s="350"/>
      <c r="C3" s="350"/>
      <c r="D3" s="350"/>
      <c r="E3" s="350"/>
      <c r="F3" s="350"/>
      <c r="G3" s="350"/>
      <c r="H3" s="350"/>
      <c r="I3" s="350"/>
      <c r="J3" s="350"/>
      <c r="K3" s="350"/>
      <c r="L3" s="350"/>
      <c r="M3" s="350"/>
      <c r="N3" s="350"/>
      <c r="O3" s="351"/>
    </row>
    <row r="4" spans="1:15" ht="15.75" x14ac:dyDescent="0.25">
      <c r="A4" s="352" t="s">
        <v>17</v>
      </c>
      <c r="B4" s="353"/>
      <c r="C4" s="353"/>
      <c r="D4" s="353"/>
      <c r="E4" s="353"/>
      <c r="F4" s="353"/>
      <c r="G4" s="353"/>
      <c r="H4" s="353"/>
      <c r="I4" s="353"/>
      <c r="J4" s="353"/>
      <c r="K4" s="353"/>
      <c r="L4" s="353"/>
      <c r="M4" s="353"/>
      <c r="N4" s="353"/>
      <c r="O4" s="354"/>
    </row>
    <row r="5" spans="1:15" ht="15.75" x14ac:dyDescent="0.25">
      <c r="A5" s="355" t="s">
        <v>18</v>
      </c>
      <c r="B5" s="356"/>
      <c r="C5" s="356"/>
      <c r="D5" s="356"/>
      <c r="E5" s="356"/>
      <c r="F5" s="356"/>
      <c r="G5" s="356"/>
      <c r="H5" s="356"/>
      <c r="I5" s="356"/>
      <c r="J5" s="356"/>
      <c r="K5" s="356"/>
      <c r="L5" s="356"/>
      <c r="M5" s="356"/>
      <c r="N5" s="356"/>
      <c r="O5" s="357"/>
    </row>
    <row r="6" spans="1:15" ht="15.75" x14ac:dyDescent="0.25">
      <c r="A6" s="355" t="s">
        <v>19</v>
      </c>
      <c r="B6" s="356"/>
      <c r="C6" s="356"/>
      <c r="D6" s="356"/>
      <c r="E6" s="356"/>
      <c r="F6" s="356"/>
      <c r="G6" s="356"/>
      <c r="H6" s="356"/>
      <c r="I6" s="356"/>
      <c r="J6" s="356"/>
      <c r="K6" s="356"/>
      <c r="L6" s="356"/>
      <c r="M6" s="356"/>
      <c r="N6" s="356"/>
      <c r="O6" s="357"/>
    </row>
    <row r="7" spans="1:15" ht="15.75" x14ac:dyDescent="0.25">
      <c r="A7" s="358" t="s">
        <v>401</v>
      </c>
      <c r="B7" s="359"/>
      <c r="C7" s="359"/>
      <c r="D7" s="359"/>
      <c r="E7" s="359"/>
      <c r="F7" s="359"/>
      <c r="G7" s="359"/>
      <c r="H7" s="359"/>
      <c r="I7" s="359"/>
      <c r="J7" s="359"/>
      <c r="K7" s="359"/>
      <c r="L7" s="359"/>
      <c r="M7" s="359"/>
      <c r="N7" s="359"/>
      <c r="O7" s="360"/>
    </row>
    <row r="9" spans="1:15" ht="151.5" customHeight="1" x14ac:dyDescent="0.25">
      <c r="A9" s="3"/>
      <c r="B9" s="361" t="s">
        <v>231</v>
      </c>
      <c r="C9" s="361"/>
      <c r="D9" s="361"/>
      <c r="E9" s="361"/>
      <c r="F9" s="361"/>
      <c r="G9" s="361"/>
      <c r="H9" s="361"/>
      <c r="I9" s="361"/>
      <c r="J9" s="361"/>
      <c r="K9" s="361"/>
      <c r="L9" s="361"/>
      <c r="M9" s="361"/>
      <c r="N9" s="361"/>
      <c r="O9" s="4"/>
    </row>
    <row r="10" spans="1:15" ht="15.75" x14ac:dyDescent="0.25">
      <c r="A10" s="3"/>
      <c r="B10" s="3"/>
      <c r="C10" s="3"/>
      <c r="D10" s="3"/>
      <c r="E10" s="3"/>
      <c r="F10" s="3"/>
      <c r="G10" s="3"/>
      <c r="H10" s="3"/>
      <c r="I10" s="3"/>
      <c r="J10" s="3"/>
      <c r="K10" s="3"/>
      <c r="L10" s="3"/>
      <c r="M10" s="3"/>
      <c r="N10" s="3"/>
      <c r="O10" s="3"/>
    </row>
    <row r="11" spans="1:15" ht="71.25" customHeight="1" x14ac:dyDescent="0.25">
      <c r="A11" s="3"/>
      <c r="B11" s="361" t="s">
        <v>363</v>
      </c>
      <c r="C11" s="361"/>
      <c r="D11" s="361"/>
      <c r="E11" s="361"/>
      <c r="F11" s="361"/>
      <c r="G11" s="361"/>
      <c r="H11" s="361"/>
      <c r="I11" s="361"/>
      <c r="J11" s="361"/>
      <c r="K11" s="361"/>
      <c r="L11" s="361"/>
      <c r="M11" s="361"/>
      <c r="N11" s="361"/>
      <c r="O11" s="3"/>
    </row>
    <row r="12" spans="1:15" ht="15.75" x14ac:dyDescent="0.25">
      <c r="A12" s="3"/>
      <c r="B12" s="5"/>
      <c r="C12" s="5"/>
      <c r="D12" s="5"/>
      <c r="E12" s="5"/>
      <c r="F12" s="5"/>
      <c r="G12" s="5"/>
      <c r="H12" s="5"/>
      <c r="I12" s="5"/>
      <c r="J12" s="5"/>
      <c r="K12" s="5"/>
      <c r="L12" s="5"/>
      <c r="M12" s="5"/>
      <c r="N12" s="5"/>
      <c r="O12" s="3"/>
    </row>
    <row r="13" spans="1:15" ht="94.5" customHeight="1" x14ac:dyDescent="0.25">
      <c r="A13" s="3"/>
      <c r="B13" s="361" t="s">
        <v>232</v>
      </c>
      <c r="C13" s="361"/>
      <c r="D13" s="361"/>
      <c r="E13" s="361"/>
      <c r="F13" s="361"/>
      <c r="G13" s="361"/>
      <c r="H13" s="361"/>
      <c r="I13" s="361"/>
      <c r="J13" s="361"/>
      <c r="K13" s="361"/>
      <c r="L13" s="361"/>
      <c r="M13" s="361"/>
      <c r="N13" s="361"/>
      <c r="O13" s="3"/>
    </row>
    <row r="14" spans="1:15" ht="23.25" customHeight="1" x14ac:dyDescent="0.25">
      <c r="A14" s="3"/>
      <c r="B14" s="317" t="s">
        <v>382</v>
      </c>
      <c r="C14" s="318"/>
      <c r="D14" s="318"/>
      <c r="E14" s="318"/>
      <c r="F14" s="318"/>
      <c r="G14" s="318"/>
      <c r="H14" s="318"/>
      <c r="I14" s="318"/>
      <c r="J14" s="318"/>
      <c r="K14" s="318"/>
      <c r="L14" s="318"/>
      <c r="M14" s="318"/>
      <c r="N14" s="319"/>
      <c r="O14" s="3"/>
    </row>
    <row r="15" spans="1:15" ht="23.25" customHeight="1" x14ac:dyDescent="0.25">
      <c r="A15" s="3"/>
      <c r="B15" s="328" t="s">
        <v>383</v>
      </c>
      <c r="C15" s="328"/>
      <c r="D15" s="329"/>
      <c r="E15" s="328" t="s">
        <v>384</v>
      </c>
      <c r="F15" s="328"/>
      <c r="G15" s="328"/>
      <c r="H15" s="328"/>
      <c r="I15" s="328"/>
      <c r="J15" s="328"/>
      <c r="K15" s="328"/>
      <c r="L15" s="328"/>
      <c r="M15" s="328"/>
      <c r="N15" s="329"/>
      <c r="O15" s="3"/>
    </row>
    <row r="16" spans="1:15" ht="21" customHeight="1" x14ac:dyDescent="0.25">
      <c r="A16" s="3"/>
      <c r="B16" s="337" t="s">
        <v>385</v>
      </c>
      <c r="C16" s="338"/>
      <c r="D16" s="339"/>
      <c r="E16" s="330" t="s">
        <v>386</v>
      </c>
      <c r="F16" s="330"/>
      <c r="G16" s="330"/>
      <c r="H16" s="330"/>
      <c r="I16" s="330"/>
      <c r="J16" s="330"/>
      <c r="K16" s="330"/>
      <c r="L16" s="330"/>
      <c r="M16" s="330"/>
      <c r="N16" s="331"/>
      <c r="O16" s="3"/>
    </row>
    <row r="17" spans="1:15" ht="21" customHeight="1" x14ac:dyDescent="0.25">
      <c r="A17" s="3"/>
      <c r="B17" s="340" t="s">
        <v>21</v>
      </c>
      <c r="C17" s="341"/>
      <c r="D17" s="342"/>
      <c r="E17" s="332" t="s">
        <v>390</v>
      </c>
      <c r="F17" s="332"/>
      <c r="G17" s="332"/>
      <c r="H17" s="332"/>
      <c r="I17" s="332"/>
      <c r="J17" s="332"/>
      <c r="K17" s="332"/>
      <c r="L17" s="332"/>
      <c r="M17" s="332"/>
      <c r="N17" s="333"/>
      <c r="O17" s="3"/>
    </row>
    <row r="18" spans="1:15" ht="21" customHeight="1" x14ac:dyDescent="0.25">
      <c r="A18" s="3"/>
      <c r="B18" s="302" t="s">
        <v>31</v>
      </c>
      <c r="C18" s="303"/>
      <c r="D18" s="304"/>
      <c r="E18" s="334" t="s">
        <v>391</v>
      </c>
      <c r="F18" s="335"/>
      <c r="G18" s="335"/>
      <c r="H18" s="335"/>
      <c r="I18" s="335"/>
      <c r="J18" s="335"/>
      <c r="K18" s="335"/>
      <c r="L18" s="335"/>
      <c r="M18" s="335"/>
      <c r="N18" s="336"/>
      <c r="O18" s="3"/>
    </row>
    <row r="19" spans="1:15" ht="21" customHeight="1" x14ac:dyDescent="0.25">
      <c r="A19" s="3"/>
      <c r="B19" s="305" t="s">
        <v>387</v>
      </c>
      <c r="C19" s="306"/>
      <c r="D19" s="307"/>
      <c r="E19" s="311" t="s">
        <v>389</v>
      </c>
      <c r="F19" s="312"/>
      <c r="G19" s="312"/>
      <c r="H19" s="312"/>
      <c r="I19" s="312"/>
      <c r="J19" s="312"/>
      <c r="K19" s="312"/>
      <c r="L19" s="312"/>
      <c r="M19" s="312"/>
      <c r="N19" s="313"/>
      <c r="O19" s="3"/>
    </row>
    <row r="20" spans="1:15" ht="21" customHeight="1" x14ac:dyDescent="0.25">
      <c r="A20" s="3"/>
      <c r="B20" s="308" t="s">
        <v>388</v>
      </c>
      <c r="C20" s="309"/>
      <c r="D20" s="310"/>
      <c r="E20" s="314" t="s">
        <v>392</v>
      </c>
      <c r="F20" s="315"/>
      <c r="G20" s="315"/>
      <c r="H20" s="315"/>
      <c r="I20" s="315"/>
      <c r="J20" s="315"/>
      <c r="K20" s="315"/>
      <c r="L20" s="315"/>
      <c r="M20" s="315"/>
      <c r="N20" s="316"/>
      <c r="O20" s="3"/>
    </row>
    <row r="21" spans="1:15" ht="21" customHeight="1" x14ac:dyDescent="0.25">
      <c r="A21" s="3"/>
      <c r="B21" s="3"/>
      <c r="C21" s="3"/>
      <c r="D21" s="3"/>
      <c r="E21" s="3"/>
      <c r="F21" s="3"/>
      <c r="G21" s="3"/>
      <c r="H21" s="3"/>
      <c r="I21" s="3"/>
      <c r="J21" s="3"/>
      <c r="K21" s="3"/>
      <c r="L21" s="3"/>
      <c r="M21" s="3"/>
      <c r="N21" s="3"/>
      <c r="O21" s="3"/>
    </row>
    <row r="22" spans="1:15" ht="23.25" customHeight="1" x14ac:dyDescent="0.25">
      <c r="A22" s="3"/>
      <c r="B22" s="326" t="s">
        <v>20</v>
      </c>
      <c r="C22" s="326"/>
      <c r="D22" s="326"/>
      <c r="E22" s="326"/>
      <c r="F22" s="326"/>
      <c r="G22" s="326"/>
      <c r="H22" s="326"/>
      <c r="I22" s="326"/>
      <c r="J22" s="326"/>
      <c r="K22" s="326"/>
      <c r="L22" s="326"/>
      <c r="M22" s="326"/>
      <c r="N22" s="326"/>
      <c r="O22" s="3"/>
    </row>
    <row r="23" spans="1:15" ht="36" customHeight="1" x14ac:dyDescent="0.25">
      <c r="B23" s="327" t="s">
        <v>394</v>
      </c>
      <c r="C23" s="321"/>
      <c r="D23" s="321"/>
      <c r="E23" s="321"/>
      <c r="F23" s="321"/>
      <c r="G23" s="321"/>
      <c r="H23" s="321"/>
      <c r="I23" s="321"/>
      <c r="J23" s="321"/>
      <c r="K23" s="321"/>
      <c r="L23" s="321"/>
      <c r="M23" s="321"/>
      <c r="N23" s="322"/>
    </row>
    <row r="24" spans="1:15" ht="33" customHeight="1" x14ac:dyDescent="0.25">
      <c r="B24" s="327" t="s">
        <v>393</v>
      </c>
      <c r="C24" s="321"/>
      <c r="D24" s="321"/>
      <c r="E24" s="321"/>
      <c r="F24" s="321"/>
      <c r="G24" s="321"/>
      <c r="H24" s="321"/>
      <c r="I24" s="321"/>
      <c r="J24" s="321"/>
      <c r="K24" s="321"/>
      <c r="L24" s="321"/>
      <c r="M24" s="321"/>
      <c r="N24" s="322"/>
    </row>
    <row r="25" spans="1:15" ht="66" customHeight="1" x14ac:dyDescent="0.25">
      <c r="B25" s="320" t="s">
        <v>298</v>
      </c>
      <c r="C25" s="321"/>
      <c r="D25" s="321"/>
      <c r="E25" s="321"/>
      <c r="F25" s="321"/>
      <c r="G25" s="321"/>
      <c r="H25" s="321"/>
      <c r="I25" s="321"/>
      <c r="J25" s="321"/>
      <c r="K25" s="321"/>
      <c r="L25" s="321"/>
      <c r="M25" s="321"/>
      <c r="N25" s="322"/>
    </row>
    <row r="26" spans="1:15" ht="80.25" customHeight="1" x14ac:dyDescent="0.25">
      <c r="B26" s="320" t="s">
        <v>400</v>
      </c>
      <c r="C26" s="321"/>
      <c r="D26" s="321"/>
      <c r="E26" s="321"/>
      <c r="F26" s="321"/>
      <c r="G26" s="321"/>
      <c r="H26" s="321"/>
      <c r="I26" s="321"/>
      <c r="J26" s="321"/>
      <c r="K26" s="321"/>
      <c r="L26" s="321"/>
      <c r="M26" s="321"/>
      <c r="N26" s="322"/>
    </row>
    <row r="27" spans="1:15" ht="63.75" customHeight="1" x14ac:dyDescent="0.25">
      <c r="A27" s="6"/>
      <c r="B27" s="323" t="s">
        <v>297</v>
      </c>
      <c r="C27" s="324"/>
      <c r="D27" s="324"/>
      <c r="E27" s="324"/>
      <c r="F27" s="324"/>
      <c r="G27" s="324"/>
      <c r="H27" s="324"/>
      <c r="I27" s="324"/>
      <c r="J27" s="324"/>
      <c r="K27" s="324"/>
      <c r="L27" s="324"/>
      <c r="M27" s="324"/>
      <c r="N27" s="325"/>
      <c r="O27" s="6"/>
    </row>
    <row r="28" spans="1:15" ht="15.75" x14ac:dyDescent="0.25">
      <c r="B28" s="7"/>
      <c r="C28" s="7"/>
      <c r="D28" s="7"/>
      <c r="E28" s="7"/>
      <c r="F28" s="7"/>
      <c r="G28" s="7"/>
      <c r="H28" s="7"/>
      <c r="I28" s="7"/>
      <c r="J28" s="7"/>
      <c r="K28" s="7"/>
      <c r="L28" s="7"/>
      <c r="M28" s="7"/>
      <c r="N28" s="7"/>
    </row>
    <row r="29" spans="1:15" ht="15.75" x14ac:dyDescent="0.25">
      <c r="C29" s="7"/>
      <c r="D29" s="7"/>
      <c r="E29" s="7"/>
      <c r="F29" s="7"/>
      <c r="G29" s="7"/>
      <c r="H29" s="7"/>
      <c r="I29" s="7"/>
      <c r="J29" s="7"/>
      <c r="K29" s="7"/>
      <c r="L29" s="7"/>
      <c r="M29" s="7"/>
      <c r="N29" s="7"/>
    </row>
  </sheetData>
  <mergeCells count="29">
    <mergeCell ref="A6:O6"/>
    <mergeCell ref="A7:O7"/>
    <mergeCell ref="B9:N9"/>
    <mergeCell ref="B11:N11"/>
    <mergeCell ref="B13:N13"/>
    <mergeCell ref="A1:O1"/>
    <mergeCell ref="A2:O2"/>
    <mergeCell ref="A3:O3"/>
    <mergeCell ref="A4:O4"/>
    <mergeCell ref="A5:O5"/>
    <mergeCell ref="B14:N14"/>
    <mergeCell ref="B25:N25"/>
    <mergeCell ref="B27:N27"/>
    <mergeCell ref="B22:N22"/>
    <mergeCell ref="B23:N23"/>
    <mergeCell ref="B24:N24"/>
    <mergeCell ref="B26:N26"/>
    <mergeCell ref="B15:D15"/>
    <mergeCell ref="E15:N15"/>
    <mergeCell ref="E16:N16"/>
    <mergeCell ref="E17:N17"/>
    <mergeCell ref="E18:N18"/>
    <mergeCell ref="B16:D16"/>
    <mergeCell ref="B17:D17"/>
    <mergeCell ref="B18:D18"/>
    <mergeCell ref="B19:D19"/>
    <mergeCell ref="B20:D20"/>
    <mergeCell ref="E19:N19"/>
    <mergeCell ref="E20:N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39997558519241921"/>
  </sheetPr>
  <dimension ref="A1:Q98"/>
  <sheetViews>
    <sheetView topLeftCell="A29" zoomScaleNormal="100" workbookViewId="0">
      <selection activeCell="B42" sqref="B42"/>
    </sheetView>
  </sheetViews>
  <sheetFormatPr defaultRowHeight="15" x14ac:dyDescent="0.25"/>
  <cols>
    <col min="1" max="1" width="64.7109375" style="18" customWidth="1"/>
    <col min="2" max="2" width="18.5703125" style="18" customWidth="1"/>
    <col min="3" max="3" width="34.85546875" style="18" customWidth="1"/>
    <col min="4" max="4" width="32" style="18" customWidth="1"/>
    <col min="5" max="5" width="15.85546875" style="18" customWidth="1"/>
    <col min="6" max="6" width="18.7109375" style="18" customWidth="1"/>
    <col min="7" max="7" width="21.7109375" style="18" customWidth="1"/>
    <col min="8" max="8" width="14.28515625" style="18" customWidth="1"/>
    <col min="9" max="9" width="23.140625" style="18" customWidth="1"/>
    <col min="10" max="10" width="58.5703125" style="18" customWidth="1"/>
    <col min="11" max="11" width="9.140625" style="18"/>
    <col min="12" max="12" width="15.28515625" style="18" customWidth="1"/>
    <col min="13" max="13" width="16" style="18" customWidth="1"/>
    <col min="14" max="18" width="9.140625" style="18" customWidth="1"/>
    <col min="19" max="16384" width="9.140625" style="18"/>
  </cols>
  <sheetData>
    <row r="1" spans="1:17" ht="23.25" x14ac:dyDescent="0.35">
      <c r="A1" s="53"/>
      <c r="B1" s="53"/>
      <c r="C1" s="53" t="s">
        <v>21</v>
      </c>
      <c r="D1" s="53"/>
      <c r="E1" s="53"/>
      <c r="F1" s="53"/>
      <c r="G1" s="53"/>
      <c r="H1" s="53"/>
      <c r="I1" s="53"/>
      <c r="J1" s="99"/>
      <c r="K1" s="19"/>
      <c r="L1" s="230">
        <v>3</v>
      </c>
      <c r="M1" s="231" t="s">
        <v>83</v>
      </c>
      <c r="N1" s="230"/>
      <c r="O1" s="263">
        <v>0</v>
      </c>
      <c r="P1" s="263">
        <v>1</v>
      </c>
    </row>
    <row r="2" spans="1:17" ht="23.25" x14ac:dyDescent="0.35">
      <c r="A2" s="25"/>
      <c r="B2" s="25"/>
      <c r="C2" s="25"/>
      <c r="D2" s="25"/>
      <c r="E2" s="25"/>
      <c r="F2" s="25"/>
      <c r="G2" s="25"/>
      <c r="H2" s="25"/>
      <c r="I2" s="25"/>
      <c r="J2" s="100"/>
      <c r="K2" s="19"/>
      <c r="L2" s="230"/>
      <c r="M2" s="231" t="s">
        <v>112</v>
      </c>
      <c r="N2" s="230"/>
      <c r="O2" s="231" t="s">
        <v>261</v>
      </c>
      <c r="P2" s="264">
        <v>2</v>
      </c>
    </row>
    <row r="3" spans="1:17" ht="23.25" x14ac:dyDescent="0.35">
      <c r="A3" s="42" t="s">
        <v>202</v>
      </c>
      <c r="B3" s="51"/>
      <c r="C3" s="293" t="str">
        <f>IF(L1=1,"Enter flare support type","")</f>
        <v/>
      </c>
      <c r="D3" s="25"/>
      <c r="E3" s="25"/>
      <c r="F3" s="25"/>
      <c r="G3" s="25"/>
      <c r="H3" s="25"/>
      <c r="I3" s="25"/>
      <c r="J3" s="100"/>
      <c r="K3" s="19"/>
      <c r="L3" s="230"/>
      <c r="M3" s="231" t="s">
        <v>113</v>
      </c>
      <c r="N3" s="230"/>
      <c r="O3" s="231" t="s">
        <v>262</v>
      </c>
      <c r="P3" s="263">
        <v>3</v>
      </c>
    </row>
    <row r="4" spans="1:17" ht="23.25" x14ac:dyDescent="0.35">
      <c r="A4" s="42"/>
      <c r="B4" s="51"/>
      <c r="C4" s="50"/>
      <c r="D4" s="25"/>
      <c r="E4" s="25"/>
      <c r="F4" s="25"/>
      <c r="G4" s="25"/>
      <c r="H4" s="25"/>
      <c r="I4" s="25"/>
      <c r="J4" s="100"/>
      <c r="K4" s="19"/>
      <c r="L4" s="230"/>
      <c r="M4" s="231" t="s">
        <v>201</v>
      </c>
      <c r="N4" s="230"/>
      <c r="O4" s="27" t="s">
        <v>313</v>
      </c>
      <c r="P4" s="264">
        <v>4</v>
      </c>
    </row>
    <row r="5" spans="1:17" ht="23.25" x14ac:dyDescent="0.35">
      <c r="A5" s="54" t="s">
        <v>192</v>
      </c>
      <c r="B5" s="54"/>
      <c r="C5" s="54"/>
      <c r="D5" s="54"/>
      <c r="E5" s="54"/>
      <c r="F5" s="54"/>
      <c r="G5" s="54"/>
      <c r="H5" s="54"/>
      <c r="I5" s="54"/>
      <c r="J5" s="54"/>
      <c r="K5" s="19"/>
      <c r="L5" s="230"/>
      <c r="N5" s="232"/>
      <c r="O5" s="27" t="s">
        <v>312</v>
      </c>
      <c r="P5" s="263">
        <v>5</v>
      </c>
      <c r="Q5" s="29"/>
    </row>
    <row r="6" spans="1:17" ht="19.5" customHeight="1" x14ac:dyDescent="0.35">
      <c r="A6" s="208" t="s">
        <v>196</v>
      </c>
      <c r="B6" s="29"/>
      <c r="C6" s="29"/>
      <c r="D6" s="29"/>
      <c r="E6" s="29"/>
      <c r="F6" s="29"/>
      <c r="G6" s="29"/>
      <c r="H6" s="29"/>
      <c r="I6" s="29"/>
      <c r="J6" s="29"/>
      <c r="K6" s="19"/>
      <c r="L6" s="230"/>
      <c r="N6" s="231"/>
      <c r="O6" s="190"/>
      <c r="P6" s="264">
        <v>5</v>
      </c>
      <c r="Q6" s="29"/>
    </row>
    <row r="7" spans="1:17" ht="23.25" x14ac:dyDescent="0.35">
      <c r="A7" s="285" t="s">
        <v>364</v>
      </c>
      <c r="B7" s="176"/>
      <c r="C7" s="28"/>
      <c r="D7" s="106"/>
      <c r="E7" s="28"/>
      <c r="F7" s="101"/>
      <c r="G7" s="101"/>
      <c r="H7" s="101"/>
      <c r="I7" s="101"/>
      <c r="J7" s="102"/>
      <c r="K7" s="19"/>
      <c r="L7" s="233"/>
      <c r="M7" s="231"/>
      <c r="N7" s="231"/>
      <c r="O7" s="190"/>
      <c r="P7" s="191"/>
      <c r="Q7" s="29"/>
    </row>
    <row r="8" spans="1:17" ht="19.5" x14ac:dyDescent="0.35">
      <c r="A8" s="28" t="s">
        <v>246</v>
      </c>
      <c r="B8" s="243">
        <v>3000</v>
      </c>
      <c r="C8" s="244" t="s">
        <v>136</v>
      </c>
      <c r="D8" s="249"/>
      <c r="E8" s="250"/>
      <c r="F8" s="250"/>
      <c r="G8" s="250"/>
      <c r="H8" s="250"/>
      <c r="I8" s="250"/>
      <c r="J8" s="251"/>
      <c r="M8" s="189"/>
      <c r="N8" s="189"/>
      <c r="O8" s="190"/>
      <c r="P8" s="191"/>
      <c r="Q8" s="29"/>
    </row>
    <row r="9" spans="1:17" ht="19.5" x14ac:dyDescent="0.35">
      <c r="A9" s="28" t="s">
        <v>247</v>
      </c>
      <c r="B9" s="243">
        <v>0</v>
      </c>
      <c r="C9" s="165" t="s">
        <v>136</v>
      </c>
      <c r="D9" s="249"/>
      <c r="E9" s="250"/>
      <c r="F9" s="250"/>
      <c r="G9" s="250"/>
      <c r="H9" s="250"/>
      <c r="I9" s="250"/>
      <c r="J9" s="251"/>
      <c r="M9" s="189"/>
      <c r="N9" s="189"/>
      <c r="O9" s="190"/>
      <c r="P9" s="191"/>
      <c r="Q9" s="29"/>
    </row>
    <row r="10" spans="1:17" s="21" customFormat="1" ht="20.25" customHeight="1" x14ac:dyDescent="0.35">
      <c r="A10" s="28" t="s">
        <v>248</v>
      </c>
      <c r="B10" s="243">
        <v>0</v>
      </c>
      <c r="C10" s="165" t="s">
        <v>136</v>
      </c>
      <c r="D10" s="249"/>
      <c r="E10" s="250"/>
      <c r="F10" s="250"/>
      <c r="G10" s="250"/>
      <c r="H10" s="250"/>
      <c r="I10" s="250"/>
      <c r="J10" s="251"/>
      <c r="K10" s="20"/>
      <c r="L10" s="20"/>
      <c r="M10" s="189"/>
      <c r="N10" s="189"/>
      <c r="O10" s="190"/>
      <c r="P10" s="191"/>
      <c r="Q10" s="24"/>
    </row>
    <row r="11" spans="1:17" s="21" customFormat="1" ht="20.25" customHeight="1" x14ac:dyDescent="0.35">
      <c r="A11" s="28" t="s">
        <v>249</v>
      </c>
      <c r="B11" s="243">
        <v>0</v>
      </c>
      <c r="C11" s="165" t="s">
        <v>136</v>
      </c>
      <c r="D11" s="249"/>
      <c r="E11" s="250"/>
      <c r="F11" s="250"/>
      <c r="G11" s="250"/>
      <c r="H11" s="250"/>
      <c r="I11" s="250"/>
      <c r="J11" s="251"/>
      <c r="K11" s="20"/>
      <c r="L11" s="20"/>
      <c r="M11" s="189"/>
      <c r="N11" s="189"/>
      <c r="O11" s="190"/>
      <c r="P11" s="191"/>
      <c r="Q11" s="24"/>
    </row>
    <row r="12" spans="1:17" s="21" customFormat="1" ht="20.25" customHeight="1" x14ac:dyDescent="0.35">
      <c r="A12" s="28" t="s">
        <v>250</v>
      </c>
      <c r="B12" s="243">
        <v>0</v>
      </c>
      <c r="C12" s="165" t="s">
        <v>136</v>
      </c>
      <c r="D12" s="249"/>
      <c r="E12" s="250"/>
      <c r="F12" s="250"/>
      <c r="G12" s="250"/>
      <c r="H12" s="250"/>
      <c r="I12" s="250"/>
      <c r="J12" s="251"/>
      <c r="K12" s="20"/>
      <c r="L12" s="20"/>
      <c r="M12" s="189"/>
      <c r="N12" s="189"/>
      <c r="O12" s="190"/>
      <c r="P12" s="191"/>
      <c r="Q12" s="24"/>
    </row>
    <row r="13" spans="1:17" s="21" customFormat="1" ht="20.25" customHeight="1" x14ac:dyDescent="0.35">
      <c r="A13" s="28" t="s">
        <v>251</v>
      </c>
      <c r="B13" s="243">
        <v>1500</v>
      </c>
      <c r="C13" s="165" t="s">
        <v>137</v>
      </c>
      <c r="D13" s="249"/>
      <c r="E13" s="250"/>
      <c r="F13" s="250"/>
      <c r="G13" s="250"/>
      <c r="H13" s="250"/>
      <c r="I13" s="250"/>
      <c r="J13" s="251"/>
      <c r="K13" s="20"/>
      <c r="L13" s="20"/>
      <c r="M13" s="189"/>
      <c r="N13" s="189"/>
      <c r="O13" s="190"/>
      <c r="P13" s="191"/>
      <c r="Q13" s="24"/>
    </row>
    <row r="14" spans="1:17" ht="20.25" customHeight="1" x14ac:dyDescent="0.35">
      <c r="A14" s="28" t="s">
        <v>252</v>
      </c>
      <c r="B14" s="243">
        <v>300</v>
      </c>
      <c r="C14" s="244" t="s">
        <v>137</v>
      </c>
      <c r="D14" s="249"/>
      <c r="E14" s="250"/>
      <c r="F14" s="250"/>
      <c r="G14" s="250"/>
      <c r="H14" s="250"/>
      <c r="I14" s="250"/>
      <c r="J14" s="251"/>
      <c r="K14" s="11"/>
      <c r="L14" s="11"/>
      <c r="M14" s="11"/>
      <c r="N14" s="11"/>
    </row>
    <row r="15" spans="1:17" ht="20.25" customHeight="1" x14ac:dyDescent="0.35">
      <c r="A15" s="28" t="s">
        <v>253</v>
      </c>
      <c r="B15" s="243">
        <v>300</v>
      </c>
      <c r="C15" s="244" t="s">
        <v>137</v>
      </c>
      <c r="D15" s="249"/>
      <c r="E15" s="250"/>
      <c r="F15" s="250"/>
      <c r="G15" s="250"/>
      <c r="H15" s="250"/>
      <c r="I15" s="250"/>
      <c r="J15" s="251"/>
      <c r="K15" s="11"/>
      <c r="L15" s="11"/>
      <c r="M15" s="11"/>
      <c r="N15" s="11"/>
    </row>
    <row r="16" spans="1:17" ht="20.25" customHeight="1" x14ac:dyDescent="0.35">
      <c r="A16" s="28" t="s">
        <v>254</v>
      </c>
      <c r="B16" s="243">
        <v>300</v>
      </c>
      <c r="C16" s="244" t="s">
        <v>137</v>
      </c>
      <c r="D16" s="249"/>
      <c r="E16" s="250"/>
      <c r="F16" s="250"/>
      <c r="G16" s="250"/>
      <c r="H16" s="250"/>
      <c r="I16" s="250"/>
      <c r="J16" s="251"/>
      <c r="K16" s="11"/>
      <c r="L16" s="11"/>
      <c r="M16" s="11"/>
      <c r="N16" s="11"/>
    </row>
    <row r="17" spans="1:17" ht="20.25" customHeight="1" x14ac:dyDescent="0.35">
      <c r="A17" s="28" t="s">
        <v>255</v>
      </c>
      <c r="B17" s="243">
        <v>300</v>
      </c>
      <c r="C17" s="244" t="s">
        <v>137</v>
      </c>
      <c r="D17" s="249"/>
      <c r="E17" s="250"/>
      <c r="F17" s="250"/>
      <c r="G17" s="250"/>
      <c r="H17" s="250"/>
      <c r="I17" s="250"/>
      <c r="J17" s="251"/>
      <c r="K17" s="11"/>
      <c r="L17" s="11"/>
      <c r="M17" s="11"/>
      <c r="N17" s="11"/>
    </row>
    <row r="18" spans="1:17" ht="20.25" customHeight="1" x14ac:dyDescent="0.25">
      <c r="A18" s="28" t="s">
        <v>242</v>
      </c>
      <c r="B18" s="243">
        <v>40</v>
      </c>
      <c r="C18" s="244" t="s">
        <v>111</v>
      </c>
      <c r="D18" s="249"/>
      <c r="E18" s="250"/>
      <c r="F18" s="250"/>
      <c r="G18" s="250"/>
      <c r="H18" s="250"/>
      <c r="I18" s="250"/>
      <c r="J18" s="251"/>
      <c r="K18" s="11"/>
      <c r="L18" s="11"/>
      <c r="M18" s="11"/>
      <c r="N18" s="11"/>
    </row>
    <row r="19" spans="1:17" ht="20.25" customHeight="1" x14ac:dyDescent="0.35">
      <c r="A19" s="28" t="s">
        <v>345</v>
      </c>
      <c r="B19" s="120">
        <v>1500</v>
      </c>
      <c r="C19" s="244" t="s">
        <v>145</v>
      </c>
      <c r="D19" s="249"/>
      <c r="E19" s="252"/>
      <c r="F19" s="252"/>
      <c r="G19" s="252"/>
      <c r="H19" s="252"/>
      <c r="I19" s="252"/>
      <c r="J19" s="252"/>
      <c r="K19" s="11"/>
      <c r="L19" s="11"/>
      <c r="M19" s="11"/>
      <c r="N19" s="11"/>
    </row>
    <row r="20" spans="1:17" ht="20.25" customHeight="1" x14ac:dyDescent="0.35">
      <c r="A20" s="28" t="s">
        <v>346</v>
      </c>
      <c r="B20" s="120">
        <v>0</v>
      </c>
      <c r="C20" s="244" t="s">
        <v>145</v>
      </c>
      <c r="D20" s="249"/>
      <c r="E20" s="252"/>
      <c r="F20" s="252"/>
      <c r="G20" s="252"/>
      <c r="H20" s="252"/>
      <c r="I20" s="252"/>
      <c r="J20" s="252"/>
      <c r="K20" s="11"/>
      <c r="L20" s="11"/>
      <c r="M20" s="11"/>
      <c r="N20" s="11"/>
    </row>
    <row r="21" spans="1:17" ht="20.25" customHeight="1" x14ac:dyDescent="0.35">
      <c r="A21" s="28" t="s">
        <v>347</v>
      </c>
      <c r="B21" s="120">
        <v>0</v>
      </c>
      <c r="C21" s="244" t="s">
        <v>145</v>
      </c>
      <c r="D21" s="249"/>
      <c r="E21" s="252"/>
      <c r="F21" s="252"/>
      <c r="G21" s="252"/>
      <c r="H21" s="252"/>
      <c r="I21" s="252"/>
      <c r="J21" s="252"/>
      <c r="K21" s="11"/>
      <c r="L21" s="11"/>
      <c r="M21" s="11"/>
      <c r="N21" s="11"/>
    </row>
    <row r="22" spans="1:17" ht="20.25" customHeight="1" x14ac:dyDescent="0.35">
      <c r="A22" s="28" t="s">
        <v>348</v>
      </c>
      <c r="B22" s="120">
        <v>0</v>
      </c>
      <c r="C22" s="244" t="s">
        <v>145</v>
      </c>
      <c r="D22" s="249"/>
      <c r="E22" s="252"/>
      <c r="F22" s="252"/>
      <c r="G22" s="252"/>
      <c r="H22" s="252"/>
      <c r="I22" s="252"/>
      <c r="J22" s="252"/>
      <c r="K22" s="11"/>
      <c r="L22" s="11"/>
      <c r="M22" s="11"/>
      <c r="N22" s="11"/>
    </row>
    <row r="23" spans="1:17" ht="20.25" customHeight="1" x14ac:dyDescent="0.35">
      <c r="A23" s="28" t="s">
        <v>349</v>
      </c>
      <c r="B23" s="120">
        <v>0</v>
      </c>
      <c r="C23" s="244" t="s">
        <v>145</v>
      </c>
      <c r="D23" s="249"/>
      <c r="E23" s="252"/>
      <c r="F23" s="252"/>
      <c r="G23" s="252"/>
      <c r="H23" s="252"/>
      <c r="I23" s="252"/>
      <c r="J23" s="252"/>
      <c r="K23" s="11"/>
      <c r="L23" s="11"/>
      <c r="M23" s="11"/>
      <c r="N23" s="11"/>
    </row>
    <row r="24" spans="1:17" ht="20.25" customHeight="1" x14ac:dyDescent="0.25">
      <c r="A24" s="28" t="s">
        <v>138</v>
      </c>
      <c r="B24" s="245">
        <v>10</v>
      </c>
      <c r="C24" s="165" t="s">
        <v>139</v>
      </c>
      <c r="D24" s="249" t="str">
        <f>IF(B24=0.65,"* 0.65 Btu/lb-mole-°F is a default value. User should enter actual value, if known."," ")</f>
        <v xml:space="preserve"> </v>
      </c>
      <c r="E24" s="252"/>
      <c r="F24" s="252"/>
      <c r="G24" s="252"/>
      <c r="H24" s="252"/>
      <c r="I24" s="252"/>
      <c r="J24" s="252"/>
      <c r="K24" s="11"/>
      <c r="L24" s="11"/>
      <c r="M24" s="11"/>
      <c r="N24" s="11"/>
    </row>
    <row r="25" spans="1:17" ht="20.25" customHeight="1" x14ac:dyDescent="0.35">
      <c r="A25" s="28" t="s">
        <v>143</v>
      </c>
      <c r="B25" s="246">
        <v>49.6</v>
      </c>
      <c r="C25" s="244" t="s">
        <v>142</v>
      </c>
      <c r="D25" s="249"/>
      <c r="E25" s="252"/>
      <c r="F25" s="252"/>
      <c r="G25" s="252"/>
      <c r="H25" s="252"/>
      <c r="I25" s="252"/>
      <c r="J25" s="252"/>
      <c r="K25" s="11"/>
      <c r="L25" s="11"/>
      <c r="M25" s="11"/>
      <c r="N25" s="11"/>
      <c r="P25" s="143"/>
    </row>
    <row r="26" spans="1:17" s="21" customFormat="1" ht="20.25" customHeight="1" x14ac:dyDescent="0.35">
      <c r="A26" s="28" t="s">
        <v>144</v>
      </c>
      <c r="B26" s="247">
        <v>8.4500000000000006E-2</v>
      </c>
      <c r="C26" s="244" t="s">
        <v>142</v>
      </c>
      <c r="D26" s="249"/>
      <c r="E26" s="252"/>
      <c r="F26" s="252"/>
      <c r="G26" s="252"/>
      <c r="H26" s="252"/>
      <c r="I26" s="252"/>
      <c r="J26" s="252"/>
      <c r="M26" s="10"/>
      <c r="N26" s="10"/>
    </row>
    <row r="27" spans="1:17" s="21" customFormat="1" ht="20.25" customHeight="1" x14ac:dyDescent="0.3">
      <c r="A27" s="28" t="s">
        <v>140</v>
      </c>
      <c r="B27" s="246">
        <v>68</v>
      </c>
      <c r="C27" s="244" t="s">
        <v>141</v>
      </c>
      <c r="D27" s="249"/>
      <c r="E27" s="252"/>
      <c r="F27" s="252"/>
      <c r="G27" s="252"/>
      <c r="H27" s="252"/>
      <c r="I27" s="252"/>
      <c r="J27" s="252"/>
      <c r="M27" s="10"/>
      <c r="N27" s="10"/>
    </row>
    <row r="28" spans="1:17" ht="15.75" customHeight="1" x14ac:dyDescent="0.25">
      <c r="A28" s="29"/>
      <c r="B28" s="176"/>
      <c r="C28" s="28"/>
      <c r="D28" s="249"/>
      <c r="E28" s="250"/>
      <c r="F28" s="250"/>
      <c r="G28" s="250"/>
      <c r="H28" s="250"/>
      <c r="I28" s="250"/>
      <c r="J28" s="251"/>
      <c r="K28" s="11"/>
      <c r="L28" s="11"/>
      <c r="M28" s="11"/>
      <c r="N28" s="11"/>
    </row>
    <row r="29" spans="1:17" ht="23.25" x14ac:dyDescent="0.35">
      <c r="A29" s="208" t="s">
        <v>198</v>
      </c>
      <c r="B29" s="29"/>
      <c r="C29" s="29"/>
      <c r="D29" s="29"/>
      <c r="E29" s="253"/>
      <c r="F29" s="254"/>
      <c r="G29" s="254"/>
      <c r="H29" s="254"/>
      <c r="I29" s="254"/>
      <c r="J29" s="255"/>
      <c r="K29" s="19"/>
      <c r="L29" s="19"/>
      <c r="M29" s="189"/>
      <c r="N29" s="189"/>
      <c r="O29" s="190"/>
      <c r="P29" s="191"/>
      <c r="Q29" s="29"/>
    </row>
    <row r="30" spans="1:17" ht="21" customHeight="1" x14ac:dyDescent="0.35">
      <c r="A30" s="28" t="s">
        <v>256</v>
      </c>
      <c r="B30" s="243">
        <v>100</v>
      </c>
      <c r="C30" s="244" t="s">
        <v>0</v>
      </c>
      <c r="D30" s="256" t="s">
        <v>241</v>
      </c>
      <c r="E30" s="257">
        <f>SUM(B30:B34)</f>
        <v>100</v>
      </c>
      <c r="F30" s="254"/>
      <c r="G30" s="254"/>
      <c r="H30" s="254"/>
      <c r="I30" s="254"/>
      <c r="J30" s="255"/>
      <c r="K30" s="19"/>
      <c r="L30" s="10"/>
      <c r="M30" s="189"/>
      <c r="N30" s="189"/>
      <c r="O30" s="190"/>
      <c r="P30" s="191"/>
      <c r="Q30" s="29"/>
    </row>
    <row r="31" spans="1:17" ht="20.25" customHeight="1" x14ac:dyDescent="0.35">
      <c r="A31" s="28" t="s">
        <v>257</v>
      </c>
      <c r="B31" s="243">
        <v>0</v>
      </c>
      <c r="C31" s="165" t="s">
        <v>0</v>
      </c>
      <c r="D31" s="256" t="s">
        <v>295</v>
      </c>
      <c r="E31" s="257">
        <f>SUMIF(B8:B12,"&gt;0",B30:B34)</f>
        <v>100</v>
      </c>
      <c r="F31" s="250"/>
      <c r="G31" s="250"/>
      <c r="H31" s="250"/>
      <c r="I31" s="250"/>
      <c r="J31" s="251"/>
      <c r="K31" s="11"/>
      <c r="L31" s="11"/>
      <c r="M31" s="11"/>
      <c r="N31" s="11"/>
    </row>
    <row r="32" spans="1:17" ht="20.25" customHeight="1" x14ac:dyDescent="0.35">
      <c r="A32" s="28" t="s">
        <v>258</v>
      </c>
      <c r="B32" s="243">
        <v>0</v>
      </c>
      <c r="C32" s="165" t="s">
        <v>0</v>
      </c>
      <c r="D32" s="249"/>
      <c r="E32" s="250"/>
      <c r="F32" s="250"/>
      <c r="G32" s="250"/>
      <c r="H32" s="250"/>
      <c r="I32" s="250"/>
      <c r="J32" s="251"/>
      <c r="K32" s="11"/>
      <c r="L32" s="11"/>
      <c r="M32" s="11"/>
      <c r="N32" s="11"/>
    </row>
    <row r="33" spans="1:14" ht="20.25" customHeight="1" x14ac:dyDescent="0.35">
      <c r="A33" s="28" t="s">
        <v>259</v>
      </c>
      <c r="B33" s="243">
        <v>0</v>
      </c>
      <c r="C33" s="165" t="s">
        <v>0</v>
      </c>
      <c r="D33" s="249"/>
      <c r="E33" s="250"/>
      <c r="F33" s="250"/>
      <c r="G33" s="250"/>
      <c r="H33" s="250"/>
      <c r="I33" s="250"/>
      <c r="J33" s="251"/>
      <c r="K33" s="11"/>
      <c r="L33" s="11"/>
      <c r="M33" s="11"/>
      <c r="N33" s="11"/>
    </row>
    <row r="34" spans="1:14" ht="20.25" customHeight="1" x14ac:dyDescent="0.35">
      <c r="A34" s="28" t="s">
        <v>260</v>
      </c>
      <c r="B34" s="120">
        <v>0</v>
      </c>
      <c r="C34" s="244" t="s">
        <v>0</v>
      </c>
      <c r="D34" s="249"/>
      <c r="E34" s="250"/>
      <c r="F34" s="250"/>
      <c r="G34" s="250"/>
      <c r="H34" s="250"/>
      <c r="I34" s="250"/>
      <c r="J34" s="251"/>
      <c r="K34" s="11"/>
      <c r="L34" s="11"/>
      <c r="M34" s="11"/>
      <c r="N34" s="11"/>
    </row>
    <row r="35" spans="1:14" ht="20.25" customHeight="1" x14ac:dyDescent="0.25">
      <c r="A35" s="28" t="s">
        <v>356</v>
      </c>
      <c r="B35" s="120">
        <v>98</v>
      </c>
      <c r="C35" s="244" t="str">
        <f>"%"&amp;(IF(B35=98, "*",""))</f>
        <v>%*</v>
      </c>
      <c r="D35" s="249" t="str">
        <f>IF(B35=98,"* 98% is a default control efficiency. User should enter actual value, if known."," ")</f>
        <v>* 98% is a default control efficiency. User should enter actual value, if known.</v>
      </c>
      <c r="E35" s="252"/>
      <c r="F35" s="252"/>
      <c r="G35" s="252"/>
      <c r="H35" s="252"/>
      <c r="I35" s="252"/>
      <c r="J35" s="252"/>
      <c r="K35" s="11"/>
      <c r="L35" s="11"/>
      <c r="M35" s="11"/>
      <c r="N35" s="11"/>
    </row>
    <row r="36" spans="1:14" s="21" customFormat="1" ht="20.25" customHeight="1" x14ac:dyDescent="0.3">
      <c r="A36" s="174" t="s">
        <v>151</v>
      </c>
      <c r="B36" s="246">
        <v>0.3</v>
      </c>
      <c r="C36" s="244"/>
      <c r="D36" s="249" t="s">
        <v>227</v>
      </c>
      <c r="E36" s="252"/>
      <c r="F36" s="252"/>
      <c r="G36" s="252"/>
      <c r="H36" s="252"/>
      <c r="I36" s="252"/>
      <c r="J36" s="252"/>
      <c r="M36" s="10"/>
      <c r="N36" s="10"/>
    </row>
    <row r="37" spans="1:14" s="21" customFormat="1" ht="20.25" customHeight="1" x14ac:dyDescent="0.35">
      <c r="A37" s="28" t="s">
        <v>219</v>
      </c>
      <c r="B37" s="243">
        <v>5</v>
      </c>
      <c r="C37" s="244" t="s">
        <v>139</v>
      </c>
      <c r="D37" s="249" t="str">
        <f>IF(B37=5,"* 5 psig is a default value. User should enter actual value, if known."," ")</f>
        <v>* 5 psig is a default value. User should enter actual value, if known.</v>
      </c>
      <c r="E37" s="252"/>
      <c r="F37" s="252"/>
      <c r="G37" s="252"/>
      <c r="H37" s="252"/>
      <c r="I37" s="252"/>
      <c r="J37" s="252"/>
      <c r="M37" s="10"/>
      <c r="N37" s="10"/>
    </row>
    <row r="38" spans="1:14" s="21" customFormat="1" ht="20.25" customHeight="1" x14ac:dyDescent="0.35">
      <c r="A38" s="28" t="s">
        <v>220</v>
      </c>
      <c r="B38" s="248">
        <v>1</v>
      </c>
      <c r="C38" s="160" t="s">
        <v>139</v>
      </c>
      <c r="D38" s="249" t="str">
        <f>IF(B38=1,"* 1 psig is a default value. User should enter actual value, if known."," ")</f>
        <v>* 1 psig is a default value. User should enter actual value, if known.</v>
      </c>
      <c r="E38" s="252"/>
      <c r="F38" s="252"/>
      <c r="G38" s="252"/>
      <c r="H38" s="252"/>
      <c r="I38" s="252"/>
      <c r="J38" s="252"/>
      <c r="M38" s="10"/>
      <c r="N38" s="10"/>
    </row>
    <row r="39" spans="1:14" s="21" customFormat="1" ht="20.25" customHeight="1" x14ac:dyDescent="0.3">
      <c r="A39" s="39" t="s">
        <v>134</v>
      </c>
      <c r="B39" s="120">
        <v>15</v>
      </c>
      <c r="C39" s="244" t="str">
        <f>"Years"&amp;IF(B39=15,"*","")</f>
        <v>Years*</v>
      </c>
      <c r="D39" s="249" t="str">
        <f>IF(B39=15,"* 15 years is a default equipment life. User should enter actual value, if known."," ")</f>
        <v>* 15 years is a default equipment life. User should enter actual value, if known.</v>
      </c>
      <c r="E39" s="252"/>
      <c r="F39" s="252"/>
      <c r="G39" s="252"/>
      <c r="H39" s="252"/>
      <c r="I39" s="252"/>
      <c r="J39" s="252"/>
      <c r="M39" s="10"/>
      <c r="N39" s="10"/>
    </row>
    <row r="40" spans="1:14" s="21" customFormat="1" ht="20.25" customHeight="1" x14ac:dyDescent="0.3">
      <c r="A40" s="39" t="s">
        <v>172</v>
      </c>
      <c r="B40" s="120">
        <v>100</v>
      </c>
      <c r="C40" s="244" t="str">
        <f>"Feet"&amp;IF(B40&lt;=100,"*","")</f>
        <v>Feet*</v>
      </c>
      <c r="D40" s="249" t="str">
        <f>IF(B40&lt;100,"* The MINUMUM  value for pipe length is 100 ft. Please enter a value of atleast 100.",IF(B40 =100,"* 100 feet is a default value representing the minimum piping length. User should enter actual value, if known."," "))</f>
        <v>* 100 feet is a default value representing the minimum piping length. User should enter actual value, if known.</v>
      </c>
      <c r="E40" s="252"/>
      <c r="F40" s="252"/>
      <c r="G40" s="252"/>
      <c r="H40" s="252"/>
      <c r="I40" s="252"/>
      <c r="J40" s="252"/>
      <c r="M40" s="10"/>
      <c r="N40" s="10"/>
    </row>
    <row r="41" spans="1:14" s="21" customFormat="1" ht="20.25" customHeight="1" x14ac:dyDescent="0.3">
      <c r="A41" s="39" t="s">
        <v>353</v>
      </c>
      <c r="B41" s="276" t="s">
        <v>262</v>
      </c>
      <c r="C41" s="244"/>
      <c r="D41" s="249" t="str">
        <f>IF(AND(B41="yes",B42="yes"),"* Generally, you do not need a flame arrestor when you have a FGRS"," ")</f>
        <v xml:space="preserve"> </v>
      </c>
      <c r="E41" s="252"/>
      <c r="F41" s="252"/>
      <c r="G41" s="252"/>
      <c r="H41" s="252"/>
      <c r="I41" s="252"/>
      <c r="J41" s="252"/>
      <c r="M41" s="10"/>
      <c r="N41" s="10"/>
    </row>
    <row r="42" spans="1:14" s="21" customFormat="1" ht="20.25" customHeight="1" x14ac:dyDescent="0.3">
      <c r="A42" s="39" t="s">
        <v>357</v>
      </c>
      <c r="B42" s="276" t="s">
        <v>262</v>
      </c>
      <c r="C42" s="244"/>
      <c r="D42" s="249"/>
      <c r="E42" s="252"/>
      <c r="F42" s="252"/>
      <c r="G42" s="252"/>
      <c r="H42" s="252"/>
      <c r="I42" s="252"/>
      <c r="J42" s="252"/>
      <c r="M42" s="10"/>
      <c r="N42" s="10"/>
    </row>
    <row r="43" spans="1:14" s="21" customFormat="1" ht="20.25" customHeight="1" x14ac:dyDescent="0.3">
      <c r="A43" s="39" t="s">
        <v>358</v>
      </c>
      <c r="B43" s="276">
        <v>1</v>
      </c>
      <c r="C43" s="244" t="str">
        <f t="shared" ref="C43:C44" si="0">IF(B$42="no","Not applicable", " ")</f>
        <v>Not applicable</v>
      </c>
      <c r="D43" s="249"/>
      <c r="E43" s="252"/>
      <c r="F43" s="252"/>
      <c r="G43" s="252"/>
      <c r="H43" s="252"/>
      <c r="I43" s="252"/>
      <c r="J43" s="252"/>
      <c r="M43" s="10"/>
      <c r="N43" s="10"/>
    </row>
    <row r="44" spans="1:14" s="21" customFormat="1" ht="20.25" customHeight="1" x14ac:dyDescent="0.3">
      <c r="A44" s="39" t="s">
        <v>359</v>
      </c>
      <c r="B44" s="276">
        <v>2</v>
      </c>
      <c r="C44" s="244" t="str">
        <f t="shared" si="0"/>
        <v>Not applicable</v>
      </c>
      <c r="D44" s="249"/>
      <c r="E44" s="252"/>
      <c r="F44" s="252"/>
      <c r="G44" s="252"/>
      <c r="H44" s="252"/>
      <c r="I44" s="252"/>
      <c r="J44" s="252"/>
      <c r="M44" s="10"/>
      <c r="N44" s="10"/>
    </row>
    <row r="45" spans="1:14" s="21" customFormat="1" ht="20.25" customHeight="1" x14ac:dyDescent="0.3">
      <c r="A45" s="39" t="s">
        <v>354</v>
      </c>
      <c r="B45" s="280">
        <v>1.2</v>
      </c>
      <c r="C45" s="244" t="str">
        <f>IF(B$42="no","Not applicable", " ")</f>
        <v>Not applicable</v>
      </c>
      <c r="D45" s="249" t="s">
        <v>355</v>
      </c>
      <c r="E45" s="252"/>
      <c r="F45" s="252"/>
      <c r="G45" s="252"/>
      <c r="H45" s="252"/>
      <c r="I45" s="252"/>
      <c r="J45" s="252"/>
      <c r="M45" s="10"/>
      <c r="N45" s="10"/>
    </row>
    <row r="46" spans="1:14" s="21" customFormat="1" ht="20.25" customHeight="1" x14ac:dyDescent="0.3">
      <c r="A46" s="39" t="s">
        <v>361</v>
      </c>
      <c r="B46" s="276">
        <v>0.98</v>
      </c>
      <c r="C46" s="244" t="s">
        <v>336</v>
      </c>
      <c r="D46" s="249" t="str">
        <f>IF(AND(B42="yes",B44=1,B46&gt;0.95),"* With only one compressor, compresssor downtime will typically limit average efficiency to 95% or less."," ")</f>
        <v xml:space="preserve"> </v>
      </c>
      <c r="E46" s="252"/>
      <c r="F46" s="252"/>
      <c r="G46" s="252"/>
      <c r="H46" s="252"/>
      <c r="I46" s="252"/>
      <c r="J46" s="252"/>
      <c r="M46" s="10"/>
      <c r="N46" s="10"/>
    </row>
    <row r="47" spans="1:14" s="21" customFormat="1" ht="33.75" customHeight="1" x14ac:dyDescent="0.35">
      <c r="A47" s="39" t="s">
        <v>276</v>
      </c>
      <c r="B47" s="277">
        <v>1</v>
      </c>
      <c r="C47" s="244"/>
      <c r="D47" s="366" t="s">
        <v>303</v>
      </c>
      <c r="E47" s="367"/>
      <c r="F47" s="367"/>
      <c r="G47" s="367"/>
      <c r="H47" s="367"/>
      <c r="I47" s="367"/>
      <c r="J47" s="367"/>
      <c r="M47" s="10"/>
      <c r="N47" s="10"/>
    </row>
    <row r="48" spans="1:14" s="21" customFormat="1" ht="39.75" customHeight="1" x14ac:dyDescent="0.35">
      <c r="A48" s="39" t="s">
        <v>200</v>
      </c>
      <c r="B48" s="277">
        <v>300</v>
      </c>
      <c r="C48" s="267" t="s">
        <v>137</v>
      </c>
      <c r="D48" s="366" t="s">
        <v>304</v>
      </c>
      <c r="E48" s="367"/>
      <c r="F48" s="367"/>
      <c r="G48" s="367"/>
      <c r="H48" s="367"/>
      <c r="I48" s="367"/>
      <c r="J48" s="367"/>
      <c r="M48" s="10"/>
      <c r="N48" s="10"/>
    </row>
    <row r="49" spans="1:14" s="21" customFormat="1" ht="33.75" customHeight="1" x14ac:dyDescent="0.3">
      <c r="A49" s="39" t="s">
        <v>301</v>
      </c>
      <c r="B49" s="276" t="s">
        <v>262</v>
      </c>
      <c r="C49" s="207"/>
      <c r="D49" s="366" t="s">
        <v>302</v>
      </c>
      <c r="E49" s="367"/>
      <c r="F49" s="367"/>
      <c r="G49" s="367"/>
      <c r="H49" s="367"/>
      <c r="I49" s="367"/>
      <c r="J49" s="258"/>
      <c r="M49" s="10"/>
      <c r="N49" s="10"/>
    </row>
    <row r="50" spans="1:14" s="21" customFormat="1" ht="20.25" customHeight="1" x14ac:dyDescent="0.35">
      <c r="A50" s="28" t="s">
        <v>197</v>
      </c>
      <c r="B50" s="120">
        <v>920</v>
      </c>
      <c r="C50" s="207" t="str">
        <f>"Btu/scf"&amp;(IF(B50=920,"*"," "))</f>
        <v>Btu/scf*</v>
      </c>
      <c r="D50" s="249" t="str">
        <f>IF(B50=920,"* 920 Btu/scf is a default value. User should enter actual value, if known."," ")</f>
        <v>* 920 Btu/scf is a default value. User should enter actual value, if known.</v>
      </c>
      <c r="E50" s="252"/>
      <c r="F50" s="252"/>
      <c r="G50" s="252"/>
      <c r="H50" s="252"/>
      <c r="I50" s="252"/>
      <c r="J50" s="252"/>
      <c r="M50" s="10"/>
      <c r="N50" s="10"/>
    </row>
    <row r="51" spans="1:14" s="21" customFormat="1" ht="20.25" customHeight="1" x14ac:dyDescent="0.3">
      <c r="E51" s="259"/>
      <c r="F51" s="259"/>
      <c r="G51" s="259"/>
      <c r="H51" s="259"/>
      <c r="I51" s="259"/>
      <c r="J51" s="259"/>
      <c r="M51" s="10"/>
      <c r="N51" s="10"/>
    </row>
    <row r="52" spans="1:14" s="21" customFormat="1" ht="20.25" customHeight="1" x14ac:dyDescent="0.3">
      <c r="A52" s="208" t="s">
        <v>340</v>
      </c>
      <c r="B52" s="28"/>
      <c r="C52" s="28"/>
      <c r="D52" s="249"/>
      <c r="E52" s="252"/>
      <c r="F52" s="252"/>
      <c r="G52" s="252"/>
      <c r="H52" s="252"/>
      <c r="I52" s="252"/>
      <c r="J52" s="259"/>
      <c r="M52" s="10"/>
      <c r="N52" s="10"/>
    </row>
    <row r="53" spans="1:14" s="21" customFormat="1" ht="20.25" customHeight="1" x14ac:dyDescent="0.3">
      <c r="A53" s="28" t="s">
        <v>341</v>
      </c>
      <c r="B53" s="243">
        <v>630</v>
      </c>
      <c r="C53" s="244" t="str">
        <f>"hours/year"&amp;IF(B53=630,"*","")</f>
        <v>hours/year*</v>
      </c>
      <c r="D53" s="249" t="str">
        <f>IF(B53=630,"* 630 hours/year is a default value for flares operated continuously. User should enter actual value, if known."," ")</f>
        <v>* 630 hours/year is a default value for flares operated continuously. User should enter actual value, if known.</v>
      </c>
      <c r="E53" s="252"/>
      <c r="F53" s="252"/>
      <c r="G53" s="252"/>
      <c r="H53" s="252"/>
      <c r="I53" s="252"/>
      <c r="J53" s="259"/>
      <c r="M53" s="10"/>
      <c r="N53" s="10"/>
    </row>
    <row r="54" spans="1:14" s="21" customFormat="1" ht="20.25" customHeight="1" x14ac:dyDescent="0.3">
      <c r="A54" s="28" t="s">
        <v>342</v>
      </c>
      <c r="B54" s="246">
        <v>0.5</v>
      </c>
      <c r="C54" s="244" t="str">
        <f>"hours/shift"&amp;IF(B54=0.5,"*","")</f>
        <v>hours/shift*</v>
      </c>
      <c r="D54" s="249" t="str">
        <f>IF(B54=0.5,"* 0.5 hours/year is a default value for flares operated continuously. User should enter actual value, if known."," ")</f>
        <v>* 0.5 hours/year is a default value for flares operated continuously. User should enter actual value, if known.</v>
      </c>
      <c r="E54" s="24"/>
      <c r="F54" s="24"/>
      <c r="G54" s="24"/>
      <c r="H54" s="24"/>
      <c r="I54" s="24"/>
      <c r="M54" s="10"/>
      <c r="N54" s="10"/>
    </row>
    <row r="55" spans="1:14" s="21" customFormat="1" ht="20.25" customHeight="1" x14ac:dyDescent="0.3">
      <c r="A55" s="28"/>
      <c r="B55" s="24"/>
      <c r="C55" s="24"/>
      <c r="D55" s="24"/>
      <c r="E55" s="24"/>
      <c r="F55" s="24"/>
      <c r="G55" s="24"/>
      <c r="H55" s="24"/>
      <c r="I55" s="24"/>
      <c r="M55" s="10"/>
      <c r="N55" s="10"/>
    </row>
    <row r="56" spans="1:14" s="21" customFormat="1" ht="20.25" customHeight="1" x14ac:dyDescent="0.3">
      <c r="A56" s="54" t="s">
        <v>299</v>
      </c>
      <c r="B56" s="54"/>
      <c r="C56" s="54"/>
      <c r="D56" s="54"/>
      <c r="E56" s="54"/>
      <c r="F56" s="54"/>
      <c r="G56" s="54"/>
      <c r="H56" s="54"/>
      <c r="I56" s="54"/>
      <c r="J56" s="54"/>
      <c r="M56" s="10"/>
      <c r="N56" s="10"/>
    </row>
    <row r="57" spans="1:14" s="21" customFormat="1" ht="19.5" customHeight="1" x14ac:dyDescent="0.3">
      <c r="A57" s="28"/>
      <c r="B57" s="28"/>
      <c r="C57" s="28"/>
      <c r="D57" s="29"/>
      <c r="E57" s="29"/>
      <c r="F57" s="29"/>
      <c r="G57" s="29"/>
      <c r="H57" s="29"/>
      <c r="I57" s="29"/>
      <c r="J57" s="29"/>
      <c r="M57" s="10"/>
      <c r="N57" s="10"/>
    </row>
    <row r="58" spans="1:14" s="21" customFormat="1" ht="19.5" customHeight="1" x14ac:dyDescent="0.3">
      <c r="A58" s="28" t="s">
        <v>45</v>
      </c>
      <c r="B58" s="124">
        <v>2017</v>
      </c>
      <c r="C58" s="28"/>
      <c r="D58" s="28"/>
      <c r="E58" s="28"/>
      <c r="F58" s="28"/>
      <c r="G58" s="29"/>
      <c r="H58" s="29"/>
      <c r="I58" s="29"/>
      <c r="J58" s="29"/>
      <c r="M58" s="10"/>
      <c r="N58" s="10"/>
    </row>
    <row r="59" spans="1:14" s="21" customFormat="1" ht="20.25" customHeight="1" x14ac:dyDescent="0.3">
      <c r="A59" s="28" t="str">
        <f>"CEPCI* for " &amp; B58</f>
        <v>CEPCI* for 2017</v>
      </c>
      <c r="B59" s="124">
        <v>567.5</v>
      </c>
      <c r="C59" s="41" t="str">
        <f>"CEPCI value for "&amp;B58</f>
        <v>CEPCI value for 2017</v>
      </c>
      <c r="D59" s="37"/>
      <c r="E59" s="128">
        <v>567.5</v>
      </c>
      <c r="F59" s="129" t="s">
        <v>125</v>
      </c>
      <c r="G59" s="29"/>
      <c r="H59" s="29"/>
      <c r="I59" s="29"/>
      <c r="J59" s="29"/>
      <c r="M59" s="10"/>
      <c r="N59" s="10"/>
    </row>
    <row r="60" spans="1:14" ht="15.75" x14ac:dyDescent="0.25">
      <c r="A60" s="28" t="s">
        <v>26</v>
      </c>
      <c r="B60" s="120">
        <v>5</v>
      </c>
      <c r="C60" s="119" t="str">
        <f>(IF(B60&lt;&gt;5,"% (Current bank prime rate)","%*"))</f>
        <v>%*</v>
      </c>
      <c r="D60" s="387" t="str">
        <f>IF(B60=5,"* 5% is a default value. User should enter current prime bank rate, available at http://www.federalreserve.gov/releases/h15/.", "")</f>
        <v>* 5% is a default value. User should enter current prime bank rate, available at http://www.federalreserve.gov/releases/h15/.</v>
      </c>
      <c r="E60" s="388"/>
      <c r="F60" s="388"/>
      <c r="G60" s="388"/>
      <c r="H60" s="388"/>
      <c r="I60" s="388"/>
      <c r="J60" s="107"/>
    </row>
    <row r="61" spans="1:14" x14ac:dyDescent="0.25">
      <c r="A61" s="29"/>
      <c r="B61" s="29"/>
      <c r="C61" s="29"/>
      <c r="D61" s="29"/>
      <c r="E61" s="29"/>
      <c r="F61" s="29"/>
      <c r="G61" s="29"/>
      <c r="H61" s="29"/>
      <c r="I61" s="29"/>
      <c r="J61" s="29"/>
    </row>
    <row r="62" spans="1:14" ht="20.25" customHeight="1" x14ac:dyDescent="0.25">
      <c r="A62" s="389" t="s">
        <v>73</v>
      </c>
      <c r="B62" s="389"/>
      <c r="C62" s="389"/>
      <c r="D62" s="389"/>
      <c r="E62" s="389"/>
      <c r="F62" s="389"/>
      <c r="M62" s="26"/>
      <c r="N62" s="26"/>
    </row>
    <row r="63" spans="1:14" ht="20.25" customHeight="1" x14ac:dyDescent="0.25">
      <c r="A63" s="390"/>
      <c r="B63" s="389"/>
      <c r="C63" s="389"/>
      <c r="D63" s="389"/>
      <c r="E63" s="389"/>
      <c r="F63" s="389"/>
      <c r="M63" s="26"/>
      <c r="N63" s="26"/>
    </row>
    <row r="64" spans="1:14" x14ac:dyDescent="0.25">
      <c r="A64" s="156"/>
      <c r="B64" s="156"/>
      <c r="C64" s="156"/>
      <c r="D64" s="156"/>
      <c r="E64" s="156"/>
      <c r="F64" s="156"/>
      <c r="K64" s="26"/>
      <c r="L64" s="26"/>
      <c r="M64" s="26"/>
      <c r="N64" s="26"/>
    </row>
    <row r="65" spans="1:13" ht="18.75" x14ac:dyDescent="0.35">
      <c r="A65" s="28" t="s">
        <v>103</v>
      </c>
      <c r="B65" s="130">
        <v>7.7</v>
      </c>
      <c r="C65" s="97" t="str">
        <f>"per 1,000 lbs"&amp;IF(B65=5, "*","")</f>
        <v>per 1,000 lbs</v>
      </c>
      <c r="D65" s="103" t="str">
        <f>IF(B65=7.7,"* $7.70/1,000 lbs is a default value for 2017. User should enter actual value for desired year, if known.","")</f>
        <v>* $7.70/1,000 lbs is a default value for 2017. User should enter actual value for desired year, if known.</v>
      </c>
      <c r="E65" s="104"/>
      <c r="F65" s="104"/>
      <c r="G65" s="104"/>
      <c r="H65" s="104"/>
      <c r="I65" s="104"/>
      <c r="J65" s="104"/>
    </row>
    <row r="66" spans="1:13" ht="18.75" x14ac:dyDescent="0.35">
      <c r="A66" s="28" t="s">
        <v>104</v>
      </c>
      <c r="B66" s="131">
        <v>4.1399999999999997</v>
      </c>
      <c r="C66" s="97" t="str">
        <f>"per Mscf"&amp;IF(B66=4.14, "*","")</f>
        <v>per Mscf*</v>
      </c>
      <c r="D66" s="103" t="str">
        <f>IF(B66=4.14,"* $4.14/Mscf is a default value for 2017. User should enter actual value for desired year, if known.","")</f>
        <v>* $4.14/Mscf is a default value for 2017. User should enter actual value for desired year, if known.</v>
      </c>
      <c r="E66" s="104"/>
      <c r="F66" s="104"/>
      <c r="G66" s="104"/>
      <c r="H66" s="104"/>
      <c r="I66" s="104"/>
      <c r="J66" s="104"/>
    </row>
    <row r="67" spans="1:13" ht="18.75" x14ac:dyDescent="0.35">
      <c r="A67" s="28" t="s">
        <v>314</v>
      </c>
      <c r="B67" s="262">
        <v>6.88E-2</v>
      </c>
      <c r="C67" s="97" t="s">
        <v>315</v>
      </c>
      <c r="D67" s="103" t="str">
        <f>IF(B67=0.0688,"* $0.0688/kW-hr is a default value for 2017. User should enter actual value for desired year, if known.","")</f>
        <v>* $0.0688/kW-hr is a default value for 2017. User should enter actual value for desired year, if known.</v>
      </c>
      <c r="E67" s="104"/>
      <c r="F67" s="104"/>
      <c r="G67" s="104"/>
      <c r="H67" s="104"/>
      <c r="I67" s="104"/>
      <c r="J67" s="104"/>
    </row>
    <row r="68" spans="1:13" ht="15.75" x14ac:dyDescent="0.25">
      <c r="A68" s="28" t="s">
        <v>33</v>
      </c>
      <c r="B68" s="121">
        <v>29.63</v>
      </c>
      <c r="C68" s="37" t="str">
        <f>"per hour"&amp;IF(B68=27.48,"*","")</f>
        <v>per hour</v>
      </c>
      <c r="D68" s="103" t="str">
        <f>IF(B68=29.63,"* $29.63/hour is a default value for 2017. User should enter actual value for desired year, if known.","")</f>
        <v>* $29.63/hour is a default value for 2017. User should enter actual value for desired year, if known.</v>
      </c>
      <c r="E68" s="104"/>
      <c r="F68" s="104"/>
      <c r="G68" s="104"/>
      <c r="H68" s="104"/>
      <c r="I68" s="104"/>
      <c r="J68" s="104"/>
    </row>
    <row r="69" spans="1:13" ht="15.75" customHeight="1" x14ac:dyDescent="0.25">
      <c r="A69" s="28" t="s">
        <v>62</v>
      </c>
      <c r="B69" s="121">
        <v>25.12</v>
      </c>
      <c r="C69" s="37" t="str">
        <f>"per hour"&amp;IF(B69=30.23,"*","")</f>
        <v>per hour</v>
      </c>
      <c r="D69" s="103" t="str">
        <f>IF(B69=25.12,"* $25.12/hour is a default value for 2017. User should enter actual value for desired year, if known. If the rate is not known, use 1.10 x operator labor rate.","")</f>
        <v>* $25.12/hour is a default value for 2017. User should enter actual value for desired year, if known. If the rate is not known, use 1.10 x operator labor rate.</v>
      </c>
      <c r="E69" s="104"/>
      <c r="F69" s="104"/>
      <c r="G69" s="104"/>
      <c r="H69" s="104"/>
      <c r="I69" s="104"/>
      <c r="J69" s="104"/>
    </row>
    <row r="70" spans="1:13" ht="15.75" customHeight="1" x14ac:dyDescent="0.25">
      <c r="A70" s="29"/>
      <c r="B70" s="29"/>
      <c r="C70" s="29"/>
      <c r="D70" s="29"/>
      <c r="E70" s="29"/>
      <c r="F70" s="29"/>
      <c r="G70" s="29"/>
      <c r="H70" s="29"/>
      <c r="I70" s="29"/>
      <c r="J70" s="29"/>
    </row>
    <row r="71" spans="1:13" ht="15.75" customHeight="1" x14ac:dyDescent="0.35">
      <c r="A71" s="28" t="s">
        <v>228</v>
      </c>
      <c r="B71" s="171"/>
      <c r="C71" s="106"/>
      <c r="D71" s="29"/>
      <c r="E71" s="29"/>
      <c r="F71" s="29"/>
      <c r="G71" s="29"/>
      <c r="H71" s="29"/>
      <c r="I71" s="29"/>
      <c r="J71" s="29"/>
    </row>
    <row r="72" spans="1:13" ht="63" x14ac:dyDescent="0.25">
      <c r="A72" s="29"/>
      <c r="B72" s="274" t="s">
        <v>337</v>
      </c>
      <c r="C72" s="268" t="str">
        <f>"If available, enter site-specific monitoring costs in "&amp;B58&amp;" dollars. Otherwise, leave blank and default values will be used."</f>
        <v>If available, enter site-specific monitoring costs in 2017 dollars. Otherwise, leave blank and default values will be used.</v>
      </c>
      <c r="D72" s="29"/>
      <c r="E72" s="29"/>
      <c r="F72" s="368" t="str">
        <f>"Values Used For Monitoring Equipment Costs (Cm) in "&amp;B58&amp;" Dollars"</f>
        <v>Values Used For Monitoring Equipment Costs (Cm) in 2017 Dollars</v>
      </c>
      <c r="G72" s="368"/>
      <c r="H72" s="29"/>
      <c r="I72" s="29"/>
      <c r="J72" s="29"/>
    </row>
    <row r="73" spans="1:13" ht="16.5" customHeight="1" x14ac:dyDescent="0.25">
      <c r="A73" s="158" t="s">
        <v>118</v>
      </c>
      <c r="B73" s="234" t="s">
        <v>261</v>
      </c>
      <c r="C73" s="123"/>
      <c r="D73" s="29"/>
      <c r="E73" s="29"/>
      <c r="F73" s="269">
        <f>IF(B73="yes",IF(OR(C73="",C73=0),'Tables A &amp; B'!B4,C73),0)</f>
        <v>4100</v>
      </c>
      <c r="G73" s="278" t="str">
        <f>IF(B73="yes",(IF(F73='Tables A &amp; B'!B4,"(Based on default cost)","(Based on actual cost)"))," ")</f>
        <v>(Based on default cost)</v>
      </c>
      <c r="H73" s="29"/>
      <c r="I73" s="29"/>
      <c r="J73" s="29"/>
      <c r="M73" s="275">
        <f t="shared" ref="M73:M79" si="1">IF(OR(G73=" ",G73="(Based on default cost)"),0,1)</f>
        <v>0</v>
      </c>
    </row>
    <row r="74" spans="1:13" ht="15.75" x14ac:dyDescent="0.25">
      <c r="A74" s="158" t="s">
        <v>119</v>
      </c>
      <c r="B74" s="234" t="s">
        <v>262</v>
      </c>
      <c r="C74" s="122"/>
      <c r="D74" s="29"/>
      <c r="E74" s="29"/>
      <c r="F74" s="269">
        <f>IF(B74="yes",IF(OR(C74="",C74=0),'Tables A &amp; B'!B5,C74),0)</f>
        <v>0</v>
      </c>
      <c r="G74" s="278" t="str">
        <f>IF(B74="yes",(IF(F74='Tables A &amp; B'!B5,"(Based on default cost)","(Based on actual cost)"))," ")</f>
        <v xml:space="preserve"> </v>
      </c>
      <c r="H74" s="29"/>
      <c r="I74" s="29"/>
      <c r="J74" s="29"/>
      <c r="M74" s="275">
        <f t="shared" si="1"/>
        <v>0</v>
      </c>
    </row>
    <row r="75" spans="1:13" ht="15.75" x14ac:dyDescent="0.25">
      <c r="A75" s="158" t="s">
        <v>120</v>
      </c>
      <c r="B75" s="234" t="s">
        <v>262</v>
      </c>
      <c r="C75" s="122"/>
      <c r="D75" s="29"/>
      <c r="E75" s="29"/>
      <c r="F75" s="269">
        <f>IF(B75="yes",IF(OR(C75="",C75=0),'Tables A &amp; B'!B6,C75),0)</f>
        <v>0</v>
      </c>
      <c r="G75" s="278" t="str">
        <f>IF(B75="yes",(IF(F75='Tables A &amp; B'!B6,"(Based on default cost)","(Based on actual cost)"))," ")</f>
        <v xml:space="preserve"> </v>
      </c>
      <c r="H75" s="29"/>
      <c r="I75" s="29"/>
      <c r="J75" s="29"/>
      <c r="M75" s="275">
        <f t="shared" si="1"/>
        <v>0</v>
      </c>
    </row>
    <row r="76" spans="1:13" ht="15.75" x14ac:dyDescent="0.25">
      <c r="A76" s="158" t="s">
        <v>121</v>
      </c>
      <c r="B76" s="234" t="s">
        <v>262</v>
      </c>
      <c r="C76" s="123"/>
      <c r="D76" s="29"/>
      <c r="E76" s="29"/>
      <c r="F76" s="269">
        <f>IF(B76="yes",IF(OR(C76="",C76=0),'Tables A &amp; B'!B7,C76),0)</f>
        <v>0</v>
      </c>
      <c r="G76" s="278" t="str">
        <f>IF(B76="yes",(IF(F76='Tables A &amp; B'!B7,"(Based on default cost)","(Based on actual cost)"))," ")</f>
        <v xml:space="preserve"> </v>
      </c>
      <c r="H76" s="29"/>
      <c r="I76" s="29"/>
      <c r="J76" s="29"/>
      <c r="M76" s="275">
        <f t="shared" si="1"/>
        <v>0</v>
      </c>
    </row>
    <row r="77" spans="1:13" ht="15.75" x14ac:dyDescent="0.25">
      <c r="A77" s="158" t="s">
        <v>122</v>
      </c>
      <c r="B77" s="234" t="s">
        <v>262</v>
      </c>
      <c r="C77" s="123"/>
      <c r="D77" s="29"/>
      <c r="E77" s="29"/>
      <c r="F77" s="269">
        <f>IF(B77="yes",IF(OR(C77="",C77=0),'Tables A &amp; B'!B8,C77),0)</f>
        <v>0</v>
      </c>
      <c r="G77" s="278" t="str">
        <f>IF(B77="yes",(IF(F77='Tables A &amp; B'!B8,"(Based on default cost)","(Based on actual cost)"))," ")</f>
        <v xml:space="preserve"> </v>
      </c>
      <c r="H77" s="29"/>
      <c r="I77" s="29"/>
      <c r="J77" s="29"/>
      <c r="M77" s="275">
        <f t="shared" si="1"/>
        <v>0</v>
      </c>
    </row>
    <row r="78" spans="1:13" ht="15.75" x14ac:dyDescent="0.25">
      <c r="A78" s="158" t="s">
        <v>123</v>
      </c>
      <c r="B78" s="234" t="s">
        <v>262</v>
      </c>
      <c r="C78" s="123"/>
      <c r="D78" s="29"/>
      <c r="E78" s="29"/>
      <c r="F78" s="269">
        <f>IF(B78="yes",IF(OR(C78="",C78=0),'Tables A &amp; B'!B9,C78),0)</f>
        <v>0</v>
      </c>
      <c r="G78" s="278" t="str">
        <f>IF(B78="yes",(IF(F78='Tables A &amp; B'!B9,"(Based on default cost)","(Based on actual cost)"))," ")</f>
        <v xml:space="preserve"> </v>
      </c>
      <c r="H78" s="29"/>
      <c r="I78" s="29"/>
      <c r="J78" s="29"/>
      <c r="M78" s="275">
        <f t="shared" si="1"/>
        <v>0</v>
      </c>
    </row>
    <row r="79" spans="1:13" ht="15.75" x14ac:dyDescent="0.25">
      <c r="A79" s="158" t="s">
        <v>124</v>
      </c>
      <c r="B79" s="234" t="s">
        <v>262</v>
      </c>
      <c r="C79" s="123"/>
      <c r="D79" s="29"/>
      <c r="E79" s="29"/>
      <c r="F79" s="269">
        <f>IF(B79="yes",IF(OR(C79="",C79=0),'Tables A &amp; B'!B10,C79),0)</f>
        <v>0</v>
      </c>
      <c r="G79" s="278" t="str">
        <f>IF(B79="yes",(IF(F79='Tables A &amp; B'!B10,"(Based on default cost)","(Based on actual cost)"))," ")</f>
        <v xml:space="preserve"> </v>
      </c>
      <c r="H79" s="29"/>
      <c r="I79" s="29"/>
      <c r="J79" s="29"/>
      <c r="M79" s="275">
        <f t="shared" si="1"/>
        <v>0</v>
      </c>
    </row>
    <row r="80" spans="1:13" ht="15.75" x14ac:dyDescent="0.25">
      <c r="A80" s="158"/>
      <c r="B80" s="159"/>
      <c r="C80" s="106"/>
      <c r="D80" s="29"/>
      <c r="E80" s="29"/>
      <c r="F80" s="29"/>
      <c r="G80" s="29"/>
      <c r="H80" s="29"/>
      <c r="I80" s="29"/>
      <c r="J80" s="29"/>
      <c r="M80" s="275">
        <f>COUNTIF(B73:B79,"yes")</f>
        <v>1</v>
      </c>
    </row>
    <row r="81" spans="1:14" ht="15.75" x14ac:dyDescent="0.25">
      <c r="A81" s="28" t="s">
        <v>322</v>
      </c>
      <c r="B81" s="28"/>
      <c r="C81" s="29"/>
      <c r="D81" s="29"/>
      <c r="E81" s="29"/>
      <c r="F81" s="29"/>
      <c r="G81" s="29"/>
      <c r="H81" s="29"/>
      <c r="I81" s="29"/>
      <c r="J81" s="29"/>
      <c r="M81" s="29"/>
    </row>
    <row r="82" spans="1:14" ht="18.75" x14ac:dyDescent="0.35">
      <c r="A82" s="28" t="s">
        <v>323</v>
      </c>
      <c r="B82" s="122">
        <v>0</v>
      </c>
      <c r="C82" s="103" t="str">
        <f>IF(B82=0, "* Default value. User should enter actual value for desired year, if known."," ")</f>
        <v>* Default value. User should enter actual value for desired year, if known.</v>
      </c>
      <c r="D82" s="29"/>
      <c r="E82" s="29"/>
      <c r="F82" s="29"/>
      <c r="G82" s="29"/>
      <c r="H82" s="29"/>
      <c r="I82" s="29"/>
      <c r="J82" s="29"/>
      <c r="M82" s="29"/>
    </row>
    <row r="83" spans="1:14" ht="15.75" x14ac:dyDescent="0.25">
      <c r="A83" s="105" t="s">
        <v>7</v>
      </c>
      <c r="B83" s="122">
        <v>0</v>
      </c>
      <c r="C83" s="103" t="str">
        <f>IF(B83=0, "* Default value. User should enter actual value, if known."," ")</f>
        <v>* Default value. User should enter actual value, if known.</v>
      </c>
      <c r="D83" s="106"/>
      <c r="E83" s="106"/>
      <c r="F83" s="106"/>
      <c r="G83" s="106"/>
      <c r="H83" s="106"/>
      <c r="I83" s="106"/>
      <c r="J83" s="29"/>
    </row>
    <row r="84" spans="1:14" ht="15.75" x14ac:dyDescent="0.25">
      <c r="A84" s="105" t="s">
        <v>8</v>
      </c>
      <c r="B84" s="123">
        <v>0</v>
      </c>
      <c r="C84" s="103" t="str">
        <f>IF(B84=0, "* Default value. User should enter actual value, if known."," ")</f>
        <v>* Default value. User should enter actual value, if known.</v>
      </c>
      <c r="D84" s="106"/>
      <c r="E84" s="106"/>
      <c r="F84" s="106"/>
      <c r="G84" s="106"/>
      <c r="H84" s="106"/>
      <c r="I84" s="106"/>
      <c r="J84" s="29"/>
    </row>
    <row r="85" spans="1:14" ht="18.75" x14ac:dyDescent="0.3">
      <c r="A85" s="28" t="s">
        <v>324</v>
      </c>
      <c r="B85" s="229">
        <v>10</v>
      </c>
      <c r="C85" s="37" t="str">
        <f>"percent"&amp;IF(B85&gt;=10,"*","")</f>
        <v>percent*</v>
      </c>
      <c r="D85" s="103" t="str">
        <f>IF(B85=10,"* 10 percent is a default value. The contingency factor should be between 5 and 15 percent.",(IF(B85&gt;15, "* The value you entered is higher than expected. Contingency factors are typically between 5 and 15%", " ")))</f>
        <v>* 10 percent is a default value. The contingency factor should be between 5 and 15 percent.</v>
      </c>
      <c r="E85" s="29"/>
      <c r="F85" s="29"/>
      <c r="G85" s="29"/>
      <c r="H85" s="29"/>
      <c r="I85" s="29"/>
      <c r="J85" s="108"/>
    </row>
    <row r="86" spans="1:14" s="29" customFormat="1" ht="15.75" x14ac:dyDescent="0.25">
      <c r="A86" s="39"/>
      <c r="B86" s="40"/>
      <c r="C86" s="38"/>
      <c r="D86" s="38"/>
      <c r="E86" s="38"/>
      <c r="F86" s="38"/>
      <c r="G86" s="38"/>
      <c r="H86" s="38"/>
      <c r="I86" s="38"/>
    </row>
    <row r="88" spans="1:14" ht="18.75" x14ac:dyDescent="0.3">
      <c r="A88" s="54" t="s">
        <v>54</v>
      </c>
      <c r="B88" s="54"/>
      <c r="C88" s="54"/>
      <c r="D88" s="54"/>
      <c r="E88" s="54"/>
      <c r="F88" s="54"/>
      <c r="G88" s="54"/>
      <c r="H88" s="54"/>
      <c r="I88" s="54"/>
      <c r="J88" s="54"/>
    </row>
    <row r="89" spans="1:14" ht="17.25" customHeight="1" x14ac:dyDescent="0.3">
      <c r="K89" s="22"/>
      <c r="L89" s="22"/>
    </row>
    <row r="90" spans="1:14" customFormat="1" x14ac:dyDescent="0.25">
      <c r="A90" s="92" t="s">
        <v>55</v>
      </c>
      <c r="B90" s="93" t="s">
        <v>56</v>
      </c>
      <c r="C90" s="385" t="s">
        <v>57</v>
      </c>
      <c r="D90" s="386"/>
      <c r="E90" s="382" t="s">
        <v>63</v>
      </c>
      <c r="F90" s="383"/>
      <c r="G90" s="383"/>
      <c r="H90" s="383"/>
      <c r="I90" s="384"/>
      <c r="J90" s="94" t="s">
        <v>58</v>
      </c>
      <c r="K90" s="18"/>
      <c r="L90" s="18"/>
      <c r="M90" s="18"/>
      <c r="N90" s="18"/>
    </row>
    <row r="91" spans="1:14" ht="45" x14ac:dyDescent="0.25">
      <c r="A91" s="192" t="s">
        <v>106</v>
      </c>
      <c r="B91" s="283">
        <v>4.1399999999999997</v>
      </c>
      <c r="C91" s="369" t="s">
        <v>239</v>
      </c>
      <c r="D91" s="370"/>
      <c r="E91" s="379" t="s">
        <v>59</v>
      </c>
      <c r="F91" s="380"/>
      <c r="G91" s="380"/>
      <c r="H91" s="380"/>
      <c r="I91" s="381"/>
      <c r="J91" s="95" t="s">
        <v>105</v>
      </c>
    </row>
    <row r="92" spans="1:14" s="3" customFormat="1" ht="122.25" customHeight="1" x14ac:dyDescent="0.3">
      <c r="A92" s="193" t="s">
        <v>60</v>
      </c>
      <c r="B92" s="217">
        <v>29.63</v>
      </c>
      <c r="C92" s="374" t="s">
        <v>233</v>
      </c>
      <c r="D92" s="375"/>
      <c r="E92" s="376" t="s">
        <v>59</v>
      </c>
      <c r="F92" s="377"/>
      <c r="G92" s="377"/>
      <c r="H92" s="377"/>
      <c r="I92" s="378"/>
      <c r="J92" s="95" t="s">
        <v>235</v>
      </c>
      <c r="K92" s="98"/>
      <c r="L92" s="98"/>
      <c r="M92" s="98"/>
      <c r="N92" s="98"/>
    </row>
    <row r="93" spans="1:14" customFormat="1" ht="75" x14ac:dyDescent="0.25">
      <c r="A93" s="194" t="s">
        <v>61</v>
      </c>
      <c r="B93" s="217">
        <v>25.12</v>
      </c>
      <c r="C93" s="374" t="s">
        <v>234</v>
      </c>
      <c r="D93" s="375"/>
      <c r="E93" s="376" t="s">
        <v>59</v>
      </c>
      <c r="F93" s="377"/>
      <c r="G93" s="377"/>
      <c r="H93" s="377"/>
      <c r="I93" s="378"/>
      <c r="J93" s="95" t="s">
        <v>236</v>
      </c>
      <c r="K93" s="18"/>
      <c r="L93" s="11"/>
      <c r="M93" s="11"/>
      <c r="N93" s="11"/>
    </row>
    <row r="94" spans="1:14" customFormat="1" ht="150" x14ac:dyDescent="0.25">
      <c r="A94" s="195" t="s">
        <v>226</v>
      </c>
      <c r="B94" s="283">
        <f>ROUND(1.3*(1128*1000/920*(B91/1000)/0.857),2)</f>
        <v>7.7</v>
      </c>
      <c r="C94" s="369" t="s">
        <v>339</v>
      </c>
      <c r="D94" s="370"/>
      <c r="E94" s="371" t="s">
        <v>59</v>
      </c>
      <c r="F94" s="372"/>
      <c r="G94" s="372"/>
      <c r="H94" s="372"/>
      <c r="I94" s="373"/>
      <c r="J94" s="95" t="s">
        <v>338</v>
      </c>
      <c r="K94" s="18"/>
      <c r="L94" s="18"/>
      <c r="M94" s="18"/>
      <c r="N94" s="18"/>
    </row>
    <row r="95" spans="1:14" customFormat="1" ht="33" customHeight="1" x14ac:dyDescent="0.25">
      <c r="A95" s="273" t="s">
        <v>316</v>
      </c>
      <c r="B95" s="284">
        <v>6.88E-2</v>
      </c>
      <c r="C95" s="362" t="s">
        <v>365</v>
      </c>
      <c r="D95" s="362"/>
      <c r="E95" s="363" t="s">
        <v>59</v>
      </c>
      <c r="F95" s="363"/>
      <c r="G95" s="363"/>
      <c r="H95" s="363"/>
      <c r="I95" s="363"/>
      <c r="J95" s="95"/>
      <c r="K95" s="18"/>
      <c r="L95" s="18"/>
      <c r="M95" s="18"/>
      <c r="N95" s="18"/>
    </row>
    <row r="96" spans="1:14" customFormat="1" ht="69.75" customHeight="1" x14ac:dyDescent="0.25">
      <c r="A96" s="270"/>
      <c r="B96" s="271"/>
      <c r="C96" s="364"/>
      <c r="D96" s="364"/>
      <c r="E96" s="365" t="s">
        <v>59</v>
      </c>
      <c r="F96" s="365"/>
      <c r="G96" s="365"/>
      <c r="H96" s="365"/>
      <c r="I96" s="365"/>
      <c r="J96" s="272"/>
      <c r="K96" s="18"/>
      <c r="L96" s="18"/>
      <c r="M96" s="18"/>
      <c r="N96" s="18"/>
    </row>
    <row r="97" spans="1:14" customFormat="1" ht="84.75" customHeight="1" x14ac:dyDescent="0.25">
      <c r="A97" s="18"/>
      <c r="B97" s="18"/>
      <c r="C97" s="18"/>
      <c r="D97" s="18"/>
      <c r="E97" s="18"/>
      <c r="F97" s="18"/>
      <c r="G97" s="18"/>
      <c r="H97" s="18"/>
      <c r="I97" s="18"/>
      <c r="J97" s="18"/>
      <c r="K97" s="18"/>
      <c r="L97" s="18"/>
      <c r="M97" s="18"/>
      <c r="N97" s="18"/>
    </row>
    <row r="98" spans="1:14" customFormat="1" ht="67.5" customHeight="1" x14ac:dyDescent="0.25">
      <c r="A98" s="18"/>
      <c r="B98" s="18"/>
      <c r="C98" s="18"/>
      <c r="D98" s="18"/>
      <c r="E98" s="18"/>
      <c r="F98" s="18"/>
      <c r="G98" s="18"/>
      <c r="H98" s="18"/>
      <c r="I98" s="18"/>
      <c r="J98" s="18"/>
      <c r="K98" s="18"/>
      <c r="L98" s="18"/>
      <c r="M98" s="18"/>
      <c r="N98" s="18"/>
    </row>
  </sheetData>
  <mergeCells count="20">
    <mergeCell ref="D47:J47"/>
    <mergeCell ref="C94:D94"/>
    <mergeCell ref="E94:I94"/>
    <mergeCell ref="C93:D93"/>
    <mergeCell ref="E92:I92"/>
    <mergeCell ref="E93:I93"/>
    <mergeCell ref="C92:D92"/>
    <mergeCell ref="C91:D91"/>
    <mergeCell ref="E91:I91"/>
    <mergeCell ref="E90:I90"/>
    <mergeCell ref="C90:D90"/>
    <mergeCell ref="D60:I60"/>
    <mergeCell ref="A62:F63"/>
    <mergeCell ref="D49:I49"/>
    <mergeCell ref="C95:D95"/>
    <mergeCell ref="E95:I95"/>
    <mergeCell ref="C96:D96"/>
    <mergeCell ref="E96:I96"/>
    <mergeCell ref="D48:J48"/>
    <mergeCell ref="F72:G72"/>
  </mergeCells>
  <dataValidations count="6">
    <dataValidation type="whole" operator="greaterThanOrEqual" allowBlank="1" showInputMessage="1" showErrorMessage="1" error="Year must be 2012 or later" sqref="B58" xr:uid="{00000000-0002-0000-0100-000000000000}">
      <formula1>2012</formula1>
    </dataValidation>
    <dataValidation type="list" allowBlank="1" showInputMessage="1" showErrorMessage="1" sqref="B49 B73:B79 B41:B42" xr:uid="{036A874A-82E4-4C0B-9958-5352D8512EE6}">
      <formula1>$O$2:$O$3</formula1>
    </dataValidation>
    <dataValidation type="list" allowBlank="1" showInputMessage="1" showErrorMessage="1" sqref="B43:B44" xr:uid="{1DFECC33-790F-4BD3-9992-0DA6226DE451}">
      <formula1>$P$1:$P$5</formula1>
    </dataValidation>
    <dataValidation type="list" allowBlank="1" showInputMessage="1" showErrorMessage="1" sqref="B47" xr:uid="{2FC71AB5-14CB-40FE-9704-785EFEC10912}">
      <formula1>$O$1:$P$1</formula1>
    </dataValidation>
    <dataValidation type="decimal" allowBlank="1" showInputMessage="1" showErrorMessage="1" errorTitle="Recovery Efficiency" error="Value entered must b a fractional recovery efficiency, wht a value between 0 and 1." promptTitle="Recovery Efficiency" prompt="Enter a value between 0 and 1." sqref="B46" xr:uid="{6E70C999-78A2-4E9A-A44F-5C26833FA800}">
      <formula1>0</formula1>
      <formula2>1</formula2>
    </dataValidation>
    <dataValidation type="decimal" operator="greaterThanOrEqual" allowBlank="1" showInputMessage="1" showErrorMessage="1" errorTitle="Monitoring Costs" error="Entry must be numeric value greater than or equal to 0. " promptTitle="Monitoring Cost" prompt="If known, enter actual monitoring system cost in desired year $." sqref="C73:C79" xr:uid="{D0333DDF-1B56-4A40-8ABA-895579BAD24A}">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Reset">
                <anchor moveWithCells="1">
                  <from>
                    <xdr:col>3</xdr:col>
                    <xdr:colOff>104775</xdr:colOff>
                    <xdr:row>1</xdr:row>
                    <xdr:rowOff>285750</xdr:rowOff>
                  </from>
                  <to>
                    <xdr:col>3</xdr:col>
                    <xdr:colOff>1162050</xdr:colOff>
                    <xdr:row>3</xdr:row>
                    <xdr:rowOff>38100</xdr:rowOff>
                  </to>
                </anchor>
              </controlPr>
            </control>
          </mc:Choice>
        </mc:AlternateContent>
        <mc:AlternateContent xmlns:mc="http://schemas.openxmlformats.org/markup-compatibility/2006">
          <mc:Choice Requires="x14">
            <control shapeId="3076" r:id="rId5" name="Drop Down 4">
              <controlPr defaultSize="0" autoLine="0" autoPict="0">
                <anchor moveWithCells="1">
                  <from>
                    <xdr:col>0</xdr:col>
                    <xdr:colOff>3295650</xdr:colOff>
                    <xdr:row>2</xdr:row>
                    <xdr:rowOff>28575</xdr:rowOff>
                  </from>
                  <to>
                    <xdr:col>1</xdr:col>
                    <xdr:colOff>895350</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tint="0.59999389629810485"/>
  </sheetPr>
  <dimension ref="A1:Q83"/>
  <sheetViews>
    <sheetView topLeftCell="A61" zoomScaleNormal="100" workbookViewId="0">
      <selection activeCell="N10" sqref="N10"/>
    </sheetView>
  </sheetViews>
  <sheetFormatPr defaultRowHeight="15" x14ac:dyDescent="0.25"/>
  <cols>
    <col min="1" max="1" width="77.5703125" style="18" customWidth="1"/>
    <col min="2" max="2" width="89.140625" style="18" customWidth="1"/>
    <col min="3" max="3" width="18" style="18" customWidth="1"/>
    <col min="4" max="4" width="10.42578125" style="18" customWidth="1"/>
    <col min="5" max="5" width="26.28515625" style="18" customWidth="1"/>
    <col min="6" max="6" width="22.7109375" style="18" customWidth="1"/>
    <col min="7" max="10" width="9.140625" style="18"/>
    <col min="11" max="11" width="2.7109375" style="18" customWidth="1"/>
    <col min="12" max="12" width="23.85546875" style="18" customWidth="1"/>
    <col min="13" max="13" width="17.7109375" style="18" customWidth="1"/>
    <col min="14" max="14" width="11.5703125" style="18" customWidth="1"/>
    <col min="15" max="15" width="12.28515625" style="18" customWidth="1"/>
    <col min="16" max="16" width="11.5703125" style="18" customWidth="1"/>
    <col min="17" max="16384" width="9.140625" style="18"/>
  </cols>
  <sheetData>
    <row r="1" spans="1:17" s="14" customFormat="1" ht="23.25" x14ac:dyDescent="0.35">
      <c r="A1" s="393" t="s">
        <v>31</v>
      </c>
      <c r="B1" s="393"/>
      <c r="C1" s="393"/>
      <c r="D1" s="393"/>
      <c r="E1" s="393"/>
      <c r="F1" s="393"/>
      <c r="G1" s="13"/>
      <c r="H1" s="13"/>
      <c r="I1" s="13"/>
      <c r="J1" s="13"/>
      <c r="K1" s="13"/>
      <c r="L1" s="13"/>
      <c r="M1" s="13"/>
      <c r="N1" s="13"/>
      <c r="O1" s="13"/>
      <c r="P1" s="13"/>
      <c r="Q1" s="13"/>
    </row>
    <row r="2" spans="1:17" s="16" customFormat="1" ht="15.75" x14ac:dyDescent="0.25">
      <c r="A2" s="23"/>
      <c r="B2" s="23"/>
      <c r="C2" s="23"/>
    </row>
    <row r="3" spans="1:17" s="16" customFormat="1" ht="24" customHeight="1" x14ac:dyDescent="0.25">
      <c r="A3" s="394" t="s">
        <v>214</v>
      </c>
      <c r="B3" s="394"/>
      <c r="C3" s="394"/>
      <c r="D3" s="394"/>
      <c r="E3" s="394"/>
      <c r="F3" s="394"/>
    </row>
    <row r="4" spans="1:17" s="16" customFormat="1" ht="15" customHeight="1" x14ac:dyDescent="0.25">
      <c r="A4" s="286"/>
      <c r="B4" s="286"/>
      <c r="C4" s="286"/>
      <c r="D4" s="286"/>
      <c r="E4" s="286"/>
      <c r="F4" s="286"/>
    </row>
    <row r="5" spans="1:17" s="16" customFormat="1" ht="31.5" customHeight="1" x14ac:dyDescent="0.25">
      <c r="A5" s="30" t="s">
        <v>395</v>
      </c>
      <c r="B5" s="297" t="s">
        <v>396</v>
      </c>
      <c r="C5" s="294" t="s">
        <v>29</v>
      </c>
      <c r="D5" s="30" t="s">
        <v>30</v>
      </c>
      <c r="E5" s="297"/>
      <c r="F5" s="297"/>
    </row>
    <row r="6" spans="1:17" s="16" customFormat="1" ht="21.75" customHeight="1" x14ac:dyDescent="0.25">
      <c r="A6" s="296" t="s">
        <v>397</v>
      </c>
      <c r="B6" s="300"/>
      <c r="C6" s="301">
        <f>C27</f>
        <v>6</v>
      </c>
      <c r="D6" s="295" t="str">
        <f>D27</f>
        <v>inches</v>
      </c>
      <c r="E6" s="299"/>
      <c r="F6" s="299"/>
    </row>
    <row r="7" spans="1:17" s="17" customFormat="1" ht="21.75" customHeight="1" x14ac:dyDescent="0.25">
      <c r="A7" s="296" t="s">
        <v>398</v>
      </c>
      <c r="B7" s="298" t="str">
        <f>IF('Data Inputs'!L1=1,"Enter flare support type in Row 3 of Data Inputs tab",IF(AND('Data Inputs'!L1=2,C7&gt;100),"Flare height exceeds height for self-supported flare. Select different flare type.",IF(AND('Data Inputs'!L1=3,C7&gt;450),"Flare height exceeds height for guy-supported flare. Select derrick-supported flare type.",IF(AND('Data Inputs'!L1=3,C7&lt;50),"Flare height is less than that used for guy-supported flares. Select self-supported flare type.", IF(AND('Data Inputs'!L1=4,C7&lt;200),"Flare height is less that that used for derrick-supported flare. Select a different flare type.","")))))</f>
        <v/>
      </c>
      <c r="C7" s="301">
        <f>C28</f>
        <v>121</v>
      </c>
      <c r="D7" s="295" t="str">
        <f>D28</f>
        <v>ft.</v>
      </c>
      <c r="E7" s="298"/>
      <c r="F7" s="298"/>
    </row>
    <row r="8" spans="1:17" s="17" customFormat="1" ht="15.75" x14ac:dyDescent="0.25">
      <c r="A8" s="18"/>
      <c r="B8" s="18"/>
      <c r="C8" s="109"/>
      <c r="D8" s="110"/>
      <c r="L8" s="397" t="s">
        <v>289</v>
      </c>
      <c r="M8" s="398"/>
      <c r="N8" s="391" t="s">
        <v>291</v>
      </c>
      <c r="O8" s="391" t="s">
        <v>292</v>
      </c>
      <c r="P8" s="391" t="s">
        <v>300</v>
      </c>
    </row>
    <row r="9" spans="1:17" s="15" customFormat="1" ht="29.25" customHeight="1" x14ac:dyDescent="0.35">
      <c r="A9" s="30" t="s">
        <v>27</v>
      </c>
      <c r="B9" s="36" t="s">
        <v>28</v>
      </c>
      <c r="C9" s="30" t="s">
        <v>29</v>
      </c>
      <c r="D9" s="30" t="s">
        <v>30</v>
      </c>
      <c r="E9" s="30"/>
      <c r="F9" s="30"/>
      <c r="G9" s="16"/>
      <c r="H9" s="16"/>
      <c r="I9" s="16"/>
      <c r="J9" s="16"/>
      <c r="K9" s="16"/>
      <c r="L9" s="239" t="s">
        <v>287</v>
      </c>
      <c r="M9" s="240" t="s">
        <v>288</v>
      </c>
      <c r="N9" s="392"/>
      <c r="O9" s="392"/>
      <c r="P9" s="392"/>
      <c r="Q9" s="16"/>
    </row>
    <row r="10" spans="1:17" s="21" customFormat="1" ht="20.25" customHeight="1" x14ac:dyDescent="0.35">
      <c r="A10" s="28" t="s">
        <v>240</v>
      </c>
      <c r="B10" s="24" t="s">
        <v>286</v>
      </c>
      <c r="C10" s="146">
        <f>'Data Inputs'!E30</f>
        <v>100</v>
      </c>
      <c r="D10" s="28" t="s">
        <v>0</v>
      </c>
      <c r="E10" s="24"/>
      <c r="F10" s="24"/>
      <c r="K10" s="17">
        <v>1</v>
      </c>
      <c r="L10" s="236">
        <f>'Data Inputs'!B8+IF('Data Inputs'!B13&lt;'Data Inputs'!$B$48,IF('Data Inputs'!B8=0,1,'Data Inputs'!B8)*('Data Inputs'!$B$48-'Data Inputs'!B13)/('Data Inputs'!$B$50-'Data Inputs'!$B$48),0)</f>
        <v>3000</v>
      </c>
      <c r="M10" s="237">
        <f>IF(L10=0,1000,('Data Inputs'!B13*'Data Inputs'!B8+'Data Inputs'!$B$50*(L10-'Data Inputs'!B8))/(L10))</f>
        <v>1500</v>
      </c>
      <c r="N10" s="238">
        <f>IF(M10&lt;300,60,IF(M10&gt;=1000,400,(10)^((M10+1212)/850)))</f>
        <v>400</v>
      </c>
      <c r="O10" s="237">
        <f>L10*M10*60/1000000</f>
        <v>270</v>
      </c>
      <c r="P10" s="238">
        <f>1.95*SQRT((L10*((460+'Data Inputs'!$B$27)/(460+68))*(14.7/(14.7+'Data Inputs'!$B$38)))/N10)</f>
        <v>5.1674238367178917</v>
      </c>
    </row>
    <row r="11" spans="1:17" s="21" customFormat="1" ht="20.25" customHeight="1" x14ac:dyDescent="0.35">
      <c r="A11" s="28" t="s">
        <v>293</v>
      </c>
      <c r="B11" s="175" t="s">
        <v>294</v>
      </c>
      <c r="C11" s="146">
        <f>'Data Inputs'!E31</f>
        <v>100</v>
      </c>
      <c r="D11" s="28" t="s">
        <v>0</v>
      </c>
      <c r="E11" s="24"/>
      <c r="F11" s="24"/>
      <c r="K11" s="17">
        <v>2</v>
      </c>
      <c r="L11" s="236">
        <f>'Data Inputs'!B9+IF('Data Inputs'!B14&lt;'Data Inputs'!$B$48,IF('Data Inputs'!B9=0,1,'Data Inputs'!B9)*('Data Inputs'!$B$48-'Data Inputs'!B14)/('Data Inputs'!$B$50-'Data Inputs'!$B$48),0)</f>
        <v>0</v>
      </c>
      <c r="M11" s="237">
        <f>IF(L11=0,1000,('Data Inputs'!B14*'Data Inputs'!B9+'Data Inputs'!$B$50*(L11-'Data Inputs'!B9))/(L11))</f>
        <v>1000</v>
      </c>
      <c r="N11" s="238">
        <f t="shared" ref="N11:N14" si="0">IF(M11&lt;300,60,IF(M11&gt;=1000,400,(10)^((M11+1212)/850)))</f>
        <v>400</v>
      </c>
      <c r="O11" s="237">
        <f t="shared" ref="O11:O14" si="1">L11*M11*60/1000000</f>
        <v>0</v>
      </c>
      <c r="P11" s="238">
        <f>1.95*SQRT((L11*((460+'Data Inputs'!$B$27)/(460+68))*(14.7/(14.7+'Data Inputs'!$B$38)))/N11)</f>
        <v>0</v>
      </c>
    </row>
    <row r="12" spans="1:17" s="21" customFormat="1" ht="20.25" customHeight="1" x14ac:dyDescent="0.35">
      <c r="A12" s="28" t="s">
        <v>217</v>
      </c>
      <c r="B12" s="28" t="s">
        <v>290</v>
      </c>
      <c r="C12" s="218">
        <f>MAX(L10:L14)*((460+'Data Inputs'!B27)/(460+68))*(14.7/(14.7+'Data Inputs'!B38))</f>
        <v>2808.9171974522292</v>
      </c>
      <c r="D12" s="28" t="s">
        <v>135</v>
      </c>
      <c r="E12" s="24"/>
      <c r="F12" s="24"/>
      <c r="K12" s="17">
        <v>3</v>
      </c>
      <c r="L12" s="236">
        <f>'Data Inputs'!B10+IF('Data Inputs'!B15&lt;'Data Inputs'!$B$48,IF('Data Inputs'!B10=0,1,'Data Inputs'!B10)*('Data Inputs'!$B$48-'Data Inputs'!B15)/('Data Inputs'!$B$50-'Data Inputs'!$B$48),0)</f>
        <v>0</v>
      </c>
      <c r="M12" s="237">
        <f>IF(L12=0,1000,('Data Inputs'!B15*'Data Inputs'!B10+'Data Inputs'!$B$50*(L12-'Data Inputs'!B10))/(L12))</f>
        <v>1000</v>
      </c>
      <c r="N12" s="238">
        <f t="shared" si="0"/>
        <v>400</v>
      </c>
      <c r="O12" s="237">
        <f t="shared" si="1"/>
        <v>0</v>
      </c>
      <c r="P12" s="238">
        <f>1.95*SQRT((L12*((460+'Data Inputs'!$B$27)/(460+68))*(14.7/(14.7+'Data Inputs'!$B$38)))/N12)</f>
        <v>0</v>
      </c>
    </row>
    <row r="13" spans="1:17" s="21" customFormat="1" ht="20.25" customHeight="1" x14ac:dyDescent="0.35">
      <c r="A13" s="28" t="s">
        <v>218</v>
      </c>
      <c r="B13" s="28" t="s">
        <v>221</v>
      </c>
      <c r="C13" s="218">
        <f>MAX(L10:L14)*((460+'Data Inputs'!B27)/(460+68))*(14.7/(14.7+'Data Inputs'!B37))</f>
        <v>2238.5786802030457</v>
      </c>
      <c r="D13" s="28" t="s">
        <v>135</v>
      </c>
      <c r="E13" s="24"/>
      <c r="F13" s="24"/>
      <c r="K13" s="17">
        <v>4</v>
      </c>
      <c r="L13" s="236">
        <f>'Data Inputs'!B11+IF('Data Inputs'!B16&lt;'Data Inputs'!$B$48,IF('Data Inputs'!B11=0,1,'Data Inputs'!B11)*('Data Inputs'!$B$48-'Data Inputs'!B16)/('Data Inputs'!$B$50-'Data Inputs'!$B$48),0)</f>
        <v>0</v>
      </c>
      <c r="M13" s="237">
        <f>IF(L13=0,1000,('Data Inputs'!B16*'Data Inputs'!B11+'Data Inputs'!$B$50*(L13-'Data Inputs'!B11))/(L13))</f>
        <v>1000</v>
      </c>
      <c r="N13" s="238">
        <f t="shared" si="0"/>
        <v>400</v>
      </c>
      <c r="O13" s="237">
        <f t="shared" si="1"/>
        <v>0</v>
      </c>
      <c r="P13" s="238">
        <f>1.95*SQRT((L13*((460+'Data Inputs'!$B$27)/(460+68))*(14.7/(14.7+'Data Inputs'!$B$38)))/N13)</f>
        <v>0</v>
      </c>
    </row>
    <row r="14" spans="1:17" s="21" customFormat="1" ht="20.25" customHeight="1" x14ac:dyDescent="0.35">
      <c r="A14" s="28" t="s">
        <v>150</v>
      </c>
      <c r="B14" s="175" t="s">
        <v>193</v>
      </c>
      <c r="C14" s="146">
        <f>MAX(O10:O14)*1000000</f>
        <v>270000000</v>
      </c>
      <c r="D14" s="28" t="s">
        <v>152</v>
      </c>
      <c r="E14" s="24"/>
      <c r="F14" s="24"/>
      <c r="K14" s="17">
        <v>5</v>
      </c>
      <c r="L14" s="236">
        <f>'Data Inputs'!B12+IF('Data Inputs'!B17&lt;'Data Inputs'!$B$48,IF('Data Inputs'!B12=0,1,'Data Inputs'!B12)*('Data Inputs'!$B$48-'Data Inputs'!B17)/('Data Inputs'!$B$50-'Data Inputs'!$B$48),0)</f>
        <v>0</v>
      </c>
      <c r="M14" s="237">
        <f>IF(L14=0,1000,('Data Inputs'!B17*'Data Inputs'!B12+'Data Inputs'!$B$50*(L14-'Data Inputs'!B12))/(L14))</f>
        <v>1000</v>
      </c>
      <c r="N14" s="238">
        <f t="shared" si="0"/>
        <v>400</v>
      </c>
      <c r="O14" s="237">
        <f t="shared" si="1"/>
        <v>0</v>
      </c>
      <c r="P14" s="238">
        <f>1.95*SQRT((L14*((460+'Data Inputs'!$B$27)/(460+68))*(14.7/(14.7+'Data Inputs'!$B$38)))/N14)</f>
        <v>0</v>
      </c>
    </row>
    <row r="15" spans="1:17" s="17" customFormat="1" ht="15.75" x14ac:dyDescent="0.25">
      <c r="A15" s="28"/>
      <c r="B15" s="28"/>
      <c r="C15" s="151"/>
      <c r="D15" s="202"/>
      <c r="E15" s="27"/>
      <c r="F15" s="27"/>
    </row>
    <row r="16" spans="1:17" s="8" customFormat="1" ht="15.75" x14ac:dyDescent="0.25">
      <c r="A16" s="44" t="s">
        <v>146</v>
      </c>
      <c r="B16" s="44"/>
      <c r="C16" s="45"/>
      <c r="D16" s="44"/>
      <c r="E16" s="46"/>
      <c r="F16" s="47"/>
      <c r="L16" s="220" t="s">
        <v>223</v>
      </c>
      <c r="M16" s="220" t="s">
        <v>224</v>
      </c>
    </row>
    <row r="17" spans="1:16" s="17" customFormat="1" ht="24" customHeight="1" x14ac:dyDescent="0.35">
      <c r="A17" s="28" t="s">
        <v>199</v>
      </c>
      <c r="B17" s="279" t="s">
        <v>350</v>
      </c>
      <c r="C17" s="32">
        <f>((('Data Inputs'!B30*'Data Inputs'!B19)+('Data Inputs'!B31*'Data Inputs'!B20)+('Data Inputs'!B32*'Data Inputs'!B21)+('Data Inputs'!B33*'Data Inputs'!B22)+('Data Inputs'!B34*'Data Inputs'!B23))*('Data Inputs'!B35/100))/2000</f>
        <v>73.5</v>
      </c>
      <c r="D17" s="28" t="s">
        <v>24</v>
      </c>
      <c r="E17" s="203"/>
      <c r="F17" s="28"/>
      <c r="L17" s="226">
        <f>MAX(P10:P14)</f>
        <v>5.1674238367178917</v>
      </c>
      <c r="M17" s="225">
        <f>IF(L17&lt;=24,M18,M19)</f>
        <v>6</v>
      </c>
      <c r="N17" s="133" t="s">
        <v>225</v>
      </c>
    </row>
    <row r="18" spans="1:16" s="17" customFormat="1" ht="15.75" x14ac:dyDescent="0.25">
      <c r="A18" s="28"/>
      <c r="B18" s="28"/>
      <c r="C18" s="203"/>
      <c r="D18" s="28"/>
      <c r="E18" s="180"/>
      <c r="F18" s="28"/>
      <c r="L18" s="215"/>
      <c r="M18" s="225">
        <f>_xlfn.CEILING.MATH(L17,2)</f>
        <v>6</v>
      </c>
    </row>
    <row r="19" spans="1:16" s="17" customFormat="1" ht="15.75" x14ac:dyDescent="0.25">
      <c r="A19" s="44" t="s">
        <v>222</v>
      </c>
      <c r="B19" s="48"/>
      <c r="C19" s="49"/>
      <c r="D19" s="44"/>
      <c r="E19" s="44"/>
      <c r="F19" s="47"/>
      <c r="L19" s="225"/>
      <c r="M19" s="225">
        <f>_xlfn.CEILING.MATH(L17,6)</f>
        <v>6</v>
      </c>
    </row>
    <row r="20" spans="1:16" s="17" customFormat="1" ht="19.5" x14ac:dyDescent="0.35">
      <c r="A20" s="152" t="s">
        <v>155</v>
      </c>
      <c r="B20" s="173" t="s">
        <v>154</v>
      </c>
      <c r="C20" s="144">
        <f>0.2*SQRT(('Data Inputs'!B25-'Data Inputs'!B26)/'Data Inputs'!B26)</f>
        <v>4.8414140435236899</v>
      </c>
      <c r="D20" s="152" t="s">
        <v>153</v>
      </c>
      <c r="E20" s="134"/>
      <c r="F20" s="28"/>
      <c r="L20" s="220" t="s">
        <v>189</v>
      </c>
      <c r="M20" s="220" t="s">
        <v>29</v>
      </c>
    </row>
    <row r="21" spans="1:16" s="17" customFormat="1" ht="18.75" x14ac:dyDescent="0.35">
      <c r="A21" s="152" t="s">
        <v>156</v>
      </c>
      <c r="B21" s="173" t="s">
        <v>157</v>
      </c>
      <c r="C21" s="144">
        <f>(C13/(60*C20))</f>
        <v>7.7063527999551056</v>
      </c>
      <c r="D21" s="152" t="s">
        <v>158</v>
      </c>
      <c r="E21" s="134"/>
      <c r="F21" s="28"/>
      <c r="L21" s="228">
        <f>_xlfn.CEILING.MATH(M21,6)</f>
        <v>42</v>
      </c>
      <c r="M21" s="227">
        <f>(13.5*SQRT(C21))</f>
        <v>37.476429896560553</v>
      </c>
    </row>
    <row r="22" spans="1:16" s="8" customFormat="1" ht="15.75" x14ac:dyDescent="0.25">
      <c r="A22" s="152" t="s">
        <v>399</v>
      </c>
      <c r="B22" s="173" t="s">
        <v>159</v>
      </c>
      <c r="C22" s="177">
        <f>L21</f>
        <v>42</v>
      </c>
      <c r="D22" s="152" t="s">
        <v>85</v>
      </c>
      <c r="E22" s="152" t="str">
        <f>IF(M21=L21*6," ", "* Drum diameter rounded to next largest size.")</f>
        <v>* Drum diameter rounded to next largest size.</v>
      </c>
      <c r="F22" s="152"/>
      <c r="L22" s="221" t="s">
        <v>215</v>
      </c>
    </row>
    <row r="23" spans="1:16" s="8" customFormat="1" ht="15.75" x14ac:dyDescent="0.25">
      <c r="A23" s="152" t="s">
        <v>131</v>
      </c>
      <c r="B23" s="174" t="s">
        <v>160</v>
      </c>
      <c r="C23" s="178">
        <f>(3*C22)/12</f>
        <v>10.5</v>
      </c>
      <c r="D23" s="152" t="s">
        <v>81</v>
      </c>
      <c r="E23" s="152"/>
      <c r="F23" s="152"/>
      <c r="L23" s="209">
        <f>INT(7+SQRT((1*'Data Inputs'!B36*'Design Parameters'!C14)/(4*PI()*500))+1)</f>
        <v>121</v>
      </c>
    </row>
    <row r="24" spans="1:16" s="8" customFormat="1" ht="15.75" x14ac:dyDescent="0.25">
      <c r="A24" s="152" t="s">
        <v>130</v>
      </c>
      <c r="B24" s="174" t="str">
        <f>"(based on vessel diameter of "&amp;C22&amp;" inches- See Table 1.4 in Cost Manual Chapter)"</f>
        <v>(based on vessel diameter of 42 inches- See Table 1.4 in Cost Manual Chapter)</v>
      </c>
      <c r="C24" s="144">
        <f>N31</f>
        <v>0.37</v>
      </c>
      <c r="D24" s="152" t="s">
        <v>85</v>
      </c>
      <c r="E24" s="152"/>
      <c r="F24" s="152"/>
      <c r="L24" s="241" t="s">
        <v>161</v>
      </c>
      <c r="M24" s="242"/>
      <c r="N24" s="242"/>
    </row>
    <row r="25" spans="1:16" s="8" customFormat="1" ht="15.75" x14ac:dyDescent="0.25">
      <c r="A25" s="152"/>
      <c r="B25" s="174"/>
      <c r="C25" s="179"/>
      <c r="D25" s="152"/>
      <c r="E25" s="152"/>
      <c r="F25" s="152"/>
      <c r="L25" s="222" t="s">
        <v>162</v>
      </c>
      <c r="M25" s="223" t="s">
        <v>168</v>
      </c>
      <c r="N25" s="224"/>
    </row>
    <row r="26" spans="1:16" s="17" customFormat="1" ht="15.75" x14ac:dyDescent="0.25">
      <c r="A26" s="44" t="s">
        <v>129</v>
      </c>
      <c r="B26" s="48"/>
      <c r="C26" s="49"/>
      <c r="D26" s="44"/>
      <c r="E26" s="44"/>
      <c r="F26" s="44"/>
      <c r="L26" s="162" t="s">
        <v>163</v>
      </c>
      <c r="M26" s="17">
        <v>0.25</v>
      </c>
      <c r="N26" s="161">
        <f>IF(C$22&lt;36, M26, 0)</f>
        <v>0</v>
      </c>
    </row>
    <row r="27" spans="1:16" s="8" customFormat="1" ht="19.5" x14ac:dyDescent="0.35">
      <c r="A27" s="152" t="s">
        <v>148</v>
      </c>
      <c r="B27" s="173" t="s">
        <v>147</v>
      </c>
      <c r="C27" s="177">
        <f>M17</f>
        <v>6</v>
      </c>
      <c r="D27" s="152" t="s">
        <v>85</v>
      </c>
      <c r="E27" s="152" t="str">
        <f>IF(L17=M17, " ","* Diameter rounded to next largest available size.")</f>
        <v>* Diameter rounded to next largest available size.</v>
      </c>
      <c r="F27" s="152"/>
      <c r="L27" s="201" t="s">
        <v>164</v>
      </c>
      <c r="M27" s="8">
        <v>0.37</v>
      </c>
      <c r="N27" s="161">
        <f>IF(AND(C$22&gt;=36,C$22&lt;72), M27, 0)</f>
        <v>0.37</v>
      </c>
    </row>
    <row r="28" spans="1:16" s="8" customFormat="1" ht="18" x14ac:dyDescent="0.25">
      <c r="A28" s="152" t="s">
        <v>149</v>
      </c>
      <c r="B28" s="174" t="s">
        <v>169</v>
      </c>
      <c r="C28" s="177">
        <f>IF(L23&lt;30, 30, L23)</f>
        <v>121</v>
      </c>
      <c r="D28" s="152" t="s">
        <v>81</v>
      </c>
      <c r="E28" s="183" t="str">
        <f>IF(L23&lt;30, "Stack height must be at least 30 feet", " ")</f>
        <v xml:space="preserve"> </v>
      </c>
      <c r="F28" s="152"/>
      <c r="L28" s="201" t="s">
        <v>165</v>
      </c>
      <c r="M28" s="8">
        <v>0.55000000000000004</v>
      </c>
      <c r="N28" s="161">
        <f>IF(AND(C$22&gt;=72,C$22&lt;108), M28, 0)</f>
        <v>0</v>
      </c>
    </row>
    <row r="29" spans="1:16" s="17" customFormat="1" ht="15.75" x14ac:dyDescent="0.25">
      <c r="A29" s="28"/>
      <c r="B29" s="28"/>
      <c r="C29" s="180"/>
      <c r="D29" s="28"/>
      <c r="E29" s="28"/>
      <c r="F29" s="28"/>
      <c r="L29" s="162" t="s">
        <v>166</v>
      </c>
      <c r="M29" s="17">
        <v>0.75</v>
      </c>
      <c r="N29" s="161">
        <f>IF(AND(C$22&gt;=108,C$22&lt;144), M29, 0)</f>
        <v>0</v>
      </c>
    </row>
    <row r="30" spans="1:16" s="17" customFormat="1" ht="15.75" x14ac:dyDescent="0.25">
      <c r="A30" s="44" t="s">
        <v>82</v>
      </c>
      <c r="B30" s="44"/>
      <c r="C30" s="46"/>
      <c r="D30" s="44"/>
      <c r="E30" s="44"/>
      <c r="F30" s="47"/>
      <c r="L30" s="162" t="s">
        <v>167</v>
      </c>
      <c r="M30" s="17">
        <v>1</v>
      </c>
      <c r="N30" s="161">
        <f>IF(C$22&gt;=144, M30, 0)</f>
        <v>0</v>
      </c>
    </row>
    <row r="31" spans="1:16" s="17" customFormat="1" ht="18.75" x14ac:dyDescent="0.35">
      <c r="A31" s="28" t="s">
        <v>176</v>
      </c>
      <c r="B31" s="166" t="s">
        <v>174</v>
      </c>
      <c r="C31" s="132">
        <f>46*C27</f>
        <v>276</v>
      </c>
      <c r="D31" s="28" t="s">
        <v>173</v>
      </c>
      <c r="E31" s="28"/>
      <c r="F31" s="166"/>
      <c r="H31" s="133"/>
      <c r="J31" s="133"/>
      <c r="L31" s="204"/>
      <c r="M31" s="119" t="s">
        <v>216</v>
      </c>
      <c r="N31" s="207">
        <f>SUM(N26:N30)</f>
        <v>0.37</v>
      </c>
      <c r="P31" s="133"/>
    </row>
    <row r="32" spans="1:16" s="17" customFormat="1" ht="18.75" x14ac:dyDescent="0.35">
      <c r="A32" s="28" t="s">
        <v>175</v>
      </c>
      <c r="B32" s="166" t="s">
        <v>177</v>
      </c>
      <c r="C32" s="132">
        <f>(C31/60)*(385.3/18)</f>
        <v>98.46555555555554</v>
      </c>
      <c r="D32" s="28" t="s">
        <v>110</v>
      </c>
      <c r="E32" s="28"/>
      <c r="F32" s="28"/>
    </row>
    <row r="33" spans="1:17" s="28" customFormat="1" ht="15.75" x14ac:dyDescent="0.25">
      <c r="A33" s="134"/>
      <c r="B33" s="182"/>
      <c r="C33" s="196"/>
      <c r="D33" s="134"/>
      <c r="E33" s="134"/>
      <c r="G33" s="17"/>
      <c r="H33" s="17"/>
      <c r="I33" s="17"/>
      <c r="J33" s="17"/>
      <c r="K33" s="17"/>
      <c r="L33" s="17"/>
      <c r="M33" s="17"/>
      <c r="N33" s="17"/>
      <c r="O33" s="17"/>
      <c r="P33" s="17"/>
      <c r="Q33" s="17"/>
    </row>
    <row r="34" spans="1:17" s="17" customFormat="1" ht="18.75" x14ac:dyDescent="0.35">
      <c r="A34" s="28" t="s">
        <v>306</v>
      </c>
      <c r="B34" s="399" t="s">
        <v>344</v>
      </c>
      <c r="C34" s="132">
        <f>0.4*IF('Data Inputs'!B8&gt;$C$70,'Data Inputs'!B8-$C$70,0)*60*('Data Inputs'!B$18/385.3)</f>
        <v>7474.6950428237742</v>
      </c>
      <c r="D34" s="28" t="s">
        <v>173</v>
      </c>
      <c r="E34" s="28"/>
      <c r="F34" s="28"/>
    </row>
    <row r="35" spans="1:17" s="17" customFormat="1" ht="18.75" x14ac:dyDescent="0.35">
      <c r="A35" s="28" t="s">
        <v>307</v>
      </c>
      <c r="B35" s="400"/>
      <c r="C35" s="132">
        <f>0.4*IF('Data Inputs'!B9&gt;$C$70,'Data Inputs'!B9-$C$70,0)*60*('Data Inputs'!B$18/385.3)</f>
        <v>0</v>
      </c>
      <c r="D35" s="28" t="s">
        <v>173</v>
      </c>
      <c r="E35" s="28"/>
      <c r="F35" s="28"/>
    </row>
    <row r="36" spans="1:17" s="17" customFormat="1" ht="18.75" x14ac:dyDescent="0.35">
      <c r="A36" s="28" t="s">
        <v>308</v>
      </c>
      <c r="B36" s="400"/>
      <c r="C36" s="132">
        <f>0.4*IF('Data Inputs'!B10&gt;$C$70,'Data Inputs'!B10-$C$70,0)*60*('Data Inputs'!B$18/385.3)</f>
        <v>0</v>
      </c>
      <c r="D36" s="28" t="s">
        <v>173</v>
      </c>
      <c r="E36" s="28"/>
      <c r="F36" s="28"/>
    </row>
    <row r="37" spans="1:17" s="17" customFormat="1" ht="18.75" x14ac:dyDescent="0.35">
      <c r="A37" s="28" t="s">
        <v>309</v>
      </c>
      <c r="B37" s="400"/>
      <c r="C37" s="132">
        <f>0.4*IF('Data Inputs'!B11&gt;$C$70,'Data Inputs'!B11-$C$70,0)*60*('Data Inputs'!B$18/385.3)</f>
        <v>0</v>
      </c>
      <c r="D37" s="28" t="s">
        <v>173</v>
      </c>
      <c r="E37" s="28"/>
      <c r="F37" s="166"/>
      <c r="H37" s="133"/>
      <c r="J37" s="133"/>
      <c r="L37" s="133"/>
      <c r="N37" s="133"/>
      <c r="P37" s="133"/>
    </row>
    <row r="38" spans="1:17" s="17" customFormat="1" ht="18.75" x14ac:dyDescent="0.35">
      <c r="A38" s="28" t="s">
        <v>310</v>
      </c>
      <c r="B38" s="400"/>
      <c r="C38" s="132">
        <f>0.4*IF('Data Inputs'!B12&gt;$C$70,'Data Inputs'!B12-$C$70,0)*60*('Data Inputs'!B$18/385.3)</f>
        <v>0</v>
      </c>
      <c r="D38" s="28" t="s">
        <v>173</v>
      </c>
      <c r="E38" s="28"/>
      <c r="F38" s="166"/>
      <c r="H38" s="133"/>
      <c r="J38" s="133"/>
      <c r="L38" s="133"/>
      <c r="N38" s="133"/>
      <c r="P38" s="133"/>
    </row>
    <row r="39" spans="1:17" s="17" customFormat="1" ht="18.75" x14ac:dyDescent="0.35">
      <c r="A39" s="28" t="s">
        <v>268</v>
      </c>
      <c r="B39" s="166" t="str">
        <f>IF(C34/60*(385.3/18)&lt;C$31, "Steam set to minimum flow (Mmin) (See row 29)", IF(AND('Data Inputs'!B$47=1,'Data Inputs'!B13*('Data Inputs'!B8/('Data Inputs'!B8+(C34/60)*(385.3/18)))&lt;'Data Inputs'!B$48), "Steam rate reduced to meet NHVtarget","Initial steam rate used, converted to scfm"))</f>
        <v>Initial steam rate used, converted to scfm</v>
      </c>
      <c r="C39" s="132">
        <f>IF(C34/60*(385.3/18)&lt;C$31, C$32, IF(AND('Data Inputs'!B$47=1,'Data Inputs'!B13*('Data Inputs'!B8/('Data Inputs'!B8+(C34/60)*(385.3/18)))&lt;'Data Inputs'!B$48), 'Data Inputs'!B8*('Data Inputs'!B13/'Data Inputs'!$B$48-1), C34/60*(385.3/18)))</f>
        <v>2666.666666666667</v>
      </c>
      <c r="D39" s="28" t="s">
        <v>110</v>
      </c>
      <c r="E39" s="28"/>
      <c r="F39" s="166"/>
      <c r="H39" s="133"/>
      <c r="J39" s="133"/>
      <c r="L39" s="133"/>
      <c r="N39" s="133"/>
      <c r="P39" s="133"/>
    </row>
    <row r="40" spans="1:17" s="17" customFormat="1" ht="18.75" x14ac:dyDescent="0.35">
      <c r="A40" s="28" t="s">
        <v>269</v>
      </c>
      <c r="B40" s="166" t="str">
        <f>IF(C35/60*(385.3/18)&lt;C$31, "Steam set to minimum flow (Mmin) (See row 29)", IF(AND('Data Inputs'!B$47=1,'Data Inputs'!B14*('Data Inputs'!B9/('Data Inputs'!B9+(C35/60)*(385.3/18)))&lt;'Data Inputs'!B$48), "Steam rate reduced to meet NHVtarget","Initial steam rate used, converted to scfm"))</f>
        <v>Steam set to minimum flow (Mmin) (See row 29)</v>
      </c>
      <c r="C40" s="132">
        <f>IF(C35/60*(385.3/18)&lt;C$31, C$32, IF(AND('Data Inputs'!B$47=1,'Data Inputs'!B14*('Data Inputs'!B9/('Data Inputs'!B9+(C35/60)*(385.3/18)))&lt;'Data Inputs'!B$48), 'Data Inputs'!B9*('Data Inputs'!B14/'Data Inputs'!$B$48-1), C35/60*(385.3/18)))</f>
        <v>98.46555555555554</v>
      </c>
      <c r="D40" s="28" t="s">
        <v>110</v>
      </c>
      <c r="E40" s="28"/>
      <c r="F40" s="166"/>
      <c r="H40" s="133"/>
      <c r="J40" s="133"/>
      <c r="L40" s="133"/>
      <c r="N40" s="133"/>
      <c r="P40" s="133"/>
    </row>
    <row r="41" spans="1:17" s="17" customFormat="1" ht="18.75" x14ac:dyDescent="0.35">
      <c r="A41" s="28" t="s">
        <v>270</v>
      </c>
      <c r="B41" s="166" t="str">
        <f>IF(C36/60*(385.3/18)&lt;C$31, "Steam set to minimum flow (Mmin) (See row 29)", IF(AND('Data Inputs'!B$47=1,'Data Inputs'!B15*('Data Inputs'!B10/('Data Inputs'!B10+(C36/60)*(385.3/18)))&lt;'Data Inputs'!B$48), "Steam rate reduced to meet NHVtarget","Initial steam rate used, converted to scfm"))</f>
        <v>Steam set to minimum flow (Mmin) (See row 29)</v>
      </c>
      <c r="C41" s="132">
        <f>IF(C36/60*(385.3/18)&lt;C$31, C$32, IF(AND('Data Inputs'!B$47=1,'Data Inputs'!B15*('Data Inputs'!B10/('Data Inputs'!B10+(C36/60)*(385.3/18)))&lt;'Data Inputs'!B$48), 'Data Inputs'!B10*('Data Inputs'!B15/'Data Inputs'!$B$48-1), C36/60*(385.3/18)))</f>
        <v>98.46555555555554</v>
      </c>
      <c r="D41" s="28" t="s">
        <v>110</v>
      </c>
      <c r="E41" s="28"/>
      <c r="F41" s="166"/>
      <c r="H41" s="133"/>
      <c r="J41" s="133"/>
      <c r="L41" s="133"/>
      <c r="N41" s="133"/>
      <c r="P41" s="133"/>
    </row>
    <row r="42" spans="1:17" s="17" customFormat="1" ht="18.75" x14ac:dyDescent="0.35">
      <c r="A42" s="28" t="s">
        <v>271</v>
      </c>
      <c r="B42" s="166" t="str">
        <f>IF(C37/60*(385.3/18)&lt;C$31, "Steam set to minimum flow (Mmin) (See row 29)", IF(AND('Data Inputs'!B$47=1,'Data Inputs'!B16*('Data Inputs'!B11/('Data Inputs'!B11+(C37/60)*(385.3/18)))&lt;'Data Inputs'!B$48), "Steam rate reduced to meet NHVtarget","Initial steam rate used, converted to scfm"))</f>
        <v>Steam set to minimum flow (Mmin) (See row 29)</v>
      </c>
      <c r="C42" s="132">
        <f>IF(C37/60*(385.3/18)&lt;C$31, C$32, IF(AND('Data Inputs'!B$47=1,'Data Inputs'!B16*('Data Inputs'!B11/('Data Inputs'!B11+(C37/60)*(385.3/18)))&lt;'Data Inputs'!B$48), 'Data Inputs'!B11*('Data Inputs'!B16/'Data Inputs'!$B$48-1), C37/60*(385.3/18)))</f>
        <v>98.46555555555554</v>
      </c>
      <c r="D42" s="28" t="s">
        <v>110</v>
      </c>
      <c r="E42" s="28"/>
      <c r="F42" s="166"/>
      <c r="H42" s="133"/>
      <c r="J42" s="133"/>
      <c r="L42" s="133"/>
      <c r="N42" s="133"/>
      <c r="P42" s="133"/>
    </row>
    <row r="43" spans="1:17" s="17" customFormat="1" ht="18.75" x14ac:dyDescent="0.35">
      <c r="A43" s="28" t="s">
        <v>272</v>
      </c>
      <c r="B43" s="166" t="str">
        <f>IF(C38/60*(385.3/18)&lt;C$31, "Steam set to minimum flow (Mmin) (See row 29)", IF(AND('Data Inputs'!B$47=1,'Data Inputs'!B17*('Data Inputs'!B12/('Data Inputs'!B12+(C38/60)*(385.3/18)))&lt;'Data Inputs'!B$48), "Steam rate reduced to meet NHVtarget","Initial steam rate used, converted to scfm"))</f>
        <v>Steam set to minimum flow (Mmin) (See row 29)</v>
      </c>
      <c r="C43" s="132">
        <f>IF(C38/60*(385.3/18)&lt;C$31, C$32, IF(AND('Data Inputs'!B$47=1,'Data Inputs'!B17*('Data Inputs'!B12/('Data Inputs'!B12+(C38/60)*(385.3/18)))&lt;'Data Inputs'!B$48), 'Data Inputs'!B12*('Data Inputs'!B17/'Data Inputs'!$B$48-1), C38/60*(385.3/18)))</f>
        <v>98.46555555555554</v>
      </c>
      <c r="D43" s="28" t="s">
        <v>110</v>
      </c>
      <c r="E43" s="28"/>
      <c r="F43" s="166"/>
      <c r="H43" s="133"/>
      <c r="J43" s="133"/>
      <c r="L43" s="133"/>
      <c r="N43" s="133"/>
      <c r="P43" s="133"/>
    </row>
    <row r="44" spans="1:17" s="17" customFormat="1" ht="18.75" x14ac:dyDescent="0.35">
      <c r="A44" s="28" t="s">
        <v>263</v>
      </c>
      <c r="B44" s="166" t="s">
        <v>330</v>
      </c>
      <c r="C44" s="132">
        <f>C39*60*18/385.3</f>
        <v>7474.6950428237751</v>
      </c>
      <c r="D44" s="28" t="s">
        <v>173</v>
      </c>
      <c r="E44" s="28"/>
      <c r="F44" s="28"/>
    </row>
    <row r="45" spans="1:17" s="17" customFormat="1" ht="18.75" x14ac:dyDescent="0.35">
      <c r="A45" s="28" t="s">
        <v>264</v>
      </c>
      <c r="B45" s="166" t="s">
        <v>331</v>
      </c>
      <c r="C45" s="132">
        <f t="shared" ref="C45:C48" si="2">C40*60*18/385.3</f>
        <v>275.99999999999994</v>
      </c>
      <c r="D45" s="28" t="s">
        <v>173</v>
      </c>
      <c r="E45" s="28"/>
      <c r="F45" s="28"/>
    </row>
    <row r="46" spans="1:17" s="17" customFormat="1" ht="18.75" x14ac:dyDescent="0.35">
      <c r="A46" s="28" t="s">
        <v>265</v>
      </c>
      <c r="B46" s="166" t="s">
        <v>332</v>
      </c>
      <c r="C46" s="132">
        <f t="shared" si="2"/>
        <v>275.99999999999994</v>
      </c>
      <c r="D46" s="28" t="s">
        <v>173</v>
      </c>
      <c r="E46" s="28"/>
      <c r="F46" s="28"/>
    </row>
    <row r="47" spans="1:17" s="17" customFormat="1" ht="18.75" x14ac:dyDescent="0.35">
      <c r="A47" s="28" t="s">
        <v>266</v>
      </c>
      <c r="B47" s="166" t="s">
        <v>333</v>
      </c>
      <c r="C47" s="132">
        <f t="shared" si="2"/>
        <v>275.99999999999994</v>
      </c>
      <c r="D47" s="28" t="s">
        <v>173</v>
      </c>
      <c r="E47" s="28"/>
      <c r="F47" s="166"/>
      <c r="H47" s="133"/>
      <c r="J47" s="133"/>
      <c r="L47" s="133"/>
      <c r="N47" s="133"/>
      <c r="P47" s="133"/>
    </row>
    <row r="48" spans="1:17" s="17" customFormat="1" ht="18.75" x14ac:dyDescent="0.35">
      <c r="A48" s="28" t="s">
        <v>267</v>
      </c>
      <c r="B48" s="166" t="s">
        <v>334</v>
      </c>
      <c r="C48" s="132">
        <f t="shared" si="2"/>
        <v>275.99999999999994</v>
      </c>
      <c r="D48" s="28" t="s">
        <v>173</v>
      </c>
      <c r="E48" s="28"/>
      <c r="F48" s="166"/>
      <c r="H48" s="133"/>
      <c r="J48" s="133"/>
      <c r="L48" s="133"/>
      <c r="N48" s="133"/>
      <c r="P48" s="133"/>
    </row>
    <row r="49" spans="1:17" s="17" customFormat="1" ht="18.75" x14ac:dyDescent="0.35">
      <c r="A49" s="28" t="s">
        <v>186</v>
      </c>
      <c r="B49" s="166" t="s">
        <v>273</v>
      </c>
      <c r="C49" s="132">
        <f>(C44*'Data Inputs'!B$30)+(C45*'Data Inputs'!B$31)+(C46*'Data Inputs'!B$32)+(C47*'Data Inputs'!B$33)+(C48*'Data Inputs'!B$34)</f>
        <v>747469.50428237754</v>
      </c>
      <c r="D49" s="28" t="s">
        <v>79</v>
      </c>
      <c r="E49" s="28"/>
      <c r="F49" s="28"/>
    </row>
    <row r="50" spans="1:17" s="17" customFormat="1" ht="15.75" x14ac:dyDescent="0.25">
      <c r="A50" s="28"/>
      <c r="B50" s="166"/>
      <c r="C50" s="182"/>
      <c r="D50" s="28"/>
      <c r="E50" s="28"/>
      <c r="F50" s="28"/>
    </row>
    <row r="51" spans="1:17" s="17" customFormat="1" ht="15.75" x14ac:dyDescent="0.25">
      <c r="A51" s="44" t="s">
        <v>179</v>
      </c>
      <c r="B51" s="187"/>
      <c r="C51" s="188"/>
      <c r="D51" s="47"/>
      <c r="E51" s="47"/>
      <c r="F51" s="47"/>
    </row>
    <row r="52" spans="1:17" s="17" customFormat="1" ht="18.75" x14ac:dyDescent="0.35">
      <c r="A52" s="28" t="s">
        <v>280</v>
      </c>
      <c r="B52" s="166" t="s">
        <v>274</v>
      </c>
      <c r="C52" s="132">
        <f>IFERROR(('Data Inputs'!B13*'Data Inputs'!B8)/('Data Inputs'!B8+'Data Inputs'!$B$47*'Design Parameters'!C39),'Data Inputs'!B13)</f>
        <v>794.11764705882354</v>
      </c>
      <c r="D52" s="28" t="s">
        <v>178</v>
      </c>
      <c r="E52" s="28"/>
      <c r="F52" s="28"/>
    </row>
    <row r="53" spans="1:17" s="17" customFormat="1" ht="18.75" x14ac:dyDescent="0.35">
      <c r="A53" s="28" t="s">
        <v>281</v>
      </c>
      <c r="B53" s="166" t="s">
        <v>275</v>
      </c>
      <c r="C53" s="132">
        <f>IFERROR(('Data Inputs'!B14*'Data Inputs'!B9)/('Data Inputs'!B9+'Data Inputs'!$B$47*'Design Parameters'!C40),'Data Inputs'!B14)</f>
        <v>0</v>
      </c>
      <c r="D53" s="28" t="s">
        <v>178</v>
      </c>
      <c r="E53" s="28"/>
      <c r="F53" s="28"/>
    </row>
    <row r="54" spans="1:17" s="17" customFormat="1" ht="18.75" x14ac:dyDescent="0.35">
      <c r="A54" s="28" t="s">
        <v>282</v>
      </c>
      <c r="B54" s="166" t="s">
        <v>277</v>
      </c>
      <c r="C54" s="132">
        <f>IFERROR(('Data Inputs'!B15*'Data Inputs'!B10)/('Data Inputs'!B10+'Data Inputs'!$B$47*'Design Parameters'!C41),'Data Inputs'!B15)</f>
        <v>0</v>
      </c>
      <c r="D54" s="28" t="s">
        <v>178</v>
      </c>
      <c r="E54" s="28"/>
      <c r="F54" s="28"/>
    </row>
    <row r="55" spans="1:17" s="17" customFormat="1" ht="18.75" x14ac:dyDescent="0.35">
      <c r="A55" s="28" t="s">
        <v>283</v>
      </c>
      <c r="B55" s="166" t="s">
        <v>278</v>
      </c>
      <c r="C55" s="132">
        <f>IFERROR(('Data Inputs'!B16*'Data Inputs'!B11)/('Data Inputs'!B11+'Data Inputs'!$B$47*'Design Parameters'!C42),'Data Inputs'!B16)</f>
        <v>0</v>
      </c>
      <c r="D55" s="28" t="s">
        <v>178</v>
      </c>
      <c r="E55" s="28"/>
      <c r="F55" s="28"/>
    </row>
    <row r="56" spans="1:17" s="17" customFormat="1" ht="18.75" x14ac:dyDescent="0.35">
      <c r="A56" s="28" t="s">
        <v>284</v>
      </c>
      <c r="B56" s="166" t="s">
        <v>279</v>
      </c>
      <c r="C56" s="132">
        <f>IFERROR(('Data Inputs'!B17*'Data Inputs'!B12)/('Data Inputs'!B12+'Data Inputs'!$B$47*'Design Parameters'!C43),'Data Inputs'!B17)</f>
        <v>0</v>
      </c>
      <c r="D56" s="28" t="s">
        <v>178</v>
      </c>
      <c r="E56" s="28"/>
      <c r="F56" s="28"/>
    </row>
    <row r="57" spans="1:17" s="28" customFormat="1" ht="15.75" x14ac:dyDescent="0.25">
      <c r="B57" s="166"/>
      <c r="C57" s="182"/>
      <c r="G57" s="17"/>
      <c r="H57" s="17"/>
      <c r="I57" s="17"/>
      <c r="J57" s="17"/>
      <c r="K57" s="17"/>
      <c r="L57" s="17"/>
      <c r="M57" s="17"/>
      <c r="N57" s="17"/>
      <c r="O57" s="17"/>
      <c r="P57" s="17"/>
      <c r="Q57" s="17"/>
    </row>
    <row r="58" spans="1:17" s="17" customFormat="1" ht="15.75" x14ac:dyDescent="0.25">
      <c r="A58" s="44" t="s">
        <v>107</v>
      </c>
      <c r="B58" s="44"/>
      <c r="C58" s="46"/>
      <c r="D58" s="44"/>
      <c r="E58" s="44"/>
      <c r="F58" s="47"/>
    </row>
    <row r="59" spans="1:17" s="17" customFormat="1" ht="18.75" x14ac:dyDescent="0.35">
      <c r="A59" s="28" t="s">
        <v>191</v>
      </c>
      <c r="B59" s="219" t="str">
        <f>IF(OR(C$70&gt;'Data Inputs'!B8,AND('Data Inputs'!$B$49="no",'Data Inputs'!B8=0)),"No auxiliary fuel needed if no waste gas flow",IF(C52&gt;='Data Inputs'!$B$48,"No auxiliary fuel required because NHVmax &gt; NHVtarget","[Q1 × (NHVtarget - Bv,1) + NHVtarget × K1 × S1]/(Bf - NHVtarget) = "))</f>
        <v>No auxiliary fuel required because NHVmax &gt; NHVtarget</v>
      </c>
      <c r="C59" s="235">
        <f>IF(OR(C52&gt;='Data Inputs'!B$48,AND('Data Inputs'!$B$49="no",'Data Inputs'!B8=0),C$70&gt;'Data Inputs'!B8),0,('Data Inputs'!B8*('Data Inputs'!B$48-'Data Inputs'!B13)+('Data Inputs'!B$48*'Data Inputs'!B$47*'Design Parameters'!C39))/('Data Inputs'!B$50-'Data Inputs'!B$48))</f>
        <v>0</v>
      </c>
      <c r="D59" s="28" t="s">
        <v>110</v>
      </c>
      <c r="E59" s="28"/>
      <c r="F59" s="28"/>
    </row>
    <row r="60" spans="1:17" s="17" customFormat="1" ht="18.75" x14ac:dyDescent="0.35">
      <c r="A60" s="28" t="s">
        <v>194</v>
      </c>
      <c r="B60" s="219" t="str">
        <f>IF(OR(C$70&gt;'Data Inputs'!B9,AND('Data Inputs'!$B$49="no",'Data Inputs'!B9=0)),"No auxiliary fuel needed if no waste gas flow",IF(C53&gt;='Data Inputs'!$B$48,"No auxiliary fuel required because NHVmax &gt; NHVtarget","[Q1 × (NHVtarget - Bv,1) + NHVtarget × K1 × S1]/(Bf - NHVtarget) = "))</f>
        <v>No auxiliary fuel needed if no waste gas flow</v>
      </c>
      <c r="C60" s="235">
        <f>IF(OR(C53&gt;='Data Inputs'!B$48,AND('Data Inputs'!$B$49="no",'Data Inputs'!B9=0),C$70&gt;'Data Inputs'!B9),0,('Data Inputs'!B9*('Data Inputs'!B$48-'Data Inputs'!B14)+('Data Inputs'!B$48*'Data Inputs'!B$47*'Design Parameters'!C40))/('Data Inputs'!B$50-'Data Inputs'!B$48))</f>
        <v>0</v>
      </c>
      <c r="D60" s="28" t="s">
        <v>110</v>
      </c>
      <c r="E60" s="28"/>
      <c r="F60" s="28"/>
      <c r="L60" s="197" t="s">
        <v>182</v>
      </c>
      <c r="M60" s="198" t="s">
        <v>185</v>
      </c>
      <c r="N60" s="199" t="s">
        <v>83</v>
      </c>
    </row>
    <row r="61" spans="1:17" s="17" customFormat="1" ht="18.75" x14ac:dyDescent="0.35">
      <c r="A61" s="28" t="s">
        <v>195</v>
      </c>
      <c r="B61" s="219" t="str">
        <f>IF(OR(C$70&gt;'Data Inputs'!B10,AND('Data Inputs'!$B$49="no",'Data Inputs'!B10=0)),"No auxiliary fuel needed if no waste gas flow",IF(C54&gt;='Data Inputs'!$B$48,"No auxiliary fuel required because NHVmax &gt; NHVtarget","[Q1 × (NHVtarget - Bv,1) + NHVtarget × K1 × S1]/(Bf - NHVtarget) = "))</f>
        <v>No auxiliary fuel needed if no waste gas flow</v>
      </c>
      <c r="C61" s="235">
        <f>IF(OR(C54&gt;='Data Inputs'!B$48,AND('Data Inputs'!$B$49="no",'Data Inputs'!B10=0),C$70&gt;'Data Inputs'!B10),0,('Data Inputs'!B10*('Data Inputs'!B$48-'Data Inputs'!B15)+('Data Inputs'!B$48*'Data Inputs'!B$47*'Design Parameters'!C41))/('Data Inputs'!B$50-'Data Inputs'!B$48))</f>
        <v>0</v>
      </c>
      <c r="D61" s="28" t="s">
        <v>110</v>
      </c>
      <c r="E61" s="28"/>
      <c r="F61" s="28"/>
      <c r="L61" s="162" t="s">
        <v>183</v>
      </c>
      <c r="M61" s="17">
        <v>1</v>
      </c>
      <c r="N61" s="161">
        <f>IF(C27&lt;=10,1,0)</f>
        <v>1</v>
      </c>
    </row>
    <row r="62" spans="1:17" s="17" customFormat="1" ht="18.75" x14ac:dyDescent="0.35">
      <c r="A62" s="28" t="s">
        <v>243</v>
      </c>
      <c r="B62" s="219" t="str">
        <f>IF(OR(C$70&gt;'Data Inputs'!B11,AND('Data Inputs'!$B$49="no",'Data Inputs'!B11=0)),"No auxiliary fuel needed if no waste gas flow",IF(C55&gt;='Data Inputs'!$B$48,"No auxiliary fuel required because NHVmax &gt; NHVtarget","[Q1 × (NHVtarget - Bv,1) + NHVtarget × K1 × S1]/(Bf - NHVtarget) = "))</f>
        <v>No auxiliary fuel needed if no waste gas flow</v>
      </c>
      <c r="C62" s="235">
        <f>IF(OR(C55&gt;='Data Inputs'!B$48,AND('Data Inputs'!$B$49="no",'Data Inputs'!B11=0),C$70&gt;'Data Inputs'!B11),0,('Data Inputs'!B11*('Data Inputs'!B$48-'Data Inputs'!B16)+('Data Inputs'!B$48*'Data Inputs'!B$47*'Design Parameters'!C42))/('Data Inputs'!B$50-'Data Inputs'!B$48))</f>
        <v>0</v>
      </c>
      <c r="D62" s="28" t="s">
        <v>110</v>
      </c>
      <c r="E62" s="28"/>
      <c r="F62" s="28"/>
      <c r="L62" s="162" t="s">
        <v>203</v>
      </c>
      <c r="M62" s="17">
        <v>2</v>
      </c>
      <c r="N62" s="161">
        <f>IF(AND(C27&gt;10,C27&lt;=24),2,0)</f>
        <v>0</v>
      </c>
    </row>
    <row r="63" spans="1:17" s="17" customFormat="1" ht="18.75" x14ac:dyDescent="0.35">
      <c r="A63" s="28" t="s">
        <v>285</v>
      </c>
      <c r="B63" s="219" t="str">
        <f>IF(OR(C$70&gt;'Data Inputs'!B12,AND('Data Inputs'!$B$49="no",'Data Inputs'!B12=0)),"No auxiliary fuel needed if no waste gas flow",IF(C56&gt;='Data Inputs'!$B$48,"No auxiliary fuel required because NHVmax &gt; NHVtarget","[Q1 × (NHVtarget - Bv,1) + NHVtarget × K1 × S1]/(Bf - NHVtarget) = "))</f>
        <v>No auxiliary fuel needed if no waste gas flow</v>
      </c>
      <c r="C63" s="235">
        <f>IF(OR(C56&gt;='Data Inputs'!B$48,AND('Data Inputs'!$B$49="no",'Data Inputs'!B12=0),C$70&gt;'Data Inputs'!B12),0,('Data Inputs'!B12*('Data Inputs'!B$48-'Data Inputs'!B17)+('Data Inputs'!B$48*'Data Inputs'!B$47*'Design Parameters'!C43))/('Data Inputs'!B$50-'Data Inputs'!B$48))</f>
        <v>0</v>
      </c>
      <c r="D63" s="28" t="s">
        <v>110</v>
      </c>
      <c r="E63" s="28"/>
      <c r="F63" s="28"/>
      <c r="L63" s="162" t="s">
        <v>188</v>
      </c>
      <c r="M63" s="17">
        <v>3</v>
      </c>
      <c r="N63" s="161">
        <f>IF(AND(C27&gt;24,C27&lt;=60),3,0)</f>
        <v>0</v>
      </c>
    </row>
    <row r="64" spans="1:17" s="17" customFormat="1" ht="18.75" x14ac:dyDescent="0.35">
      <c r="A64" s="396" t="s">
        <v>190</v>
      </c>
      <c r="B64" s="28" t="s">
        <v>296</v>
      </c>
      <c r="C64" s="132">
        <f>60*((C59*'Data Inputs'!B30)+(C60*'Data Inputs'!B31)+(C61*'Data Inputs'!B$32)+(C62*'Data Inputs'!B$33)+(C63*'Data Inputs'!B34))</f>
        <v>0</v>
      </c>
      <c r="D64" s="28" t="s">
        <v>245</v>
      </c>
      <c r="E64" s="28"/>
      <c r="F64" s="28"/>
      <c r="L64" s="162" t="s">
        <v>184</v>
      </c>
      <c r="M64" s="17">
        <v>4</v>
      </c>
      <c r="N64" s="161">
        <f>IF(C27&gt;60, 4, 0)</f>
        <v>0</v>
      </c>
    </row>
    <row r="65" spans="1:17" s="17" customFormat="1" ht="18.75" x14ac:dyDescent="0.35">
      <c r="A65" s="396"/>
      <c r="B65" s="28" t="s">
        <v>244</v>
      </c>
      <c r="C65" s="260">
        <f>C64/1000</f>
        <v>0</v>
      </c>
      <c r="D65" s="28" t="s">
        <v>117</v>
      </c>
      <c r="E65" s="28"/>
      <c r="F65" s="28"/>
      <c r="L65" s="200"/>
      <c r="M65" s="205" t="s">
        <v>185</v>
      </c>
      <c r="N65" s="206">
        <f>SUM(N60:N64)</f>
        <v>1</v>
      </c>
    </row>
    <row r="66" spans="1:17" s="17" customFormat="1" ht="19.5" x14ac:dyDescent="0.35">
      <c r="A66" s="28" t="s">
        <v>108</v>
      </c>
      <c r="B66" s="166" t="s">
        <v>180</v>
      </c>
      <c r="C66" s="260">
        <f>(0.000785)*'Design Parameters'!C10*('Design Parameters'!C27)^2</f>
        <v>2.8260000000000001</v>
      </c>
      <c r="D66" s="28" t="s">
        <v>117</v>
      </c>
      <c r="E66" s="28"/>
      <c r="F66" s="28"/>
    </row>
    <row r="67" spans="1:17" s="17" customFormat="1" ht="19.5" x14ac:dyDescent="0.35">
      <c r="A67" s="28" t="s">
        <v>109</v>
      </c>
      <c r="B67" s="166" t="s">
        <v>181</v>
      </c>
      <c r="C67" s="260">
        <f>70*N65*'Design Parameters'!C10*0.001</f>
        <v>7</v>
      </c>
      <c r="D67" s="28" t="s">
        <v>117</v>
      </c>
      <c r="E67" s="28"/>
      <c r="F67" s="28"/>
    </row>
    <row r="68" spans="1:17" s="17" customFormat="1" ht="15.75" x14ac:dyDescent="0.25">
      <c r="A68" s="28"/>
      <c r="B68" s="166"/>
      <c r="C68" s="260"/>
      <c r="D68" s="28"/>
      <c r="E68" s="28"/>
      <c r="F68" s="28"/>
    </row>
    <row r="69" spans="1:17" s="17" customFormat="1" ht="15.75" x14ac:dyDescent="0.25">
      <c r="A69" s="44" t="s">
        <v>318</v>
      </c>
      <c r="B69" s="44"/>
      <c r="C69" s="46"/>
      <c r="D69" s="44"/>
      <c r="E69" s="44"/>
      <c r="F69" s="47"/>
    </row>
    <row r="70" spans="1:17" s="17" customFormat="1" ht="18.75" x14ac:dyDescent="0.35">
      <c r="A70" s="28" t="s">
        <v>319</v>
      </c>
      <c r="B70" s="219" t="str">
        <f>IF('Data Inputs'!B42="yes", _xlfn.CONCAT("Flow for Condition ",'Data Inputs'!B43," × No.Compressor × CapFactor/Compr"),"No FGR system")</f>
        <v>No FGR system</v>
      </c>
      <c r="C70" s="265">
        <f>IF('Data Inputs'!B42="yes",IF('Data Inputs'!B43=1,'Data Inputs'!B8,IF('Data Inputs'!B43=2,'Data Inputs'!B9,IF('Data Inputs'!B43=3,'Data Inputs'!B10,IF('Data Inputs'!B43=4,'Data Inputs'!B11,'Data Inputs'!B12))))*'Data Inputs'!B44*'Data Inputs'!B45,0)</f>
        <v>0</v>
      </c>
      <c r="D70" s="28" t="s">
        <v>110</v>
      </c>
      <c r="E70" s="28"/>
      <c r="F70" s="28"/>
    </row>
    <row r="71" spans="1:17" s="17" customFormat="1" ht="42.75" customHeight="1" x14ac:dyDescent="0.35">
      <c r="A71" s="253" t="s">
        <v>366</v>
      </c>
      <c r="B71"/>
      <c r="C71" s="287">
        <f>IF('Data Inputs'!B42="yes",0.001*'Data Inputs'!B46*60/'Data Inputs'!B50,0)*(IF(C70&gt;'Data Inputs'!B8,'Data Inputs'!B8,C70)*'Data Inputs'!B13*'Data Inputs'!B30+IF(C70&gt;'Data Inputs'!B9,'Data Inputs'!B9,C70)*'Data Inputs'!B14*'Data Inputs'!B31+IF(C70&gt;'Data Inputs'!B10,'Data Inputs'!B10,C70)*'Data Inputs'!B15*'Data Inputs'!B32+IF(C70&gt;'Data Inputs'!B11,'Data Inputs'!B11,C70)*'Data Inputs'!B16*'Data Inputs'!B33+IF(C70&gt;'Data Inputs'!B12,'Data Inputs'!B12,C70)*'Data Inputs'!B17*'Data Inputs'!B34)</f>
        <v>0</v>
      </c>
      <c r="D71" s="253" t="s">
        <v>326</v>
      </c>
      <c r="E71" s="28"/>
      <c r="F71" s="28"/>
      <c r="L71" s="290" t="s">
        <v>381</v>
      </c>
      <c r="M71" s="220" t="s">
        <v>380</v>
      </c>
    </row>
    <row r="72" spans="1:17" s="17" customFormat="1" ht="18.75" x14ac:dyDescent="0.35">
      <c r="A72" s="28" t="s">
        <v>367</v>
      </c>
      <c r="B72" s="28" t="s">
        <v>372</v>
      </c>
      <c r="C72" s="265">
        <f>0.0806*IF(L72=0,0,IF(L72&lt;1,$C$70/'Data Inputs'!$B$44,IF(L72&gt;'Data Inputs'!$B$44-1,$C$70,IF(L72&lt;2,$C$70*2/'Data Inputs'!$B$44,IF(L72&lt;3,$C$70*3/'Data Inputs'!$B$44,IF(L72&lt;4,$C$70*4/'Data Inputs'!$B$44,"Error"))))))*'Data Inputs'!B30</f>
        <v>0</v>
      </c>
      <c r="D72" s="28" t="s">
        <v>335</v>
      </c>
      <c r="F72" s="28"/>
      <c r="L72" s="291">
        <f>IF($C$70=0,0,'Data Inputs'!B8/($C$70/'Data Inputs'!$B$44))</f>
        <v>0</v>
      </c>
      <c r="M72" s="28">
        <f>IF(L72=0,0,IF(L72&lt;1,$C$70/'Data Inputs'!$B$44,IF(L72&gt;'Data Inputs'!$B$44-1,$C$70,IF(L72&lt;2,$C$70*2/'Data Inputs'!$B$44,IF(L72&lt;3,$C$70*3/'Data Inputs'!$B$44,IF(L72&lt;4,$C$70*4/'Data Inputs'!$B$44,"Error"))))))</f>
        <v>0</v>
      </c>
    </row>
    <row r="73" spans="1:17" s="17" customFormat="1" ht="18.75" x14ac:dyDescent="0.35">
      <c r="A73" s="28" t="s">
        <v>368</v>
      </c>
      <c r="B73" s="28" t="s">
        <v>373</v>
      </c>
      <c r="C73" s="265">
        <f>0.0806*IF(L73=0,0,IF(L73&lt;1,$C$70/'Data Inputs'!$B$44,IF(L73&gt;'Data Inputs'!$B$44-1,$C$70,IF(L73&lt;2,$C$70*2/'Data Inputs'!$B$44,IF(L73&lt;3,$C$70*3/'Data Inputs'!$B$44,IF(L73&lt;4,$C$70*4/'Data Inputs'!$B$44,"Error"))))))*'Data Inputs'!B31</f>
        <v>0</v>
      </c>
      <c r="D73" s="28" t="s">
        <v>335</v>
      </c>
      <c r="F73" s="28"/>
      <c r="L73" s="291">
        <f>IF($C$70=0,0,'Data Inputs'!B9/($C$70/'Data Inputs'!$B$44))</f>
        <v>0</v>
      </c>
      <c r="M73" s="28">
        <f>IF(L73=0,0,IF(L73&lt;1,$C$70/'Data Inputs'!$B$44,IF(L73&gt;'Data Inputs'!$B$44-1,$C$70,IF(L73&lt;2,$C$70*2/'Data Inputs'!$B$44,IF(L73&lt;3,$C$70*3/'Data Inputs'!$B$44,IF(L73&lt;4,$C$70*4/'Data Inputs'!$B$44,"Error"))))))</f>
        <v>0</v>
      </c>
    </row>
    <row r="74" spans="1:17" s="17" customFormat="1" ht="18.75" x14ac:dyDescent="0.35">
      <c r="A74" s="28" t="s">
        <v>369</v>
      </c>
      <c r="B74" s="28" t="s">
        <v>374</v>
      </c>
      <c r="C74" s="265">
        <f>0.0806*IF(L74=0,0,IF(L74&lt;1,$C$70/'Data Inputs'!$B$44,IF(L74&gt;'Data Inputs'!$B$44-1,$C$70,IF(L74&lt;2,$C$70*2/'Data Inputs'!$B$44,IF(L74&lt;3,$C$70*3/'Data Inputs'!$B$44,IF(L74&lt;4,$C$70*4/'Data Inputs'!$B$44,"Error"))))))*'Data Inputs'!B32</f>
        <v>0</v>
      </c>
      <c r="D74" s="28" t="s">
        <v>335</v>
      </c>
      <c r="F74" s="28"/>
      <c r="L74" s="291">
        <f>IF($C$70=0,0,'Data Inputs'!B10/($C$70/'Data Inputs'!$B$44))</f>
        <v>0</v>
      </c>
      <c r="M74" s="28">
        <f>IF(L74=0,0,IF(L74&lt;1,$C$70/'Data Inputs'!$B$44,IF(L74&gt;'Data Inputs'!$B$44-1,$C$70,IF(L74&lt;2,$C$70*2/'Data Inputs'!$B$44,IF(L74&lt;3,$C$70*3/'Data Inputs'!$B$44,IF(L74&lt;4,$C$70*4/'Data Inputs'!$B$44,"Error"))))))</f>
        <v>0</v>
      </c>
    </row>
    <row r="75" spans="1:17" s="17" customFormat="1" ht="18.75" x14ac:dyDescent="0.35">
      <c r="A75" s="28" t="s">
        <v>370</v>
      </c>
      <c r="B75" s="28" t="s">
        <v>375</v>
      </c>
      <c r="C75" s="265">
        <f>0.0806*IF(L75=0,0,IF(L75&lt;1,$C$70/'Data Inputs'!$B$44,IF(L75&gt;'Data Inputs'!$B$44-1,$C$70,IF(L75&lt;2,$C$70*2/'Data Inputs'!$B$44,IF(L75&lt;3,$C$70*3/'Data Inputs'!$B$44,IF(L75&lt;4,$C$70*4/'Data Inputs'!$B$44,"Error"))))))*'Data Inputs'!B33</f>
        <v>0</v>
      </c>
      <c r="D75" s="28" t="s">
        <v>335</v>
      </c>
      <c r="F75" s="28"/>
      <c r="L75" s="291">
        <f>IF($C$70=0,0,'Data Inputs'!B11/($C$70/'Data Inputs'!$B$44))</f>
        <v>0</v>
      </c>
      <c r="M75" s="28">
        <f>IF(L75=0,0,IF(L75&lt;1,$C$70/'Data Inputs'!$B$44,IF(L75&gt;'Data Inputs'!$B$44-1,$C$70,IF(L75&lt;2,$C$70*2/'Data Inputs'!$B$44,IF(L75&lt;3,$C$70*3/'Data Inputs'!$B$44,IF(L75&lt;4,$C$70*4/'Data Inputs'!$B$44,"Error"))))))</f>
        <v>0</v>
      </c>
    </row>
    <row r="76" spans="1:17" s="17" customFormat="1" ht="18.75" x14ac:dyDescent="0.35">
      <c r="A76" s="28" t="s">
        <v>371</v>
      </c>
      <c r="B76" s="28" t="s">
        <v>376</v>
      </c>
      <c r="C76" s="265">
        <f>0.0806*IF(L76=0,0,IF(L76&lt;1,$C$70/'Data Inputs'!$B$44,IF(L76&gt;'Data Inputs'!$B$44-1,$C$70,IF(L76&lt;2,$C$70*2/'Data Inputs'!$B$44,IF(L76&lt;3,$C$70*3/'Data Inputs'!$B$44,IF(L76&lt;4,$C$70*4/'Data Inputs'!$B$44,"Error"))))))*'Data Inputs'!B34</f>
        <v>0</v>
      </c>
      <c r="D76" s="28" t="s">
        <v>335</v>
      </c>
      <c r="F76" s="28"/>
      <c r="L76" s="291">
        <f>IF($C$70=0,0,'Data Inputs'!B12/($C$70/'Data Inputs'!$B$44))</f>
        <v>0</v>
      </c>
      <c r="M76" s="28">
        <f>IF(L76=0,0,IF(L76&lt;1,$C$70/'Data Inputs'!$B$44,IF(L76&gt;'Data Inputs'!$B$44-1,$C$70,IF(L76&lt;2,$C$70*2/'Data Inputs'!$B$44,IF(L76&lt;3,$C$70*3/'Data Inputs'!$B$44,IF(L76&lt;4,$C$70*4/'Data Inputs'!$B$44,"Error"))))))</f>
        <v>0</v>
      </c>
    </row>
    <row r="77" spans="1:17" s="17" customFormat="1" ht="18.75" x14ac:dyDescent="0.35">
      <c r="A77" s="28" t="s">
        <v>379</v>
      </c>
      <c r="B77" s="219"/>
      <c r="C77" s="265">
        <f>SUM(C72:C76)</f>
        <v>0</v>
      </c>
      <c r="D77" s="28" t="s">
        <v>335</v>
      </c>
      <c r="E77" s="28"/>
      <c r="F77" s="28"/>
    </row>
    <row r="78" spans="1:17" s="17" customFormat="1" ht="15.75" x14ac:dyDescent="0.25">
      <c r="A78" s="28"/>
      <c r="B78" s="219"/>
      <c r="C78" s="265"/>
      <c r="D78" s="28"/>
      <c r="E78" s="28"/>
      <c r="F78" s="28"/>
    </row>
    <row r="79" spans="1:17" s="17" customFormat="1" ht="15.75" x14ac:dyDescent="0.25">
      <c r="A79" s="28"/>
      <c r="B79" s="166"/>
      <c r="C79" s="260"/>
      <c r="D79" s="28"/>
      <c r="E79" s="28"/>
      <c r="F79" s="28"/>
      <c r="L79" s="3"/>
      <c r="M79" s="3"/>
      <c r="N79" s="3"/>
    </row>
    <row r="80" spans="1:17" s="3" customFormat="1" ht="15.75" x14ac:dyDescent="0.25">
      <c r="A80" s="43" t="s">
        <v>32</v>
      </c>
      <c r="B80" s="47"/>
      <c r="C80" s="47"/>
      <c r="D80" s="47"/>
      <c r="E80" s="47"/>
      <c r="F80" s="47"/>
      <c r="G80" s="17"/>
      <c r="H80" s="17"/>
      <c r="I80" s="17"/>
      <c r="J80" s="17"/>
      <c r="K80" s="17"/>
      <c r="L80" s="16"/>
      <c r="M80" s="16"/>
      <c r="N80" s="16"/>
      <c r="O80" s="17"/>
      <c r="P80" s="17"/>
      <c r="Q80" s="17"/>
    </row>
    <row r="81" spans="1:14" s="16" customFormat="1" ht="18" customHeight="1" x14ac:dyDescent="0.25">
      <c r="A81" s="395" t="s">
        <v>93</v>
      </c>
      <c r="B81" s="112" t="s">
        <v>64</v>
      </c>
      <c r="C81" s="89">
        <f>ROUND((('Data Inputs'!B60/100)*(1+('Data Inputs'!B60/100))^'Data Inputs'!B39)/(((1+('Data Inputs'!B60/100))^'Data Inputs'!B39)-1),4)</f>
        <v>9.6299999999999997E-2</v>
      </c>
      <c r="D81" s="111"/>
      <c r="E81" s="35"/>
      <c r="F81" s="35"/>
    </row>
    <row r="82" spans="1:14" s="16" customFormat="1" ht="18" customHeight="1" x14ac:dyDescent="0.25">
      <c r="A82" s="395"/>
      <c r="B82" s="111" t="s">
        <v>65</v>
      </c>
      <c r="C82" s="181"/>
      <c r="D82" s="111"/>
      <c r="E82" s="35"/>
      <c r="F82" s="35"/>
      <c r="L82" s="18"/>
      <c r="M82" s="18"/>
      <c r="N82" s="18"/>
    </row>
    <row r="83" spans="1:14" x14ac:dyDescent="0.25">
      <c r="A83" s="150"/>
      <c r="B83" s="150"/>
      <c r="C83" s="150"/>
      <c r="D83" s="150"/>
      <c r="E83" s="150"/>
    </row>
  </sheetData>
  <mergeCells count="9">
    <mergeCell ref="P8:P9"/>
    <mergeCell ref="A1:F1"/>
    <mergeCell ref="A3:F3"/>
    <mergeCell ref="A81:A82"/>
    <mergeCell ref="A64:A65"/>
    <mergeCell ref="N8:N9"/>
    <mergeCell ref="L8:M8"/>
    <mergeCell ref="O8:O9"/>
    <mergeCell ref="B34:B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X89"/>
  <sheetViews>
    <sheetView showGridLines="0" tabSelected="1" zoomScaleNormal="100" workbookViewId="0">
      <selection activeCell="E2" sqref="E1:E1048576"/>
    </sheetView>
  </sheetViews>
  <sheetFormatPr defaultColWidth="9.140625" defaultRowHeight="15" x14ac:dyDescent="0.25"/>
  <cols>
    <col min="1" max="1" width="63.5703125" customWidth="1"/>
    <col min="2" max="2" width="75.28515625" customWidth="1"/>
    <col min="3" max="3" width="19.85546875" style="2" customWidth="1"/>
    <col min="4" max="4" width="54.7109375" customWidth="1"/>
    <col min="5" max="5" width="19.42578125" hidden="1" customWidth="1"/>
    <col min="6" max="6" width="16" hidden="1" customWidth="1"/>
    <col min="7" max="7" width="9.140625" hidden="1" customWidth="1"/>
    <col min="8" max="8" width="33.85546875" hidden="1" customWidth="1"/>
    <col min="9" max="9" width="15" hidden="1" customWidth="1"/>
    <col min="10" max="12" width="9.140625" hidden="1" customWidth="1"/>
    <col min="13" max="13" width="29.5703125" hidden="1" customWidth="1"/>
    <col min="14" max="24" width="9.140625" customWidth="1"/>
  </cols>
  <sheetData>
    <row r="1" spans="1:24" ht="23.25" x14ac:dyDescent="0.35">
      <c r="A1" s="405" t="s">
        <v>22</v>
      </c>
      <c r="B1" s="405"/>
      <c r="C1" s="405"/>
      <c r="D1" s="405"/>
      <c r="P1" s="96"/>
    </row>
    <row r="2" spans="1:24" ht="23.25" x14ac:dyDescent="0.35">
      <c r="A2" s="34"/>
      <c r="B2" s="34"/>
      <c r="C2" s="34"/>
    </row>
    <row r="3" spans="1:24" ht="21" x14ac:dyDescent="0.35">
      <c r="A3" s="401" t="s">
        <v>47</v>
      </c>
      <c r="B3" s="401"/>
      <c r="C3" s="401"/>
      <c r="D3" s="401"/>
      <c r="E3" s="1"/>
      <c r="F3" s="1"/>
    </row>
    <row r="4" spans="1:24" s="3" customFormat="1" ht="28.5" customHeight="1" x14ac:dyDescent="0.25">
      <c r="A4" s="58"/>
      <c r="B4" s="58"/>
      <c r="C4" s="157"/>
      <c r="D4" s="59"/>
      <c r="E4" s="116"/>
      <c r="F4" s="60"/>
      <c r="M4"/>
      <c r="N4"/>
      <c r="O4"/>
      <c r="P4"/>
      <c r="Q4"/>
      <c r="R4"/>
      <c r="S4"/>
      <c r="T4"/>
      <c r="U4"/>
      <c r="V4"/>
      <c r="W4"/>
      <c r="X4"/>
    </row>
    <row r="5" spans="1:24" s="17" customFormat="1" ht="15.75" x14ac:dyDescent="0.25">
      <c r="B5" s="113"/>
      <c r="C5" s="114"/>
      <c r="D5" s="115"/>
      <c r="G5" s="402" t="s">
        <v>126</v>
      </c>
      <c r="H5" s="403"/>
      <c r="I5" s="404"/>
      <c r="K5" s="17" t="s">
        <v>171</v>
      </c>
      <c r="M5" s="18"/>
      <c r="N5" s="18"/>
      <c r="O5" s="18"/>
      <c r="P5" s="18"/>
      <c r="Q5" s="18"/>
      <c r="R5" s="18"/>
      <c r="S5" s="18"/>
      <c r="T5" s="18"/>
      <c r="U5" s="18"/>
      <c r="V5" s="18"/>
      <c r="W5" s="18"/>
      <c r="X5" s="18"/>
    </row>
    <row r="6" spans="1:24" s="3" customFormat="1" ht="15.75" x14ac:dyDescent="0.25">
      <c r="A6" s="55" t="str">
        <f>"Total Capital Investment (TCI) (in "&amp;'Data Inputs'!B58&amp;" dollars)"</f>
        <v>Total Capital Investment (TCI) (in 2017 dollars)</v>
      </c>
      <c r="B6" s="55"/>
      <c r="C6" s="55"/>
      <c r="D6" s="55"/>
      <c r="E6" s="60"/>
      <c r="F6" s="60"/>
      <c r="G6" s="12" t="s">
        <v>115</v>
      </c>
      <c r="H6" s="3" t="s">
        <v>114</v>
      </c>
      <c r="I6" s="160" t="s">
        <v>116</v>
      </c>
      <c r="K6" s="3" t="str">
        <f>IF(AND('Design Parameters'!C27&gt;1,'Design Parameters'!C27&lt;24),"183 x (L/100) x D^1.21", (IF(AND('Design Parameters'!C27&gt;30,'Design Parameters'!C27&lt;60)," 200 x (L/100) x D^1.07")))</f>
        <v>183 x (L/100) x D^1.21</v>
      </c>
      <c r="M6"/>
      <c r="N6"/>
      <c r="O6"/>
      <c r="P6"/>
      <c r="Q6"/>
      <c r="R6"/>
      <c r="S6"/>
      <c r="T6"/>
      <c r="U6"/>
      <c r="V6"/>
      <c r="W6"/>
      <c r="X6"/>
    </row>
    <row r="7" spans="1:24" s="3" customFormat="1" ht="15.75" x14ac:dyDescent="0.25">
      <c r="A7" s="63" t="s">
        <v>27</v>
      </c>
      <c r="B7" s="63" t="s">
        <v>28</v>
      </c>
      <c r="C7" s="64"/>
      <c r="D7" s="65"/>
      <c r="E7" s="60"/>
      <c r="F7" s="60"/>
      <c r="G7" s="12">
        <v>1</v>
      </c>
      <c r="H7" s="17" t="str">
        <f>IF('Data Inputs'!L1=1, "Select Flare Type on the Data Inputs tab", "")</f>
        <v/>
      </c>
      <c r="I7" s="161">
        <v>0</v>
      </c>
      <c r="K7" s="184">
        <f>IF(AND('Design Parameters'!C27&gt;1,'Design Parameters'!C27&lt;24),(183*('Data Inputs'!B40/100)*('Design Parameters'!C27)^1.21), (IF(AND('Design Parameters'!C27&gt;30,'Design Parameters'!C27&lt;60),(200* ('Data Inputs'!B40/100)*('Design Parameters'!C27)^1.07))))*('Data Inputs'!B59/'Data Inputs'!E59)</f>
        <v>1599.6099713531516</v>
      </c>
      <c r="M7"/>
      <c r="N7"/>
      <c r="O7"/>
      <c r="P7"/>
      <c r="Q7"/>
      <c r="R7"/>
      <c r="S7"/>
      <c r="T7"/>
      <c r="U7"/>
      <c r="V7"/>
      <c r="W7"/>
      <c r="X7"/>
    </row>
    <row r="8" spans="1:24" s="17" customFormat="1" ht="36" customHeight="1" x14ac:dyDescent="0.25">
      <c r="A8" s="288" t="s">
        <v>127</v>
      </c>
      <c r="B8" s="288" t="str">
        <f>H15</f>
        <v>(124 + 10.42D + 0.564H)^2</v>
      </c>
      <c r="C8" s="292">
        <f>I15</f>
        <v>64904.695695999988</v>
      </c>
      <c r="D8" s="281" t="str">
        <f>IF(C8=0, "Additional information needed to complete calculations. Please return to the Data Inputs tab.", " ")</f>
        <v xml:space="preserve"> </v>
      </c>
      <c r="G8" s="162">
        <v>2</v>
      </c>
      <c r="H8" s="17" t="str">
        <f>IF('Data Inputs'!L1=2, "(93.6 + 10.97D + 0.899H)^2", "")</f>
        <v/>
      </c>
      <c r="I8" s="161">
        <f>IF('Data Inputs'!L1=2, ((93.6+(10.97*'Design Parameters'!C27)+(0.899*'Design Parameters'!C28))^2), 0)</f>
        <v>0</v>
      </c>
    </row>
    <row r="9" spans="1:24" s="17" customFormat="1" ht="19.5" x14ac:dyDescent="0.35">
      <c r="A9" s="3" t="s">
        <v>170</v>
      </c>
      <c r="B9" s="154" t="s">
        <v>352</v>
      </c>
      <c r="C9" s="69">
        <f>(20.5)*(('Design Parameters'!C22*'Design Parameters'!C24*(('Design Parameters'!C23*12)+(0.812*'Design Parameters'!C22)))^0.737)*('Data Inputs'!B59/'Data Inputs'!E59)</f>
        <v>6523.7553665085361</v>
      </c>
      <c r="D9" s="153"/>
      <c r="G9" s="162">
        <v>3</v>
      </c>
      <c r="H9" s="17" t="str">
        <f>IF('Data Inputs'!L1=3, "(124 + 10.42D + 0.564H)^2", "")</f>
        <v>(124 + 10.42D + 0.564H)^2</v>
      </c>
      <c r="I9" s="161">
        <f>IF('Data Inputs'!L1=3, ((124+(10.42*'Design Parameters'!C27)+(0.564*'Design Parameters'!C28))^2), 0)</f>
        <v>64904.695695999988</v>
      </c>
      <c r="N9" s="142"/>
      <c r="O9" s="142"/>
    </row>
    <row r="10" spans="1:24" s="17" customFormat="1" ht="18.75" x14ac:dyDescent="0.35">
      <c r="A10" s="3" t="s">
        <v>305</v>
      </c>
      <c r="B10" s="3" t="str">
        <f>K6</f>
        <v>183 x (L/100) x D^1.21</v>
      </c>
      <c r="C10" s="69">
        <f>K7</f>
        <v>1599.6099713531516</v>
      </c>
      <c r="D10" s="153"/>
      <c r="G10" s="12">
        <v>4</v>
      </c>
      <c r="H10" s="17" t="str">
        <f>IF('Data Inputs'!L1=4, "(91.7 + 3.26D + 1.968H)^2", "")</f>
        <v/>
      </c>
      <c r="I10" s="161">
        <f>IF('Data Inputs'!L1=4, ((91.7+(3.26*'Design Parameters'!C27)+(1.968*'Design Parameters'!C28))^2), 0)</f>
        <v>0</v>
      </c>
      <c r="N10" s="142"/>
      <c r="O10" s="142"/>
    </row>
    <row r="11" spans="1:24" s="17" customFormat="1" ht="18.75" x14ac:dyDescent="0.35">
      <c r="A11" s="3" t="s">
        <v>311</v>
      </c>
      <c r="B11" s="154" t="str">
        <f>IF('Data Inputs'!B41="no","",IF('Design Parameters'!C27&lt;=24, "39.15 x D^2 + 3592", "0.1 x C_F"))</f>
        <v/>
      </c>
      <c r="C11" s="69">
        <f>IF('Data Inputs'!B41="no",0,IF('Design Parameters'!C27&lt;=24, 39.15*'Design Parameters'!C27^2+3592,0.1*'Cost Estimate'!C8)*('Data Inputs'!B59/'Data Inputs'!E59))</f>
        <v>0</v>
      </c>
      <c r="D11" s="153"/>
      <c r="G11" s="12"/>
      <c r="I11" s="161"/>
      <c r="N11" s="142"/>
      <c r="O11" s="142"/>
    </row>
    <row r="12" spans="1:24" s="17" customFormat="1" ht="18.75" x14ac:dyDescent="0.35">
      <c r="A12" s="3" t="s">
        <v>317</v>
      </c>
      <c r="B12" s="154" t="str">
        <f>IF('Data Inputs'!B42="no","","731.3 * Qcap")</f>
        <v/>
      </c>
      <c r="C12" s="69">
        <f>IF('Data Inputs'!B42="yes",731.3*'Design Parameters'!C70,0)*('Data Inputs'!B59/'Data Inputs'!E59)</f>
        <v>0</v>
      </c>
      <c r="D12" s="153"/>
      <c r="G12" s="12"/>
      <c r="I12" s="161"/>
      <c r="N12" s="142"/>
      <c r="O12" s="142"/>
    </row>
    <row r="13" spans="1:24" s="17" customFormat="1" ht="18.75" x14ac:dyDescent="0.35">
      <c r="A13" s="3" t="s">
        <v>128</v>
      </c>
      <c r="B13" s="3" t="str">
        <f>IF('Data Inputs'!M80=0,"No monitoring equipment selected",(IF(SUM('Data Inputs'!M73:M79)='Data Inputs'!M80,"(Based on actual costs for selected monitoring equipment)",(IF(SUM('Data Inputs'!M73:M79)=0,"(Based on default costs for selected monitoring equipment)","(Based on default and actual costs for selected monitoring equipment)")))))</f>
        <v>(Based on default costs for selected monitoring equipment)</v>
      </c>
      <c r="C13" s="69">
        <f>SUM('Data Inputs'!F73:F79)</f>
        <v>4100</v>
      </c>
      <c r="D13" s="281"/>
      <c r="G13" s="12"/>
      <c r="I13" s="161"/>
      <c r="N13" s="142"/>
      <c r="O13" s="142"/>
    </row>
    <row r="14" spans="1:24" s="17" customFormat="1" ht="18.75" x14ac:dyDescent="0.35">
      <c r="A14" s="3" t="s">
        <v>320</v>
      </c>
      <c r="B14" s="154" t="s">
        <v>325</v>
      </c>
      <c r="C14" s="69">
        <f>'Data Inputs'!B82</f>
        <v>0</v>
      </c>
      <c r="D14" s="153"/>
      <c r="G14" s="12"/>
      <c r="I14" s="161"/>
      <c r="N14" s="142"/>
      <c r="O14" s="142"/>
    </row>
    <row r="15" spans="1:24" s="3" customFormat="1" ht="18.75" x14ac:dyDescent="0.3">
      <c r="A15" s="28"/>
      <c r="B15" s="28"/>
      <c r="C15" s="185"/>
      <c r="D15" s="153"/>
      <c r="G15" s="163"/>
      <c r="H15" s="164" t="str">
        <f>H7&amp;H8&amp;H9&amp;H10</f>
        <v>(124 + 10.42D + 0.564H)^2</v>
      </c>
      <c r="I15" s="165">
        <f>SUM(I7:I10)*('Data Inputs'!B59/'Data Inputs'!E59)</f>
        <v>64904.695695999988</v>
      </c>
      <c r="M15" s="139"/>
      <c r="N15" s="140"/>
      <c r="O15" s="141"/>
    </row>
    <row r="16" spans="1:24" s="3" customFormat="1" ht="19.5" x14ac:dyDescent="0.35">
      <c r="A16" s="31" t="s">
        <v>360</v>
      </c>
      <c r="B16" s="186" t="s">
        <v>321</v>
      </c>
      <c r="C16" s="69">
        <f>SUM(C8:C15)</f>
        <v>77128.061033861683</v>
      </c>
      <c r="E16" s="60"/>
      <c r="F16" s="60"/>
      <c r="M16" s="139"/>
      <c r="N16" s="140"/>
      <c r="O16" s="141"/>
    </row>
    <row r="17" spans="1:15" s="72" customFormat="1" ht="18.75" x14ac:dyDescent="0.3">
      <c r="A17" s="135"/>
      <c r="B17" s="135"/>
      <c r="C17" s="117"/>
      <c r="D17" s="71"/>
      <c r="E17" s="74"/>
      <c r="F17" s="74"/>
      <c r="M17" s="139"/>
      <c r="N17" s="140"/>
      <c r="O17" s="141"/>
    </row>
    <row r="18" spans="1:15" s="3" customFormat="1" ht="18.75" x14ac:dyDescent="0.3">
      <c r="A18" s="17" t="s">
        <v>52</v>
      </c>
      <c r="B18" s="17" t="s">
        <v>66</v>
      </c>
      <c r="C18" s="69">
        <f>0.1*C16</f>
        <v>7712.8061033861686</v>
      </c>
      <c r="D18" s="73"/>
      <c r="F18" s="60"/>
      <c r="M18" s="139"/>
      <c r="N18" s="140"/>
      <c r="O18" s="141"/>
    </row>
    <row r="19" spans="1:15" s="3" customFormat="1" ht="18.75" x14ac:dyDescent="0.3">
      <c r="A19" s="17" t="s">
        <v>1</v>
      </c>
      <c r="B19" s="17" t="s">
        <v>67</v>
      </c>
      <c r="C19" s="69">
        <f>0.03*C16</f>
        <v>2313.8418310158504</v>
      </c>
      <c r="M19" s="139"/>
      <c r="N19" s="140"/>
      <c r="O19" s="141"/>
    </row>
    <row r="20" spans="1:15" s="3" customFormat="1" ht="18.75" x14ac:dyDescent="0.3">
      <c r="A20" s="17" t="s">
        <v>2</v>
      </c>
      <c r="B20" s="17" t="s">
        <v>68</v>
      </c>
      <c r="C20" s="69">
        <f>0.05*C16</f>
        <v>3856.4030516930843</v>
      </c>
      <c r="M20" s="139"/>
      <c r="N20" s="140"/>
      <c r="O20" s="141"/>
    </row>
    <row r="21" spans="1:15" s="3" customFormat="1" ht="15.75" x14ac:dyDescent="0.25">
      <c r="C21" s="75"/>
    </row>
    <row r="22" spans="1:15" s="3" customFormat="1" ht="16.5" customHeight="1" x14ac:dyDescent="0.25">
      <c r="A22" s="406" t="s">
        <v>46</v>
      </c>
      <c r="B22" s="406"/>
      <c r="C22" s="67">
        <f>C16++C18+C19+C20</f>
        <v>91011.112019956781</v>
      </c>
      <c r="D22" s="261"/>
    </row>
    <row r="23" spans="1:15" s="3" customFormat="1" ht="14.25" customHeight="1" x14ac:dyDescent="0.25">
      <c r="C23" s="70"/>
    </row>
    <row r="24" spans="1:15" s="3" customFormat="1" ht="15.75" x14ac:dyDescent="0.25">
      <c r="A24" s="56" t="str">
        <f>"Direct Installation Costs (in "&amp;'Data Inputs'!B58&amp;" dollars)"</f>
        <v>Direct Installation Costs (in 2017 dollars)</v>
      </c>
      <c r="B24" s="56"/>
      <c r="C24" s="57"/>
      <c r="D24" s="56"/>
    </row>
    <row r="25" spans="1:15" s="3" customFormat="1" ht="15.75" x14ac:dyDescent="0.25">
      <c r="A25" s="63" t="s">
        <v>27</v>
      </c>
      <c r="B25" s="63" t="s">
        <v>28</v>
      </c>
      <c r="C25" s="64" t="s">
        <v>84</v>
      </c>
      <c r="D25" s="65"/>
      <c r="E25" s="60"/>
      <c r="F25" s="60"/>
    </row>
    <row r="26" spans="1:15" s="3" customFormat="1" ht="15.75" x14ac:dyDescent="0.25">
      <c r="A26" s="17" t="s">
        <v>3</v>
      </c>
      <c r="B26" s="17" t="s">
        <v>89</v>
      </c>
      <c r="C26" s="69">
        <f>0.12*C22</f>
        <v>10921.333442394813</v>
      </c>
    </row>
    <row r="27" spans="1:15" s="3" customFormat="1" ht="15.75" x14ac:dyDescent="0.25">
      <c r="A27" s="17" t="s">
        <v>72</v>
      </c>
      <c r="B27" s="17" t="s">
        <v>90</v>
      </c>
      <c r="C27" s="69">
        <f>0.4*C22</f>
        <v>36404.444807982713</v>
      </c>
    </row>
    <row r="28" spans="1:15" s="3" customFormat="1" ht="15.75" x14ac:dyDescent="0.25">
      <c r="A28" s="17" t="s">
        <v>4</v>
      </c>
      <c r="B28" s="17" t="s">
        <v>71</v>
      </c>
      <c r="C28" s="69">
        <f>0.01*C22</f>
        <v>910.11112019956784</v>
      </c>
    </row>
    <row r="29" spans="1:15" s="3" customFormat="1" ht="15.75" x14ac:dyDescent="0.25">
      <c r="A29" s="17" t="s">
        <v>5</v>
      </c>
      <c r="B29" s="17" t="s">
        <v>69</v>
      </c>
      <c r="C29" s="69">
        <f>0.02*C22</f>
        <v>1820.2222403991357</v>
      </c>
    </row>
    <row r="30" spans="1:15" s="3" customFormat="1" ht="15.75" x14ac:dyDescent="0.25">
      <c r="A30" s="17" t="s">
        <v>53</v>
      </c>
      <c r="B30" s="17" t="s">
        <v>71</v>
      </c>
      <c r="C30" s="69">
        <f>0.01*C22</f>
        <v>910.11112019956784</v>
      </c>
    </row>
    <row r="31" spans="1:15" s="3" customFormat="1" ht="15.75" x14ac:dyDescent="0.25">
      <c r="A31" s="17" t="s">
        <v>6</v>
      </c>
      <c r="B31" s="17" t="s">
        <v>71</v>
      </c>
      <c r="C31" s="282">
        <f>0.01*C22</f>
        <v>910.11112019956784</v>
      </c>
    </row>
    <row r="32" spans="1:15" s="3" customFormat="1" ht="15.75" x14ac:dyDescent="0.25">
      <c r="A32" s="406" t="s">
        <v>362</v>
      </c>
      <c r="B32" s="406"/>
      <c r="C32" s="69">
        <f>SUM(C26:C31)</f>
        <v>51876.333851375355</v>
      </c>
    </row>
    <row r="33" spans="1:6" s="3" customFormat="1" ht="15.75" x14ac:dyDescent="0.25">
      <c r="A33" s="17"/>
      <c r="B33" s="17"/>
      <c r="C33" s="69"/>
    </row>
    <row r="34" spans="1:6" s="3" customFormat="1" ht="15.75" x14ac:dyDescent="0.25">
      <c r="A34" s="126" t="s">
        <v>7</v>
      </c>
      <c r="B34" s="154" t="s">
        <v>325</v>
      </c>
      <c r="C34" s="69">
        <f>'Data Inputs'!B83</f>
        <v>0</v>
      </c>
    </row>
    <row r="35" spans="1:6" s="3" customFormat="1" ht="15.75" x14ac:dyDescent="0.25">
      <c r="A35" s="126" t="s">
        <v>8</v>
      </c>
      <c r="B35" s="154" t="s">
        <v>325</v>
      </c>
      <c r="C35" s="69">
        <f>'Data Inputs'!B84</f>
        <v>0</v>
      </c>
    </row>
    <row r="36" spans="1:6" s="3" customFormat="1" ht="15.75" x14ac:dyDescent="0.25">
      <c r="A36" s="33"/>
      <c r="B36" s="33"/>
      <c r="C36" s="76"/>
    </row>
    <row r="37" spans="1:6" s="3" customFormat="1" ht="15.75" x14ac:dyDescent="0.25">
      <c r="A37" s="62"/>
      <c r="B37" s="61" t="s">
        <v>91</v>
      </c>
      <c r="C37" s="67">
        <f>SUM(C32:C35)+C22</f>
        <v>142887.44587133214</v>
      </c>
    </row>
    <row r="38" spans="1:6" s="3" customFormat="1" ht="15.75" x14ac:dyDescent="0.25">
      <c r="A38" s="33"/>
      <c r="B38" s="33"/>
      <c r="C38" s="70"/>
    </row>
    <row r="39" spans="1:6" s="3" customFormat="1" ht="15.75" x14ac:dyDescent="0.25">
      <c r="A39" s="56" t="str">
        <f>"Total Indirect Installation Costs (in "&amp;'Data Inputs'!B58&amp;" dollars)"</f>
        <v>Total Indirect Installation Costs (in 2017 dollars)</v>
      </c>
      <c r="B39" s="56"/>
      <c r="C39" s="57"/>
      <c r="D39" s="56"/>
    </row>
    <row r="40" spans="1:6" s="3" customFormat="1" ht="15.75" x14ac:dyDescent="0.25">
      <c r="A40" s="63" t="s">
        <v>27</v>
      </c>
      <c r="B40" s="63" t="s">
        <v>28</v>
      </c>
      <c r="C40" s="64" t="s">
        <v>84</v>
      </c>
      <c r="D40" s="65"/>
      <c r="E40" s="60"/>
      <c r="F40" s="60"/>
    </row>
    <row r="41" spans="1:6" s="3" customFormat="1" ht="15.75" x14ac:dyDescent="0.25">
      <c r="A41" s="126" t="s">
        <v>9</v>
      </c>
      <c r="B41" s="17" t="s">
        <v>70</v>
      </c>
      <c r="C41" s="69">
        <f>(0.1*C$22)</f>
        <v>9101.1112019956781</v>
      </c>
    </row>
    <row r="42" spans="1:6" s="3" customFormat="1" ht="15.75" x14ac:dyDescent="0.25">
      <c r="A42" s="126" t="s">
        <v>10</v>
      </c>
      <c r="B42" s="17" t="s">
        <v>70</v>
      </c>
      <c r="C42" s="69">
        <f>(0.1*C$22)</f>
        <v>9101.1112019956781</v>
      </c>
    </row>
    <row r="43" spans="1:6" s="3" customFormat="1" ht="15.75" x14ac:dyDescent="0.25">
      <c r="A43" s="126" t="s">
        <v>11</v>
      </c>
      <c r="B43" s="17" t="s">
        <v>70</v>
      </c>
      <c r="C43" s="69">
        <f>(0.1*C$22)</f>
        <v>9101.1112019956781</v>
      </c>
    </row>
    <row r="44" spans="1:6" s="3" customFormat="1" ht="15.75" x14ac:dyDescent="0.25">
      <c r="A44" s="126" t="s">
        <v>12</v>
      </c>
      <c r="B44" s="17" t="s">
        <v>71</v>
      </c>
      <c r="C44" s="69">
        <f>(0.01*C$22)</f>
        <v>910.11112019956784</v>
      </c>
    </row>
    <row r="45" spans="1:6" s="3" customFormat="1" ht="15.75" x14ac:dyDescent="0.25">
      <c r="A45" s="126" t="s">
        <v>13</v>
      </c>
      <c r="B45" s="17" t="s">
        <v>71</v>
      </c>
      <c r="C45" s="282">
        <f>(0.01*C$22)</f>
        <v>910.11112019956784</v>
      </c>
    </row>
    <row r="46" spans="1:6" s="3" customFormat="1" ht="15.75" x14ac:dyDescent="0.25">
      <c r="A46" s="406" t="s">
        <v>14</v>
      </c>
      <c r="B46" s="406"/>
      <c r="C46" s="67">
        <f>SUM(C41:C45)</f>
        <v>29123.555846386167</v>
      </c>
    </row>
    <row r="47" spans="1:6" s="3" customFormat="1" ht="15.75" x14ac:dyDescent="0.25"/>
    <row r="48" spans="1:6" s="3" customFormat="1" ht="15.75" x14ac:dyDescent="0.25">
      <c r="A48" s="125" t="s">
        <v>230</v>
      </c>
      <c r="B48" s="17" t="s">
        <v>237</v>
      </c>
      <c r="C48" s="69">
        <f>('Data Inputs'!B85/100)*(C37+C46)</f>
        <v>17201.100171771832</v>
      </c>
    </row>
    <row r="49" spans="1:4" s="17" customFormat="1" ht="15.75" x14ac:dyDescent="0.25">
      <c r="A49" s="125"/>
      <c r="C49" s="75"/>
      <c r="D49" s="3"/>
    </row>
    <row r="50" spans="1:4" s="3" customFormat="1" ht="15.75" x14ac:dyDescent="0.25">
      <c r="A50" s="77" t="s">
        <v>80</v>
      </c>
      <c r="B50" s="78" t="s">
        <v>238</v>
      </c>
      <c r="C50" s="85">
        <f>C37+C46+C48</f>
        <v>189212.10188949015</v>
      </c>
      <c r="D50" s="78" t="str">
        <f>"in "&amp;'Data Inputs'!$B$58&amp;" dollars"</f>
        <v>in 2017 dollars</v>
      </c>
    </row>
    <row r="51" spans="1:4" s="3" customFormat="1" ht="15.75" x14ac:dyDescent="0.25">
      <c r="A51" s="125"/>
      <c r="B51" s="125"/>
      <c r="C51" s="68"/>
    </row>
    <row r="52" spans="1:4" s="3" customFormat="1" ht="21" x14ac:dyDescent="0.35">
      <c r="A52" s="401" t="s">
        <v>51</v>
      </c>
      <c r="B52" s="401"/>
      <c r="C52" s="401"/>
      <c r="D52" s="401"/>
    </row>
    <row r="53" spans="1:4" s="3" customFormat="1" ht="15.75" x14ac:dyDescent="0.25">
      <c r="A53" s="79"/>
      <c r="B53" s="80"/>
      <c r="C53" s="81"/>
    </row>
    <row r="54" spans="1:4" s="3" customFormat="1" ht="15.75" x14ac:dyDescent="0.25">
      <c r="A54" s="56" t="s">
        <v>34</v>
      </c>
      <c r="B54" s="56"/>
      <c r="C54" s="56"/>
      <c r="D54" s="56"/>
    </row>
    <row r="55" spans="1:4" s="3" customFormat="1" ht="15.75" x14ac:dyDescent="0.25">
      <c r="A55" s="63" t="s">
        <v>27</v>
      </c>
      <c r="B55" s="63" t="s">
        <v>28</v>
      </c>
      <c r="C55" s="64" t="s">
        <v>84</v>
      </c>
      <c r="D55" s="65"/>
    </row>
    <row r="56" spans="1:4" s="3" customFormat="1" ht="15.75" x14ac:dyDescent="0.25">
      <c r="A56" s="9" t="s">
        <v>77</v>
      </c>
      <c r="B56" s="82" t="s">
        <v>94</v>
      </c>
      <c r="C56" s="69">
        <f>'Data Inputs'!B53*'Data Inputs'!B68</f>
        <v>18666.899999999998</v>
      </c>
      <c r="D56" s="83"/>
    </row>
    <row r="57" spans="1:4" s="3" customFormat="1" ht="15.75" x14ac:dyDescent="0.25">
      <c r="B57" s="82" t="s">
        <v>95</v>
      </c>
      <c r="C57" s="69">
        <f>(0.15*C56)</f>
        <v>2800.0349999999994</v>
      </c>
      <c r="D57" s="83"/>
    </row>
    <row r="58" spans="1:4" s="3" customFormat="1" ht="15.75" x14ac:dyDescent="0.25">
      <c r="A58" s="3" t="s">
        <v>78</v>
      </c>
      <c r="B58" s="82" t="str">
        <f>_xlfn.CONCAT("Labor = ",'Data Inputs'!B54," hours/shift × Labor Rate × (Operating Hours/8 hours/shift) =")</f>
        <v>Labor = 0.5 hours/shift × Labor Rate × (Operating Hours/8 hours/shift) =</v>
      </c>
      <c r="C58" s="69">
        <f>('Data Inputs'!B54*'Data Inputs'!B69*'Design Parameters'!C10/8)</f>
        <v>157</v>
      </c>
      <c r="D58" s="83"/>
    </row>
    <row r="59" spans="1:4" s="3" customFormat="1" ht="15.75" x14ac:dyDescent="0.25">
      <c r="B59" s="82" t="s">
        <v>96</v>
      </c>
      <c r="C59" s="69">
        <f>C58</f>
        <v>157</v>
      </c>
      <c r="D59" s="83"/>
    </row>
    <row r="60" spans="1:4" s="3" customFormat="1" ht="18.75" x14ac:dyDescent="0.35">
      <c r="A60" s="3" t="s">
        <v>328</v>
      </c>
      <c r="B60" s="154" t="s">
        <v>329</v>
      </c>
      <c r="C60" s="69">
        <f>('Design Parameters'!C77)*'Data Inputs'!B67</f>
        <v>0</v>
      </c>
      <c r="D60" s="83"/>
    </row>
    <row r="61" spans="1:4" s="3" customFormat="1" ht="18.75" x14ac:dyDescent="0.35">
      <c r="A61" s="3" t="s">
        <v>101</v>
      </c>
      <c r="B61" s="133" t="s">
        <v>102</v>
      </c>
      <c r="C61" s="155">
        <f>'Data Inputs'!B66*'Design Parameters'!C66</f>
        <v>11.699639999999999</v>
      </c>
      <c r="D61" s="57" t="s">
        <v>377</v>
      </c>
    </row>
    <row r="62" spans="1:4" s="3" customFormat="1" ht="18.75" x14ac:dyDescent="0.35">
      <c r="A62" s="3" t="s">
        <v>99</v>
      </c>
      <c r="B62" s="133" t="s">
        <v>100</v>
      </c>
      <c r="C62" s="155">
        <f>'Data Inputs'!B66*'Design Parameters'!C67</f>
        <v>28.979999999999997</v>
      </c>
      <c r="D62" s="289" t="s">
        <v>378</v>
      </c>
    </row>
    <row r="63" spans="1:4" s="3" customFormat="1" ht="18.75" x14ac:dyDescent="0.35">
      <c r="A63" s="3" t="s">
        <v>97</v>
      </c>
      <c r="B63" s="154" t="s">
        <v>98</v>
      </c>
      <c r="C63" s="155">
        <f>'Data Inputs'!B66*'Design Parameters'!C65</f>
        <v>0</v>
      </c>
      <c r="D63" s="155">
        <f>SUM(C61:C64)</f>
        <v>40.679639999999992</v>
      </c>
    </row>
    <row r="64" spans="1:4" s="3" customFormat="1" ht="18.75" x14ac:dyDescent="0.35">
      <c r="A64" s="3" t="s">
        <v>327</v>
      </c>
      <c r="B64" s="154" t="s">
        <v>351</v>
      </c>
      <c r="C64" s="155">
        <f>-'Data Inputs'!B66*'Design Parameters'!C71</f>
        <v>0</v>
      </c>
    </row>
    <row r="65" spans="1:6" s="3" customFormat="1" ht="18.75" x14ac:dyDescent="0.35">
      <c r="A65" s="3" t="s">
        <v>76</v>
      </c>
      <c r="B65" s="154" t="s">
        <v>187</v>
      </c>
      <c r="C65" s="69">
        <f>('Design Parameters'!C49/1000)*'Data Inputs'!B65</f>
        <v>5755.5151829743072</v>
      </c>
    </row>
    <row r="66" spans="1:6" s="3" customFormat="1" ht="15.75" x14ac:dyDescent="0.25">
      <c r="B66" s="82"/>
      <c r="C66" s="84"/>
      <c r="D66" s="83"/>
    </row>
    <row r="67" spans="1:6" s="3" customFormat="1" ht="15.75" x14ac:dyDescent="0.25">
      <c r="A67" s="77" t="s">
        <v>74</v>
      </c>
      <c r="B67" s="78"/>
      <c r="C67" s="85">
        <f>SUM(C56:C65)</f>
        <v>27577.129822974304</v>
      </c>
      <c r="D67" s="78" t="str">
        <f>"in "&amp;'Data Inputs'!$B$58&amp;" dollars"</f>
        <v>in 2017 dollars</v>
      </c>
    </row>
    <row r="68" spans="1:6" s="3" customFormat="1" ht="15.75" x14ac:dyDescent="0.25">
      <c r="B68" s="82"/>
      <c r="C68" s="84"/>
      <c r="D68" s="83"/>
    </row>
    <row r="69" spans="1:6" s="3" customFormat="1" ht="15.75" x14ac:dyDescent="0.25">
      <c r="A69" s="56" t="s">
        <v>35</v>
      </c>
      <c r="B69" s="56"/>
      <c r="C69" s="56"/>
      <c r="D69" s="56"/>
    </row>
    <row r="70" spans="1:6" s="3" customFormat="1" ht="15.75" x14ac:dyDescent="0.25">
      <c r="A70" s="63" t="s">
        <v>27</v>
      </c>
      <c r="B70" s="63" t="s">
        <v>28</v>
      </c>
      <c r="C70" s="64" t="s">
        <v>84</v>
      </c>
      <c r="D70" s="65"/>
      <c r="E70" s="60"/>
      <c r="F70" s="60"/>
    </row>
    <row r="71" spans="1:6" s="86" customFormat="1" ht="31.5" x14ac:dyDescent="0.25">
      <c r="A71" s="266" t="s">
        <v>36</v>
      </c>
      <c r="B71" s="137" t="s">
        <v>44</v>
      </c>
      <c r="C71" s="67">
        <f>(0.6*(C56+C57+C58+C59))</f>
        <v>13068.560999999998</v>
      </c>
      <c r="D71" s="88"/>
    </row>
    <row r="72" spans="1:6" s="86" customFormat="1" ht="15.75" x14ac:dyDescent="0.25">
      <c r="A72" s="66" t="s">
        <v>37</v>
      </c>
      <c r="B72" s="137" t="s">
        <v>38</v>
      </c>
      <c r="C72" s="67">
        <f>(0.02*C50)</f>
        <v>3784.2420377898029</v>
      </c>
      <c r="D72" s="88"/>
    </row>
    <row r="73" spans="1:6" s="86" customFormat="1" ht="15.75" x14ac:dyDescent="0.25">
      <c r="A73" s="66" t="s">
        <v>39</v>
      </c>
      <c r="B73" s="137" t="s">
        <v>40</v>
      </c>
      <c r="C73" s="67">
        <f>0.01*C50</f>
        <v>1892.1210188949015</v>
      </c>
      <c r="D73" s="88"/>
    </row>
    <row r="74" spans="1:6" s="86" customFormat="1" ht="15.75" x14ac:dyDescent="0.25">
      <c r="A74" s="66" t="s">
        <v>41</v>
      </c>
      <c r="B74" s="137" t="s">
        <v>40</v>
      </c>
      <c r="C74" s="67">
        <f>0.01*C50</f>
        <v>1892.1210188949015</v>
      </c>
      <c r="D74" s="88"/>
    </row>
    <row r="75" spans="1:6" s="3" customFormat="1" ht="15.75" x14ac:dyDescent="0.25">
      <c r="A75" s="66" t="s">
        <v>42</v>
      </c>
      <c r="B75" s="137" t="s">
        <v>92</v>
      </c>
      <c r="C75" s="69">
        <f>'Design Parameters'!$C$81*C50</f>
        <v>18221.125411957903</v>
      </c>
      <c r="D75" s="83"/>
    </row>
    <row r="76" spans="1:6" s="3" customFormat="1" ht="15.75" x14ac:dyDescent="0.25">
      <c r="A76" s="86"/>
      <c r="B76" s="87"/>
      <c r="C76" s="118"/>
      <c r="D76" s="83"/>
    </row>
    <row r="77" spans="1:6" s="3" customFormat="1" ht="15.75" x14ac:dyDescent="0.25">
      <c r="A77" s="77" t="s">
        <v>75</v>
      </c>
      <c r="B77" s="78"/>
      <c r="C77" s="85">
        <f>SUM(C71:C75)</f>
        <v>38858.1704875375</v>
      </c>
      <c r="D77" s="78" t="str">
        <f>"in "&amp;'Data Inputs'!$B$58&amp;" dollars"</f>
        <v>in 2017 dollars</v>
      </c>
    </row>
    <row r="78" spans="1:6" s="3" customFormat="1" ht="15.75" x14ac:dyDescent="0.25">
      <c r="A78" s="79"/>
      <c r="B78" s="80"/>
      <c r="C78" s="127"/>
      <c r="D78" s="80"/>
    </row>
    <row r="79" spans="1:6" s="3" customFormat="1" ht="15.75" x14ac:dyDescent="0.25">
      <c r="A79" s="77" t="s">
        <v>49</v>
      </c>
      <c r="B79" s="78" t="s">
        <v>88</v>
      </c>
      <c r="C79" s="85">
        <f>C77+C67</f>
        <v>66435.300310511811</v>
      </c>
      <c r="D79" s="78" t="str">
        <f>"in "&amp;'Data Inputs'!$B$58&amp;" dollars"</f>
        <v>in 2017 dollars</v>
      </c>
    </row>
    <row r="80" spans="1:6" s="3" customFormat="1" ht="15.75" x14ac:dyDescent="0.25">
      <c r="C80" s="33"/>
    </row>
    <row r="81" spans="1:21" s="3" customFormat="1" ht="21" x14ac:dyDescent="0.35">
      <c r="A81" s="401" t="s">
        <v>23</v>
      </c>
      <c r="B81" s="401"/>
      <c r="C81" s="401"/>
      <c r="D81" s="401"/>
      <c r="E81" s="8"/>
      <c r="F81" s="8"/>
      <c r="G81" s="8"/>
      <c r="H81" s="8"/>
      <c r="I81" s="8"/>
      <c r="J81" s="8"/>
      <c r="K81" s="8"/>
      <c r="L81" s="8"/>
      <c r="M81" s="8"/>
      <c r="N81" s="8"/>
      <c r="O81" s="8"/>
      <c r="P81" s="8"/>
      <c r="Q81" s="8"/>
      <c r="R81" s="8"/>
      <c r="S81" s="8"/>
      <c r="T81" s="8"/>
      <c r="U81" s="9"/>
    </row>
    <row r="82" spans="1:21" s="17" customFormat="1" ht="15.75" x14ac:dyDescent="0.25">
      <c r="C82" s="136"/>
      <c r="D82" s="8"/>
      <c r="E82" s="8"/>
      <c r="F82" s="8"/>
      <c r="G82" s="8"/>
      <c r="H82" s="8"/>
      <c r="I82" s="8"/>
      <c r="J82" s="8"/>
      <c r="K82" s="8"/>
      <c r="L82" s="8"/>
      <c r="M82" s="8"/>
      <c r="N82" s="8"/>
      <c r="O82" s="8"/>
      <c r="P82" s="8"/>
      <c r="Q82" s="8"/>
      <c r="R82" s="8"/>
      <c r="S82" s="8"/>
      <c r="T82" s="8"/>
      <c r="U82" s="8"/>
    </row>
    <row r="83" spans="1:21" s="3" customFormat="1" ht="15.75" x14ac:dyDescent="0.25">
      <c r="A83" s="55" t="s">
        <v>48</v>
      </c>
      <c r="B83" s="55"/>
      <c r="C83" s="55"/>
      <c r="D83" s="55"/>
      <c r="E83" s="8"/>
      <c r="F83" s="8"/>
      <c r="G83" s="8"/>
      <c r="H83" s="8"/>
      <c r="I83" s="8"/>
      <c r="J83" s="8"/>
      <c r="K83" s="8"/>
      <c r="L83" s="8"/>
      <c r="M83" s="8"/>
      <c r="N83" s="8"/>
      <c r="O83" s="8"/>
      <c r="P83" s="8"/>
      <c r="Q83" s="8"/>
      <c r="R83" s="8"/>
      <c r="S83" s="8"/>
      <c r="T83" s="8"/>
      <c r="U83" s="9"/>
    </row>
    <row r="84" spans="1:21" s="3" customFormat="1" ht="15.75" x14ac:dyDescent="0.25">
      <c r="A84" s="63" t="s">
        <v>27</v>
      </c>
      <c r="B84" s="63" t="s">
        <v>28</v>
      </c>
      <c r="C84" s="64" t="s">
        <v>84</v>
      </c>
      <c r="D84" s="65"/>
      <c r="E84" s="60"/>
      <c r="F84" s="60"/>
    </row>
    <row r="85" spans="1:21" s="3" customFormat="1" ht="15.75" x14ac:dyDescent="0.25">
      <c r="A85" s="12" t="s">
        <v>43</v>
      </c>
      <c r="B85" s="3" t="s">
        <v>50</v>
      </c>
      <c r="C85" s="90">
        <f>C79</f>
        <v>66435.300310511811</v>
      </c>
      <c r="D85" s="91" t="str">
        <f>"per year in "&amp;'Data Inputs'!B58&amp; " dollars"</f>
        <v>per year in 2017 dollars</v>
      </c>
      <c r="E85" s="8"/>
      <c r="F85" s="8"/>
      <c r="G85" s="8"/>
      <c r="H85" s="8"/>
      <c r="I85" s="8"/>
      <c r="J85" s="8"/>
      <c r="K85" s="8"/>
      <c r="L85" s="8"/>
      <c r="M85" s="8"/>
      <c r="N85" s="8"/>
      <c r="O85" s="8"/>
      <c r="P85" s="8"/>
      <c r="Q85" s="8"/>
      <c r="R85" s="8"/>
      <c r="S85" s="8"/>
      <c r="T85" s="8"/>
      <c r="U85" s="9"/>
    </row>
    <row r="86" spans="1:21" s="3" customFormat="1" ht="18.75" x14ac:dyDescent="0.35">
      <c r="A86" s="12" t="s">
        <v>87</v>
      </c>
      <c r="B86" s="172" t="s">
        <v>343</v>
      </c>
      <c r="C86" s="138">
        <f>'Design Parameters'!C17</f>
        <v>73.5</v>
      </c>
      <c r="D86" s="52" t="s">
        <v>24</v>
      </c>
      <c r="E86" s="8"/>
      <c r="F86" s="8"/>
      <c r="G86" s="8"/>
      <c r="H86" s="8"/>
      <c r="I86" s="8"/>
      <c r="J86" s="8"/>
      <c r="K86" s="8"/>
      <c r="L86" s="8"/>
      <c r="M86" s="8"/>
      <c r="N86" s="8"/>
      <c r="O86" s="8"/>
      <c r="P86" s="8"/>
      <c r="Q86" s="8"/>
      <c r="R86" s="8"/>
      <c r="S86" s="8"/>
      <c r="T86" s="8"/>
      <c r="U86" s="9"/>
    </row>
    <row r="87" spans="1:21" s="3" customFormat="1" ht="15.75" x14ac:dyDescent="0.25">
      <c r="A87" s="3" t="s">
        <v>25</v>
      </c>
      <c r="B87" s="3" t="s">
        <v>86</v>
      </c>
      <c r="C87" s="90">
        <f>C85/C86</f>
        <v>903.88163687771168</v>
      </c>
      <c r="D87" s="52" t="str">
        <f>"per ton of pollutants removed/recovered in "&amp;'Data Inputs'!B58&amp; " dollars"</f>
        <v>per ton of pollutants removed/recovered in 2017 dollars</v>
      </c>
      <c r="E87" s="8"/>
      <c r="F87" s="8"/>
      <c r="G87" s="8"/>
      <c r="H87" s="8"/>
      <c r="I87" s="8"/>
      <c r="J87" s="8"/>
      <c r="K87" s="8"/>
      <c r="L87" s="8"/>
      <c r="M87" s="8"/>
      <c r="N87" s="8"/>
      <c r="O87" s="8"/>
      <c r="P87" s="8"/>
      <c r="Q87" s="8"/>
      <c r="R87" s="8"/>
      <c r="S87" s="8"/>
      <c r="T87" s="8"/>
      <c r="U87" s="9"/>
    </row>
    <row r="88" spans="1:21" s="17" customFormat="1" ht="17.25" customHeight="1" thickBot="1" x14ac:dyDescent="0.3">
      <c r="B88" s="148"/>
      <c r="C88" s="136"/>
    </row>
    <row r="89" spans="1:21" x14ac:dyDescent="0.25">
      <c r="A89" s="147"/>
      <c r="C89" s="149"/>
      <c r="D89" s="147"/>
    </row>
  </sheetData>
  <mergeCells count="8">
    <mergeCell ref="A81:D81"/>
    <mergeCell ref="A52:D52"/>
    <mergeCell ref="G5:I5"/>
    <mergeCell ref="A1:D1"/>
    <mergeCell ref="A46:B46"/>
    <mergeCell ref="A22:B22"/>
    <mergeCell ref="A3:D3"/>
    <mergeCell ref="A32:B32"/>
  </mergeCells>
  <conditionalFormatting sqref="E4">
    <cfRule type="expression" dxfId="0" priority="7">
      <formula>#REF!=1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2" tint="-9.9978637043366805E-2"/>
  </sheetPr>
  <dimension ref="A1:H29"/>
  <sheetViews>
    <sheetView workbookViewId="0">
      <selection activeCell="C21" sqref="C21"/>
    </sheetView>
  </sheetViews>
  <sheetFormatPr defaultColWidth="19" defaultRowHeight="15.75" x14ac:dyDescent="0.25"/>
  <cols>
    <col min="1" max="1" width="35.28515625" style="17" customWidth="1"/>
    <col min="2" max="2" width="29" style="17" customWidth="1"/>
    <col min="3" max="3" width="33.140625" style="17" customWidth="1"/>
    <col min="4" max="7" width="19" style="17"/>
    <col min="8" max="8" width="0" style="17" hidden="1" customWidth="1"/>
    <col min="9" max="16384" width="19" style="17"/>
  </cols>
  <sheetData>
    <row r="1" spans="1:8" ht="26.25" x14ac:dyDescent="0.35">
      <c r="A1" s="145" t="s">
        <v>204</v>
      </c>
      <c r="B1" s="145"/>
      <c r="C1" s="145"/>
      <c r="D1" s="145"/>
    </row>
    <row r="3" spans="1:8" x14ac:dyDescent="0.25">
      <c r="A3" s="168" t="s">
        <v>132</v>
      </c>
      <c r="B3" s="169" t="str">
        <f>"Capital Costs In "&amp;'Data Inputs'!B58&amp;" Dollars"</f>
        <v>Capital Costs In 2017 Dollars</v>
      </c>
      <c r="H3" s="169" t="s">
        <v>133</v>
      </c>
    </row>
    <row r="4" spans="1:8" ht="18" customHeight="1" x14ac:dyDescent="0.25">
      <c r="A4" s="167" t="s">
        <v>118</v>
      </c>
      <c r="B4" s="170">
        <f>'Tables A &amp; B'!H4*('Data Inputs'!B59/'Data Inputs'!E59)</f>
        <v>4100</v>
      </c>
      <c r="H4" s="123">
        <v>4100</v>
      </c>
    </row>
    <row r="5" spans="1:8" x14ac:dyDescent="0.25">
      <c r="A5" s="167" t="s">
        <v>119</v>
      </c>
      <c r="B5" s="170">
        <f>'Tables A &amp; B'!H5*('Data Inputs'!B59/'Data Inputs'!E59)</f>
        <v>131000</v>
      </c>
      <c r="H5" s="122">
        <v>131000</v>
      </c>
    </row>
    <row r="6" spans="1:8" x14ac:dyDescent="0.25">
      <c r="A6" s="167" t="s">
        <v>120</v>
      </c>
      <c r="B6" s="170">
        <f>'Tables A &amp; B'!H6*('Data Inputs'!B59/'Data Inputs'!E59)</f>
        <v>36900</v>
      </c>
      <c r="H6" s="122">
        <v>36900</v>
      </c>
    </row>
    <row r="7" spans="1:8" x14ac:dyDescent="0.25">
      <c r="A7" s="167" t="s">
        <v>121</v>
      </c>
      <c r="B7" s="170">
        <f>'Tables A &amp; B'!H7*('Data Inputs'!B59/'Data Inputs'!E59)</f>
        <v>77300</v>
      </c>
      <c r="H7" s="122">
        <v>77300</v>
      </c>
    </row>
    <row r="8" spans="1:8" x14ac:dyDescent="0.25">
      <c r="A8" s="167" t="s">
        <v>122</v>
      </c>
      <c r="B8" s="170">
        <f>'Tables A &amp; B'!H8*('Data Inputs'!B59/'Data Inputs'!E59)</f>
        <v>58000</v>
      </c>
      <c r="H8" s="122">
        <v>58000</v>
      </c>
    </row>
    <row r="9" spans="1:8" x14ac:dyDescent="0.25">
      <c r="A9" s="167" t="s">
        <v>123</v>
      </c>
      <c r="B9" s="170">
        <f>'Tables A &amp; B'!H9*('Data Inputs'!B59/'Data Inputs'!E59)</f>
        <v>58700</v>
      </c>
      <c r="H9" s="122">
        <v>58700</v>
      </c>
    </row>
    <row r="10" spans="1:8" x14ac:dyDescent="0.25">
      <c r="A10" s="167" t="s">
        <v>124</v>
      </c>
      <c r="B10" s="170">
        <f>'Tables A &amp; B'!H10*('Data Inputs'!B59/'Data Inputs'!E59)</f>
        <v>49600</v>
      </c>
      <c r="H10" s="123">
        <v>49600</v>
      </c>
    </row>
    <row r="12" spans="1:8" ht="23.25" x14ac:dyDescent="0.35">
      <c r="A12" s="407" t="s">
        <v>205</v>
      </c>
      <c r="B12" s="407"/>
      <c r="C12" s="407"/>
      <c r="D12" s="407"/>
    </row>
    <row r="14" spans="1:8" x14ac:dyDescent="0.25">
      <c r="A14" s="210" t="s">
        <v>206</v>
      </c>
      <c r="B14" s="168" t="s">
        <v>207</v>
      </c>
      <c r="C14" s="168" t="s">
        <v>208</v>
      </c>
    </row>
    <row r="15" spans="1:8" x14ac:dyDescent="0.25">
      <c r="A15" s="215" t="s">
        <v>209</v>
      </c>
      <c r="B15" s="216" t="s">
        <v>213</v>
      </c>
      <c r="C15" s="215">
        <v>0.1</v>
      </c>
    </row>
    <row r="16" spans="1:8" x14ac:dyDescent="0.25">
      <c r="A16" s="211"/>
      <c r="B16" s="213">
        <v>1.6</v>
      </c>
      <c r="C16" s="211">
        <v>0.11</v>
      </c>
    </row>
    <row r="17" spans="1:3" x14ac:dyDescent="0.25">
      <c r="A17" s="211"/>
      <c r="B17" s="213">
        <v>3.3</v>
      </c>
      <c r="C17" s="211">
        <v>0.16</v>
      </c>
    </row>
    <row r="18" spans="1:3" x14ac:dyDescent="0.25">
      <c r="A18" s="211"/>
      <c r="B18" s="213">
        <v>8</v>
      </c>
      <c r="C18" s="211">
        <v>0.15</v>
      </c>
    </row>
    <row r="19" spans="1:3" x14ac:dyDescent="0.25">
      <c r="A19" s="212"/>
      <c r="B19" s="214">
        <v>16</v>
      </c>
      <c r="C19" s="212">
        <v>0.17</v>
      </c>
    </row>
    <row r="20" spans="1:3" x14ac:dyDescent="0.25">
      <c r="A20" s="215" t="s">
        <v>210</v>
      </c>
      <c r="B20" s="216" t="s">
        <v>213</v>
      </c>
      <c r="C20" s="215">
        <v>0.28999999999999998</v>
      </c>
    </row>
    <row r="21" spans="1:3" x14ac:dyDescent="0.25">
      <c r="A21" s="211"/>
      <c r="B21" s="213">
        <v>1.6</v>
      </c>
      <c r="C21" s="211">
        <v>0.28999999999999998</v>
      </c>
    </row>
    <row r="22" spans="1:3" x14ac:dyDescent="0.25">
      <c r="A22" s="211"/>
      <c r="B22" s="213">
        <v>3.3</v>
      </c>
      <c r="C22" s="211">
        <v>0.28999999999999998</v>
      </c>
    </row>
    <row r="23" spans="1:3" x14ac:dyDescent="0.25">
      <c r="A23" s="211"/>
      <c r="B23" s="213">
        <v>8</v>
      </c>
      <c r="C23" s="211">
        <v>0.28000000000000003</v>
      </c>
    </row>
    <row r="24" spans="1:3" x14ac:dyDescent="0.25">
      <c r="A24" s="212"/>
      <c r="B24" s="214">
        <v>16</v>
      </c>
      <c r="C24" s="212">
        <v>0.3</v>
      </c>
    </row>
    <row r="25" spans="1:3" x14ac:dyDescent="0.25">
      <c r="A25" s="215" t="s">
        <v>211</v>
      </c>
      <c r="B25" s="216" t="s">
        <v>213</v>
      </c>
      <c r="C25" s="215">
        <v>0.16</v>
      </c>
    </row>
    <row r="26" spans="1:3" x14ac:dyDescent="0.25">
      <c r="A26" s="211"/>
      <c r="B26" s="213">
        <v>1.6</v>
      </c>
      <c r="C26" s="211">
        <v>0.16</v>
      </c>
    </row>
    <row r="27" spans="1:3" x14ac:dyDescent="0.25">
      <c r="A27" s="212"/>
      <c r="B27" s="214">
        <v>3.3</v>
      </c>
      <c r="C27" s="212">
        <v>0.15</v>
      </c>
    </row>
    <row r="28" spans="1:3" x14ac:dyDescent="0.25">
      <c r="A28" s="211" t="s">
        <v>212</v>
      </c>
      <c r="B28" s="213">
        <v>8</v>
      </c>
      <c r="C28" s="211">
        <v>0.19</v>
      </c>
    </row>
    <row r="29" spans="1:3" x14ac:dyDescent="0.25">
      <c r="A29" s="212"/>
      <c r="B29" s="214">
        <v>16</v>
      </c>
      <c r="C29" s="212">
        <v>0.23</v>
      </c>
    </row>
  </sheetData>
  <mergeCells count="1">
    <mergeCell ref="A12: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Data Inputs</vt:lpstr>
      <vt:lpstr>Design Parameters</vt:lpstr>
      <vt:lpstr>Cost Estimate</vt:lpstr>
      <vt:lpstr>Tables A &amp;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2019-08-13T15:25:17Z</dcterms:created>
  <dcterms:modified xsi:type="dcterms:W3CDTF">2019-08-13T15:25:50Z</dcterms:modified>
</cp:coreProperties>
</file>