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5EA9756B-F05C-4CE2-BEFC-6C953DE7315A}" xr6:coauthVersionLast="44" xr6:coauthVersionMax="45" xr10:uidLastSave="{00000000-0000-0000-0000-000000000000}"/>
  <workbookProtection workbookAlgorithmName="SHA-512" workbookHashValue="K8nCRLkQ4Mn4yv/JCgX00oVGjSGtfgRo/NNU64mKdmCmPWOYbBg5dMM4MyFhfeDCAryc/dHm3vtsq7+6rIYkqw==" workbookSaltValue="2jKhql4rYzg69VQ+RvHvsQ==" workbookSpinCount="100000" lockStructure="1"/>
  <bookViews>
    <workbookView xWindow="-120" yWindow="-120" windowWidth="20730" windowHeight="11160" tabRatio="831" xr2:uid="{7AA01A01-2C6C-49F9-891A-E3EEF11C91D2}"/>
  </bookViews>
  <sheets>
    <sheet name="Cover Page" sheetId="49" r:id="rId1"/>
    <sheet name="Read Me" sheetId="48" r:id="rId2"/>
    <sheet name="Dashboard" sheetId="31" r:id="rId3"/>
    <sheet name="RR" sheetId="41" r:id="rId4"/>
    <sheet name="Dermal Exposure" sheetId="46" r:id="rId5"/>
    <sheet name="Exposure Results" sheetId="38" r:id="rId6"/>
    <sheet name="Hazard Values" sheetId="39" r:id="rId7"/>
    <sheet name="Dermal Crosswalk" sheetId="45" r:id="rId8"/>
    <sheet name="Exposure Factors" sheetId="47" r:id="rId9"/>
    <sheet name="Dermal Results" sheetId="43" r:id="rId10"/>
    <sheet name="ListValues" sheetId="3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15</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9" hidden="1">'Dermal Results'!$F$4:$P$4</definedName>
    <definedName name="ACff_50pct" localSheetId="5">#REF!</definedName>
    <definedName name="ACff_50pct" localSheetId="6">#REF!</definedName>
    <definedName name="ACff_50pct">#REF!</definedName>
    <definedName name="ACff_5pct" localSheetId="5">#REF!</definedName>
    <definedName name="ACff_5pct" localSheetId="6">#REF!</definedName>
    <definedName name="ACff_5pct">#REF!</definedName>
    <definedName name="ACff_95pct" localSheetId="5">#REF!</definedName>
    <definedName name="ACff_95pct" localSheetId="6">#REF!</definedName>
    <definedName name="ACff_95pct">#REF!</definedName>
    <definedName name="ACff_99pct" localSheetId="5">#REF!</definedName>
    <definedName name="ACff_99pct" localSheetId="6">#REF!</definedName>
    <definedName name="ACff_99pct">#REF!</definedName>
    <definedName name="ACff_max" localSheetId="5">#REF!</definedName>
    <definedName name="ACff_max" localSheetId="6">#REF!</definedName>
    <definedName name="ACff_max">#REF!</definedName>
    <definedName name="ACff_mean" localSheetId="5">#REF!</definedName>
    <definedName name="ACff_mean" localSheetId="6">#REF!</definedName>
    <definedName name="ACff_mean">#REF!</definedName>
    <definedName name="ACff_min" localSheetId="5">#REF!</definedName>
    <definedName name="ACff_min" localSheetId="6">#REF!</definedName>
    <definedName name="ACff_min">#REF!</definedName>
    <definedName name="ACnf_50pct" localSheetId="5">#REF!</definedName>
    <definedName name="ACnf_50pct" localSheetId="6">#REF!</definedName>
    <definedName name="ACnf_50pct">#REF!</definedName>
    <definedName name="ACnf_5pct" localSheetId="5">#REF!</definedName>
    <definedName name="ACnf_5pct" localSheetId="6">#REF!</definedName>
    <definedName name="ACnf_5pct">#REF!</definedName>
    <definedName name="ACnf_95pct" localSheetId="5">#REF!</definedName>
    <definedName name="ACnf_95pct" localSheetId="6">#REF!</definedName>
    <definedName name="ACnf_95pct">#REF!</definedName>
    <definedName name="ACnf_99pct" localSheetId="5">#REF!</definedName>
    <definedName name="ACnf_99pct" localSheetId="6">#REF!</definedName>
    <definedName name="ACnf_99pct">#REF!</definedName>
    <definedName name="ACnf_max" localSheetId="5">#REF!</definedName>
    <definedName name="ACnf_max" localSheetId="6">#REF!</definedName>
    <definedName name="ACnf_max">#REF!</definedName>
    <definedName name="ACnf_mean" localSheetId="5">#REF!</definedName>
    <definedName name="ACnf_mean" localSheetId="6">#REF!</definedName>
    <definedName name="ACnf_mean">#REF!</definedName>
    <definedName name="ACnf_min" localSheetId="5">#REF!</definedName>
    <definedName name="ACnf_min" localSheetId="6">#REF!</definedName>
    <definedName name="ACnf_min">#REF!</definedName>
    <definedName name="ADCff_50pct" localSheetId="5">#REF!</definedName>
    <definedName name="ADCff_50pct" localSheetId="6">#REF!</definedName>
    <definedName name="ADCff_50pct">#REF!</definedName>
    <definedName name="ADCff_5pct" localSheetId="5">#REF!</definedName>
    <definedName name="ADCff_5pct" localSheetId="6">#REF!</definedName>
    <definedName name="ADCff_5pct">#REF!</definedName>
    <definedName name="ADCff_95pct" localSheetId="5">#REF!</definedName>
    <definedName name="ADCff_95pct" localSheetId="6">#REF!</definedName>
    <definedName name="ADCff_95pct">#REF!</definedName>
    <definedName name="ADCff_99pct" localSheetId="5">#REF!</definedName>
    <definedName name="ADCff_99pct" localSheetId="6">#REF!</definedName>
    <definedName name="ADCff_99pct">#REF!</definedName>
    <definedName name="ADCff_max" localSheetId="5">#REF!</definedName>
    <definedName name="ADCff_max" localSheetId="6">#REF!</definedName>
    <definedName name="ADCff_max">#REF!</definedName>
    <definedName name="ADCff_mean" localSheetId="5">#REF!</definedName>
    <definedName name="ADCff_mean" localSheetId="6">#REF!</definedName>
    <definedName name="ADCff_mean">#REF!</definedName>
    <definedName name="ADCff_min" localSheetId="5">#REF!</definedName>
    <definedName name="ADCff_min" localSheetId="6">#REF!</definedName>
    <definedName name="ADCff_min">#REF!</definedName>
    <definedName name="ADCnf_50pct" localSheetId="5">#REF!</definedName>
    <definedName name="ADCnf_50pct" localSheetId="6">#REF!</definedName>
    <definedName name="ADCnf_50pct">#REF!</definedName>
    <definedName name="ADCnf_5pct" localSheetId="5">#REF!</definedName>
    <definedName name="ADCnf_5pct" localSheetId="6">#REF!</definedName>
    <definedName name="ADCnf_5pct">#REF!</definedName>
    <definedName name="ADCnf_95pct" localSheetId="5">#REF!</definedName>
    <definedName name="ADCnf_95pct" localSheetId="6">#REF!</definedName>
    <definedName name="ADCnf_95pct">#REF!</definedName>
    <definedName name="ADCnf_99pct" localSheetId="5">#REF!</definedName>
    <definedName name="ADCnf_99pct" localSheetId="6">#REF!</definedName>
    <definedName name="ADCnf_99pct">#REF!</definedName>
    <definedName name="ADCnf_max" localSheetId="5">#REF!</definedName>
    <definedName name="ADCnf_max" localSheetId="6">#REF!</definedName>
    <definedName name="ADCnf_max">#REF!</definedName>
    <definedName name="ADCnf_mean" localSheetId="5">#REF!</definedName>
    <definedName name="ADCnf_mean" localSheetId="6">#REF!</definedName>
    <definedName name="ADCnf_mean">#REF!</definedName>
    <definedName name="ADCnf_min" localSheetId="5">#REF!</definedName>
    <definedName name="ADCnf_min" localSheetId="6">#REF!</definedName>
    <definedName name="ADCnf_min">#REF!</definedName>
    <definedName name="AER_MC" localSheetId="5">#REF!</definedName>
    <definedName name="AER_MC" localSheetId="6">#REF!</definedName>
    <definedName name="AER_MC">#REF!</definedName>
    <definedName name="Air_speed_MC" localSheetId="5">#REF!</definedName>
    <definedName name="Air_speed_MC" localSheetId="6">#REF!</definedName>
    <definedName name="Air_speed_MC">#REF!</definedName>
    <definedName name="AT_50th_non_cancer">[1]Constants!$C$11</definedName>
    <definedName name="AT_50th_non_cancer_DC">[1]Constants!$C$25</definedName>
    <definedName name="AT_95th_non_cancer">[1]Constants!$C$10</definedName>
    <definedName name="AT_95th_non_cancer_DC">[1]Constants!$C$24</definedName>
    <definedName name="AT_AC" localSheetId="1">[2]Constants!$C$4</definedName>
    <definedName name="AT_AC" localSheetId="3">[3]Constants!$C$4</definedName>
    <definedName name="AT_AC">[3]Constants!$C$4</definedName>
    <definedName name="AT_AC_DC">[1]Constants!$C$17</definedName>
    <definedName name="AT_acute" localSheetId="5">#REF!</definedName>
    <definedName name="AT_acute" localSheetId="6">#REF!</definedName>
    <definedName name="AT_acute" localSheetId="3">#REF!</definedName>
    <definedName name="AT_acute">#REF!</definedName>
    <definedName name="AT_cancer" localSheetId="5">#REF!</definedName>
    <definedName name="AT_cancer" localSheetId="6">#REF!</definedName>
    <definedName name="AT_cancer" localSheetId="3">#REF!</definedName>
    <definedName name="AT_cancer">#REF!</definedName>
    <definedName name="AT_cancer_8hrTWA" localSheetId="5">#REF!</definedName>
    <definedName name="AT_cancer_8hrTWA" localSheetId="6">#REF!</definedName>
    <definedName name="AT_cancer_8hrTWA">#REF!</definedName>
    <definedName name="AT_cancer_DC">[1]Constants!$C$26</definedName>
    <definedName name="AT_non_cancer" localSheetId="1">[2]Constants!$C$10</definedName>
    <definedName name="AT_non_cancer">[3]Constants!$C$10</definedName>
    <definedName name="AT_noncancer" localSheetId="5">#REF!</definedName>
    <definedName name="AT_noncancer" localSheetId="6">#REF!</definedName>
    <definedName name="AT_noncancer" localSheetId="3">#REF!</definedName>
    <definedName name="AT_noncancer">#REF!</definedName>
    <definedName name="AT_noncancer_8hrTWA" localSheetId="5">#REF!</definedName>
    <definedName name="AT_noncancer_8hrTWA" localSheetId="6">#REF!</definedName>
    <definedName name="AT_noncancer_8hrTWA" localSheetId="3">#REF!</definedName>
    <definedName name="AT_noncancer_8hrTWA">#REF!</definedName>
    <definedName name="AWD">[1]Constants!$C$6</definedName>
    <definedName name="AWD_DC_50th">[1]Constants!$C$20</definedName>
    <definedName name="AWD_DC_95th">[1]Constants!$C$19</definedName>
    <definedName name="Cff_mass" localSheetId="5">#REF!</definedName>
    <definedName name="Cff_mass" localSheetId="6">#REF!</definedName>
    <definedName name="Cff_mass" localSheetId="3">#REF!</definedName>
    <definedName name="Cff_mass">#REF!</definedName>
    <definedName name="Cff_ppm" localSheetId="5">#REF!</definedName>
    <definedName name="Cff_ppm" localSheetId="6">#REF!</definedName>
    <definedName name="Cff_ppm" localSheetId="3">#REF!</definedName>
    <definedName name="Cff_ppm">#REF!</definedName>
    <definedName name="Cff_ppm_50pct" localSheetId="5">#REF!</definedName>
    <definedName name="Cff_ppm_50pct" localSheetId="6">#REF!</definedName>
    <definedName name="Cff_ppm_50pct" localSheetId="3">#REF!</definedName>
    <definedName name="Cff_ppm_50pct">#REF!</definedName>
    <definedName name="Cff_ppm_5pct" localSheetId="5">#REF!</definedName>
    <definedName name="Cff_ppm_5pct" localSheetId="6">#REF!</definedName>
    <definedName name="Cff_ppm_5pct">#REF!</definedName>
    <definedName name="Cff_ppm_95pct" localSheetId="5">#REF!</definedName>
    <definedName name="Cff_ppm_95pct" localSheetId="6">#REF!</definedName>
    <definedName name="Cff_ppm_95pct">#REF!</definedName>
    <definedName name="Cff_ppm_99pct" localSheetId="5">#REF!</definedName>
    <definedName name="Cff_ppm_99pct" localSheetId="6">#REF!</definedName>
    <definedName name="Cff_ppm_99pct">#REF!</definedName>
    <definedName name="Cff_ppm_max" localSheetId="5">#REF!</definedName>
    <definedName name="Cff_ppm_max" localSheetId="6">#REF!</definedName>
    <definedName name="Cff_ppm_max">#REF!</definedName>
    <definedName name="Cff_ppm_mean" localSheetId="5">#REF!</definedName>
    <definedName name="Cff_ppm_mean" localSheetId="6">#REF!</definedName>
    <definedName name="Cff_ppm_mean">#REF!</definedName>
    <definedName name="Cff_ppm_min" localSheetId="5">#REF!</definedName>
    <definedName name="Cff_ppm_min" localSheetId="6">#REF!</definedName>
    <definedName name="Cff_ppm_min">#REF!</definedName>
    <definedName name="Cnf_mass" localSheetId="5">#REF!</definedName>
    <definedName name="Cnf_mass" localSheetId="6">#REF!</definedName>
    <definedName name="Cnf_mass">#REF!</definedName>
    <definedName name="Cnf_ppm" localSheetId="5">#REF!</definedName>
    <definedName name="Cnf_ppm" localSheetId="6">#REF!</definedName>
    <definedName name="Cnf_ppm">#REF!</definedName>
    <definedName name="Cnf_ppm_50pct" localSheetId="5">#REF!</definedName>
    <definedName name="Cnf_ppm_50pct" localSheetId="6">#REF!</definedName>
    <definedName name="Cnf_ppm_50pct">#REF!</definedName>
    <definedName name="Cnf_ppm_5pct" localSheetId="5">#REF!</definedName>
    <definedName name="Cnf_ppm_5pct" localSheetId="6">#REF!</definedName>
    <definedName name="Cnf_ppm_5pct">#REF!</definedName>
    <definedName name="Cnf_ppm_95pct" localSheetId="5">#REF!</definedName>
    <definedName name="Cnf_ppm_95pct" localSheetId="6">#REF!</definedName>
    <definedName name="Cnf_ppm_95pct">#REF!</definedName>
    <definedName name="Cnf_ppm_99pct" localSheetId="5">#REF!</definedName>
    <definedName name="Cnf_ppm_99pct" localSheetId="6">#REF!</definedName>
    <definedName name="Cnf_ppm_99pct">#REF!</definedName>
    <definedName name="Cnf_ppm_max" localSheetId="5">#REF!</definedName>
    <definedName name="Cnf_ppm_max" localSheetId="6">#REF!</definedName>
    <definedName name="Cnf_ppm_max">#REF!</definedName>
    <definedName name="Cnf_ppm_mean" localSheetId="5">#REF!</definedName>
    <definedName name="Cnf_ppm_mean" localSheetId="6">#REF!</definedName>
    <definedName name="Cnf_ppm_mean">#REF!</definedName>
    <definedName name="Cnf_ppm_min" localSheetId="5">#REF!</definedName>
    <definedName name="Cnf_ppm_min" localSheetId="6">#REF!</definedName>
    <definedName name="Cnf_ppm_min">#REF!</definedName>
    <definedName name="ED_AC" localSheetId="1">[2]Constants!$C$3</definedName>
    <definedName name="ED_AC" localSheetId="3">[3]Constants!$C$3</definedName>
    <definedName name="ED_AC">[3]Constants!$C$3</definedName>
    <definedName name="ED_AC_DC">[1]Constants!$C$16</definedName>
    <definedName name="ED_acute" localSheetId="5">#REF!</definedName>
    <definedName name="ED_acute" localSheetId="6">#REF!</definedName>
    <definedName name="ED_acute" localSheetId="3">#REF!</definedName>
    <definedName name="ED_acute">#REF!</definedName>
    <definedName name="ED_chronic" localSheetId="5">#REF!</definedName>
    <definedName name="ED_chronic" localSheetId="6">#REF!</definedName>
    <definedName name="ED_chronic" localSheetId="3">#REF!</definedName>
    <definedName name="ED_chronic">#REF!</definedName>
    <definedName name="ED_chronic_DC">[1]Constants!$C$18</definedName>
    <definedName name="EF_chronic" localSheetId="5">#REF!</definedName>
    <definedName name="EF_chronic" localSheetId="6">#REF!</definedName>
    <definedName name="EF_chronic" localSheetId="3">#REF!</definedName>
    <definedName name="EF_chronic">#REF!</definedName>
    <definedName name="Exposure_Drop_down" localSheetId="6">'Hazard Values'!$O$30:$O$36</definedName>
    <definedName name="Exposure_Drop_down" localSheetId="3">'[4]Hazard Values'!#REF!</definedName>
    <definedName name="Exposure_Drop_down">#REF!</definedName>
    <definedName name="FSA" localSheetId="5">#REF!</definedName>
    <definedName name="FSA" localSheetId="6">#REF!</definedName>
    <definedName name="FSA" localSheetId="3">#REF!</definedName>
    <definedName name="FSA">#REF!</definedName>
    <definedName name="ft_per_cm" localSheetId="5">#REF!</definedName>
    <definedName name="ft_per_cm" localSheetId="6">#REF!</definedName>
    <definedName name="ft_per_cm" localSheetId="3">#REF!</definedName>
    <definedName name="ft_per_cm">#REF!</definedName>
    <definedName name="ft_per_m" localSheetId="5">#REF!</definedName>
    <definedName name="ft_per_m" localSheetId="6">#REF!</definedName>
    <definedName name="ft_per_m">#REF!</definedName>
    <definedName name="G_MC" localSheetId="5">#REF!</definedName>
    <definedName name="G_MC" localSheetId="6">#REF!</definedName>
    <definedName name="G_MC">#REF!</definedName>
    <definedName name="g_per_kg" localSheetId="5">#REF!</definedName>
    <definedName name="g_per_kg" localSheetId="6">#REF!</definedName>
    <definedName name="g_per_kg">#REF!</definedName>
    <definedName name="HEC_Drop_down" localSheetId="6">'Hazard Values'!$M$30:$M$32</definedName>
    <definedName name="HEC_Drop_down" localSheetId="3">'[4]Hazard Values'!#REF!</definedName>
    <definedName name="HEC_Drop_down">#REF!</definedName>
    <definedName name="Hnf_MC" localSheetId="5">#REF!</definedName>
    <definedName name="Hnf_MC" localSheetId="6">#REF!</definedName>
    <definedName name="Hnf_MC" localSheetId="3">#REF!</definedName>
    <definedName name="Hnf_MC">#REF!</definedName>
    <definedName name="kcoef1" localSheetId="5">#REF!</definedName>
    <definedName name="kcoef1" localSheetId="6">#REF!</definedName>
    <definedName name="kcoef1" localSheetId="3">#REF!</definedName>
    <definedName name="kcoef1">#REF!</definedName>
    <definedName name="kcoef2" localSheetId="5">#REF!</definedName>
    <definedName name="kcoef2" localSheetId="6">#REF!</definedName>
    <definedName name="kcoef2">#REF!</definedName>
    <definedName name="kcoef3" localSheetId="5">#REF!</definedName>
    <definedName name="kcoef3" localSheetId="6">#REF!</definedName>
    <definedName name="kcoef3">#REF!</definedName>
    <definedName name="kcoef4" localSheetId="5">#REF!</definedName>
    <definedName name="kcoef4" localSheetId="6">#REF!</definedName>
    <definedName name="kcoef4">#REF!</definedName>
    <definedName name="kcoef5" localSheetId="5">#REF!</definedName>
    <definedName name="kcoef5" localSheetId="6">#REF!</definedName>
    <definedName name="kcoef5">#REF!</definedName>
    <definedName name="LADCff_50pct" localSheetId="5">#REF!</definedName>
    <definedName name="LADCff_50pct" localSheetId="6">#REF!</definedName>
    <definedName name="LADCff_50pct">#REF!</definedName>
    <definedName name="LADCff_5pct" localSheetId="5">#REF!</definedName>
    <definedName name="LADCff_5pct" localSheetId="6">#REF!</definedName>
    <definedName name="LADCff_5pct">#REF!</definedName>
    <definedName name="LADCff_95pct" localSheetId="5">#REF!</definedName>
    <definedName name="LADCff_95pct" localSheetId="6">#REF!</definedName>
    <definedName name="LADCff_95pct">#REF!</definedName>
    <definedName name="LADCff_99pct" localSheetId="5">#REF!</definedName>
    <definedName name="LADCff_99pct" localSheetId="6">#REF!</definedName>
    <definedName name="LADCff_99pct">#REF!</definedName>
    <definedName name="LADCff_max" localSheetId="5">#REF!</definedName>
    <definedName name="LADCff_max" localSheetId="6">#REF!</definedName>
    <definedName name="LADCff_max">#REF!</definedName>
    <definedName name="LADCff_mean" localSheetId="5">#REF!</definedName>
    <definedName name="LADCff_mean" localSheetId="6">#REF!</definedName>
    <definedName name="LADCff_mean">#REF!</definedName>
    <definedName name="LADCff_min" localSheetId="5">#REF!</definedName>
    <definedName name="LADCff_min" localSheetId="6">#REF!</definedName>
    <definedName name="LADCff_min">#REF!</definedName>
    <definedName name="LADCnf_50pct" localSheetId="5">#REF!</definedName>
    <definedName name="LADCnf_50pct" localSheetId="6">#REF!</definedName>
    <definedName name="LADCnf_50pct">#REF!</definedName>
    <definedName name="LADCnf_5pct" localSheetId="5">#REF!</definedName>
    <definedName name="LADCnf_5pct" localSheetId="6">#REF!</definedName>
    <definedName name="LADCnf_5pct">#REF!</definedName>
    <definedName name="LADCnf_95pct" localSheetId="5">#REF!</definedName>
    <definedName name="LADCnf_95pct" localSheetId="6">#REF!</definedName>
    <definedName name="LADCnf_95pct">#REF!</definedName>
    <definedName name="LADCnf_99pct" localSheetId="5">#REF!</definedName>
    <definedName name="LADCnf_99pct" localSheetId="6">#REF!</definedName>
    <definedName name="LADCnf_99pct">#REF!</definedName>
    <definedName name="LADCnf_max" localSheetId="5">#REF!</definedName>
    <definedName name="LADCnf_max" localSheetId="6">#REF!</definedName>
    <definedName name="LADCnf_max">#REF!</definedName>
    <definedName name="LADCnf_mean" localSheetId="5">#REF!</definedName>
    <definedName name="LADCnf_mean" localSheetId="6">#REF!</definedName>
    <definedName name="LADCnf_mean">#REF!</definedName>
    <definedName name="LADCnf_min" localSheetId="5">#REF!</definedName>
    <definedName name="LADCnf_min" localSheetId="6">#REF!</definedName>
    <definedName name="LADCnf_min">#REF!</definedName>
    <definedName name="lambda1" localSheetId="5">#REF!</definedName>
    <definedName name="lambda1" localSheetId="6">#REF!</definedName>
    <definedName name="lambda1">#REF!</definedName>
    <definedName name="lambda2" localSheetId="5">#REF!</definedName>
    <definedName name="lambda2" localSheetId="6">#REF!</definedName>
    <definedName name="lambda2">#REF!</definedName>
    <definedName name="large_EF" localSheetId="5">#REF!</definedName>
    <definedName name="large_EF" localSheetId="6">#REF!</definedName>
    <definedName name="large_EF">#REF!</definedName>
    <definedName name="large_OH" localSheetId="5">#REF!</definedName>
    <definedName name="large_OH" localSheetId="6">#REF!</definedName>
    <definedName name="large_OH">#REF!</definedName>
    <definedName name="large_SAI" localSheetId="5">#REF!</definedName>
    <definedName name="large_SAI" localSheetId="6">#REF!</definedName>
    <definedName name="large_SAI">#REF!</definedName>
    <definedName name="Lnf_MC" localSheetId="5">#REF!</definedName>
    <definedName name="Lnf_MC" localSheetId="6">#REF!</definedName>
    <definedName name="Lnf_MC">#REF!</definedName>
    <definedName name="LT" localSheetId="1">'[5]List Values'!$H$21</definedName>
    <definedName name="LT">'[5]List Values'!$H$21</definedName>
    <definedName name="LT_cancer" localSheetId="5">#REF!</definedName>
    <definedName name="LT_cancer" localSheetId="6">#REF!</definedName>
    <definedName name="LT_cancer">#REF!</definedName>
    <definedName name="LT_noncancer" localSheetId="5">#REF!</definedName>
    <definedName name="LT_noncancer" localSheetId="6">#REF!</definedName>
    <definedName name="LT_noncancer">#REF!</definedName>
    <definedName name="MC_On_Off" localSheetId="5">#REF!</definedName>
    <definedName name="MC_On_Off" localSheetId="6">#REF!</definedName>
    <definedName name="MC_On_Off">#REF!</definedName>
    <definedName name="medium_EF" localSheetId="5">#REF!</definedName>
    <definedName name="medium_EF" localSheetId="6">#REF!</definedName>
    <definedName name="medium_EF">#REF!</definedName>
    <definedName name="medium_OH" localSheetId="5">#REF!</definedName>
    <definedName name="medium_OH" localSheetId="6">#REF!</definedName>
    <definedName name="medium_OH">#REF!</definedName>
    <definedName name="medium_SAI_high" localSheetId="5">#REF!</definedName>
    <definedName name="medium_SAI_high" localSheetId="6">#REF!</definedName>
    <definedName name="medium_SAI_high">#REF!</definedName>
    <definedName name="medium_SAI_low" localSheetId="5">#REF!</definedName>
    <definedName name="medium_SAI_low" localSheetId="6">#REF!</definedName>
    <definedName name="medium_SAI_low">#REF!</definedName>
    <definedName name="mg_per_gram" localSheetId="5">#REF!</definedName>
    <definedName name="mg_per_gram" localSheetId="6">#REF!</definedName>
    <definedName name="mg_per_gram">#REF!</definedName>
    <definedName name="min_per_hr" localSheetId="5">#REF!</definedName>
    <definedName name="min_per_hr" localSheetId="6">#REF!</definedName>
    <definedName name="min_per_hr">#REF!</definedName>
    <definedName name="Mol_Vol" localSheetId="1">[6]Constants!$B$4</definedName>
    <definedName name="Mol_Vol">[7]Constants!$B$4</definedName>
    <definedName name="MolVol">24.45</definedName>
    <definedName name="MolW" localSheetId="1">[8]Constants!$B$3</definedName>
    <definedName name="MolW">[9]Constants!$B$3</definedName>
    <definedName name="month_per_yr" localSheetId="5">#REF!</definedName>
    <definedName name="month_per_yr" localSheetId="6">#REF!</definedName>
    <definedName name="month_per_yr" localSheetId="3">#REF!</definedName>
    <definedName name="month_per_yr">#REF!</definedName>
    <definedName name="MW" localSheetId="5">#REF!</definedName>
    <definedName name="MW" localSheetId="6">#REF!</definedName>
    <definedName name="MW" localSheetId="3">153.82</definedName>
    <definedName name="MW">#REF!</definedName>
    <definedName name="NESHAP" localSheetId="5">#REF!</definedName>
    <definedName name="NESHAP" localSheetId="6">#REF!</definedName>
    <definedName name="NESHAP" localSheetId="3">#REF!</definedName>
    <definedName name="NESHAP">#REF!</definedName>
    <definedName name="OD_MC" localSheetId="5">#REF!</definedName>
    <definedName name="OD_MC" localSheetId="6">#REF!</definedName>
    <definedName name="OD_MC" localSheetId="3">#REF!</definedName>
    <definedName name="OD_MC">#REF!</definedName>
    <definedName name="OH_MC" localSheetId="5">#REF!</definedName>
    <definedName name="OH_MC" localSheetId="6">#REF!</definedName>
    <definedName name="OH_MC" localSheetId="3">#REF!</definedName>
    <definedName name="OH_MC">#REF!</definedName>
    <definedName name="Pal_Workbook_GUID" hidden="1">"QFFA8IQU6YFGRFCXE7L4LIWR"</definedName>
    <definedName name="Press" localSheetId="5">#REF!</definedName>
    <definedName name="Press" localSheetId="6">#REF!</definedName>
    <definedName name="Press" localSheetId="3">#REF!</definedName>
    <definedName name="Press">#REF!</definedName>
    <definedName name="Qff" localSheetId="5">#REF!</definedName>
    <definedName name="Qff" localSheetId="6">#REF!</definedName>
    <definedName name="Qff" localSheetId="3">#REF!</definedName>
    <definedName name="Qff">#REF!</definedName>
    <definedName name="Qnf" localSheetId="5">#REF!</definedName>
    <definedName name="Qnf" localSheetId="6">#REF!</definedName>
    <definedName name="Qnf" localSheetId="3">#REF!</definedName>
    <definedName name="Qnf">#REF!</definedName>
    <definedName name="Rgas" localSheetId="5">#REF!</definedName>
    <definedName name="Rgas" localSheetId="6">#REF!</definedName>
    <definedName name="Rga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M_Drop_down" localSheetId="5">#REF!</definedName>
    <definedName name="RM_Drop_down" localSheetId="6">#REF!</definedName>
    <definedName name="RM_Drop_down" localSheetId="3">#REF!</definedName>
    <definedName name="RM_Drop_down">#REF!</definedName>
    <definedName name="s_per_hr" localSheetId="5">#REF!</definedName>
    <definedName name="s_per_hr" localSheetId="6">#REF!</definedName>
    <definedName name="s_per_hr" localSheetId="3">#REF!</definedName>
    <definedName name="s_per_hr">#REF!</definedName>
    <definedName name="sdfsdaf" localSheetId="1">[2]Constants!$C$5</definedName>
    <definedName name="sdfsdaf">[3]Constants!$C$5</definedName>
    <definedName name="small_EF" localSheetId="5">#REF!</definedName>
    <definedName name="small_EF" localSheetId="6">#REF!</definedName>
    <definedName name="small_EF" localSheetId="3">#REF!</definedName>
    <definedName name="small_EF">#REF!</definedName>
    <definedName name="small_OH" localSheetId="5">#REF!</definedName>
    <definedName name="small_OH" localSheetId="6">#REF!</definedName>
    <definedName name="small_OH" localSheetId="3">#REF!</definedName>
    <definedName name="small_OH">#REF!</definedName>
    <definedName name="small_SAI_high" localSheetId="5">#REF!</definedName>
    <definedName name="small_SAI_high" localSheetId="6">#REF!</definedName>
    <definedName name="small_SAI_high" localSheetId="3">#REF!</definedName>
    <definedName name="small_SAI_high">#REF!</definedName>
    <definedName name="small_SAI_low" localSheetId="5">#REF!</definedName>
    <definedName name="small_SAI_low" localSheetId="6">#REF!</definedName>
    <definedName name="small_SAI_low">#REF!</definedName>
    <definedName name="t1_MC" localSheetId="5">#REF!</definedName>
    <definedName name="t1_MC" localSheetId="6">#REF!</definedName>
    <definedName name="t1_MC">#REF!</definedName>
    <definedName name="t2_MC" localSheetId="5">#REF!</definedName>
    <definedName name="t2_MC" localSheetId="6">#REF!</definedName>
    <definedName name="t2_MC">#REF!</definedName>
    <definedName name="Target_Cancer_Drop_down" localSheetId="6">'Hazard Values'!$O$30:$O$32</definedName>
    <definedName name="Target_Cancer_Drop_down" localSheetId="3">'[4]Hazard Values'!#REF!</definedName>
    <definedName name="Target_Cancer_Drop_down">#REF!</definedName>
    <definedName name="tavg_MC" localSheetId="5">#REF!</definedName>
    <definedName name="tavg_MC" localSheetId="6">#REF!</definedName>
    <definedName name="tavg_MC" localSheetId="3">#REF!</definedName>
    <definedName name="tavg_MC">#REF!</definedName>
    <definedName name="Temp" localSheetId="5">#REF!</definedName>
    <definedName name="Temp" localSheetId="6">#REF!</definedName>
    <definedName name="Temp" localSheetId="3">#REF!</definedName>
    <definedName name="Temp">#REF!</definedName>
    <definedName name="Vff_conv" localSheetId="5">#REF!</definedName>
    <definedName name="Vff_conv" localSheetId="6">#REF!</definedName>
    <definedName name="Vff_conv">#REF!</definedName>
    <definedName name="Vff_MC" localSheetId="5">#REF!</definedName>
    <definedName name="Vff_MC" localSheetId="6">#REF!</definedName>
    <definedName name="Vff_MC">#REF!</definedName>
    <definedName name="Vnf" localSheetId="5">#REF!</definedName>
    <definedName name="Vnf" localSheetId="6">#REF!</definedName>
    <definedName name="Vnf">#REF!</definedName>
    <definedName name="Wnf_MC" localSheetId="5">#REF!</definedName>
    <definedName name="Wnf_MC" localSheetId="6">#REF!</definedName>
    <definedName name="Wnf_MC">#REF!</definedName>
    <definedName name="WY_50th">[1]Constants!$C$8</definedName>
    <definedName name="WY_50th_DC">[1]Constants!$C$22</definedName>
    <definedName name="WY_95th">[1]Constants!$C$7</definedName>
    <definedName name="WY_95th_DC">[1]Constants!$C$21</definedName>
    <definedName name="WY_chronic" localSheetId="5">#REF!</definedName>
    <definedName name="WY_chronic" localSheetId="6">#REF!</definedName>
    <definedName name="WY_chronic" localSheetId="3">#REF!</definedName>
    <definedName name="WY_chronic">#REF!</definedName>
    <definedName name="WY_high" localSheetId="1">'[5]List Values'!$H$20</definedName>
    <definedName name="WY_high">'[5]List Values'!$H$20</definedName>
    <definedName name="WY_mid" localSheetId="1">'[5]List Values'!$H$19</definedName>
    <definedName name="WY_mid">'[5]List Values'!$H$19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31" l="1"/>
  <c r="L14" i="31"/>
  <c r="H13" i="31" l="1"/>
  <c r="H12" i="31"/>
  <c r="H15" i="31"/>
  <c r="G15" i="31"/>
  <c r="F15" i="31"/>
  <c r="E15" i="31"/>
  <c r="H14" i="31"/>
  <c r="G14" i="31"/>
  <c r="F14" i="31"/>
  <c r="E14" i="31"/>
  <c r="G13" i="31"/>
  <c r="F13" i="31"/>
  <c r="E13" i="31"/>
  <c r="G12" i="31"/>
  <c r="F12" i="31"/>
  <c r="E12" i="31"/>
  <c r="T12" i="31"/>
  <c r="L12" i="31"/>
  <c r="L13" i="31" l="1"/>
  <c r="M12" i="31" l="1"/>
  <c r="M14" i="31"/>
  <c r="I111" i="38" l="1"/>
  <c r="I112" i="38"/>
  <c r="J112" i="38"/>
  <c r="J111" i="38"/>
  <c r="N111" i="38" s="1"/>
  <c r="H64" i="41"/>
  <c r="H63" i="41"/>
  <c r="H36" i="41"/>
  <c r="H35" i="41"/>
  <c r="O14" i="31"/>
  <c r="O12" i="31"/>
  <c r="T14" i="31"/>
  <c r="Q9" i="41"/>
  <c r="R38" i="41"/>
  <c r="Q38" i="41"/>
  <c r="V13" i="41"/>
  <c r="V11" i="41"/>
  <c r="V9" i="41"/>
  <c r="A7" i="46"/>
  <c r="C7" i="46"/>
  <c r="A8" i="46"/>
  <c r="C8" i="46"/>
  <c r="A9" i="46"/>
  <c r="C9" i="46"/>
  <c r="A10" i="46"/>
  <c r="C10" i="46"/>
  <c r="A11" i="46"/>
  <c r="C11" i="46"/>
  <c r="A12" i="46"/>
  <c r="C12" i="46"/>
  <c r="X7" i="41"/>
  <c r="W14" i="41"/>
  <c r="W13" i="41"/>
  <c r="W12" i="41"/>
  <c r="W11" i="41"/>
  <c r="W10" i="41"/>
  <c r="W9" i="41"/>
  <c r="AQ32" i="31"/>
  <c r="C14" i="46"/>
  <c r="L14" i="46" s="1"/>
  <c r="C13" i="46"/>
  <c r="L13" i="46" s="1"/>
  <c r="C6" i="46"/>
  <c r="L6" i="46" s="1"/>
  <c r="C5" i="46"/>
  <c r="AP14" i="31"/>
  <c r="O29" i="43"/>
  <c r="J29" i="43" s="1"/>
  <c r="O28" i="43"/>
  <c r="J28" i="43" s="1"/>
  <c r="O27" i="43"/>
  <c r="J27" i="43" s="1"/>
  <c r="K27" i="43" s="1"/>
  <c r="O26" i="43"/>
  <c r="J26" i="43" s="1"/>
  <c r="O25" i="43"/>
  <c r="J25" i="43" s="1"/>
  <c r="M25" i="43" s="1"/>
  <c r="O24" i="43"/>
  <c r="J24" i="43" s="1"/>
  <c r="O23" i="43"/>
  <c r="J23" i="43" s="1"/>
  <c r="O22" i="43"/>
  <c r="J22" i="43" s="1"/>
  <c r="O21" i="43"/>
  <c r="J21" i="43" s="1"/>
  <c r="O20" i="43"/>
  <c r="J20" i="43" s="1"/>
  <c r="O19" i="43"/>
  <c r="J19" i="43" s="1"/>
  <c r="O18" i="43"/>
  <c r="J18" i="43" s="1"/>
  <c r="O17" i="43"/>
  <c r="O16" i="43"/>
  <c r="J16" i="43" s="1"/>
  <c r="O15" i="43"/>
  <c r="J15" i="43" s="1"/>
  <c r="O14" i="43"/>
  <c r="J14" i="43" s="1"/>
  <c r="K14" i="43" s="1"/>
  <c r="O13" i="43"/>
  <c r="J13" i="43" s="1"/>
  <c r="L13" i="43" s="1"/>
  <c r="O12" i="43"/>
  <c r="J12" i="43" s="1"/>
  <c r="O11" i="43"/>
  <c r="O10" i="43"/>
  <c r="J10" i="43" s="1"/>
  <c r="O9" i="43"/>
  <c r="J9" i="43" s="1"/>
  <c r="O8" i="43"/>
  <c r="J8" i="43" s="1"/>
  <c r="O7" i="43"/>
  <c r="J7" i="43" s="1"/>
  <c r="O6" i="43"/>
  <c r="J6" i="43" s="1"/>
  <c r="M6" i="43" s="1"/>
  <c r="O5" i="43"/>
  <c r="J5" i="43" s="1"/>
  <c r="D4" i="47"/>
  <c r="O32" i="39"/>
  <c r="N29" i="43"/>
  <c r="N28" i="43"/>
  <c r="N27" i="43"/>
  <c r="N26" i="43"/>
  <c r="N25" i="43"/>
  <c r="N24" i="43"/>
  <c r="N23" i="43"/>
  <c r="N22" i="43"/>
  <c r="N21" i="43"/>
  <c r="N20" i="43"/>
  <c r="N19" i="43"/>
  <c r="N18" i="43"/>
  <c r="J17" i="43"/>
  <c r="K17" i="43" s="1"/>
  <c r="N17" i="43"/>
  <c r="N16" i="43"/>
  <c r="N15" i="43"/>
  <c r="N14" i="43"/>
  <c r="N13" i="43"/>
  <c r="N12" i="43"/>
  <c r="J11" i="43"/>
  <c r="L11" i="43" s="1"/>
  <c r="N11" i="43"/>
  <c r="N10" i="43"/>
  <c r="N9" i="43"/>
  <c r="N8" i="43"/>
  <c r="N7" i="43"/>
  <c r="N6" i="43"/>
  <c r="N5" i="43"/>
  <c r="A14" i="46"/>
  <c r="J14" i="46" s="1"/>
  <c r="A13" i="46"/>
  <c r="J13" i="46" s="1"/>
  <c r="A6" i="46"/>
  <c r="J6" i="46" s="1"/>
  <c r="A5" i="46"/>
  <c r="J5" i="46" s="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F3" i="41"/>
  <c r="AP54" i="31"/>
  <c r="AP52" i="31"/>
  <c r="D59" i="31"/>
  <c r="H53" i="31"/>
  <c r="D53" i="31"/>
  <c r="AF51" i="31"/>
  <c r="AB51" i="31"/>
  <c r="AF49" i="31"/>
  <c r="AB49" i="31"/>
  <c r="P49" i="31"/>
  <c r="L49" i="31"/>
  <c r="AF47" i="31"/>
  <c r="AB47" i="31"/>
  <c r="X47" i="31"/>
  <c r="T47" i="31"/>
  <c r="P47" i="31"/>
  <c r="L47" i="31"/>
  <c r="H47" i="31"/>
  <c r="D47" i="31"/>
  <c r="AN45" i="31"/>
  <c r="AJ45" i="31"/>
  <c r="AF45" i="31"/>
  <c r="AB45" i="31"/>
  <c r="X45" i="31"/>
  <c r="T45" i="31"/>
  <c r="P45" i="31"/>
  <c r="L45" i="31"/>
  <c r="H45" i="31"/>
  <c r="D45" i="31"/>
  <c r="D34" i="31"/>
  <c r="AU31" i="31"/>
  <c r="AP53" i="31" s="1"/>
  <c r="AS28" i="31"/>
  <c r="AS27" i="31"/>
  <c r="AQ27" i="31"/>
  <c r="H28" i="31"/>
  <c r="D28" i="31"/>
  <c r="AU26" i="31"/>
  <c r="AF26" i="31"/>
  <c r="AB26" i="31"/>
  <c r="AF24" i="31"/>
  <c r="AB24" i="31"/>
  <c r="P24" i="31"/>
  <c r="L24" i="31"/>
  <c r="AS23" i="31"/>
  <c r="AS22" i="31"/>
  <c r="AQ22" i="31"/>
  <c r="AF22" i="31"/>
  <c r="AB22" i="31"/>
  <c r="X22" i="31"/>
  <c r="T22" i="31"/>
  <c r="P22" i="31"/>
  <c r="L22" i="31"/>
  <c r="H22" i="31"/>
  <c r="D22" i="31"/>
  <c r="AU21" i="31"/>
  <c r="AN20" i="31"/>
  <c r="AJ20" i="31"/>
  <c r="AF20" i="31"/>
  <c r="AB20" i="31"/>
  <c r="X20" i="31"/>
  <c r="T20" i="31"/>
  <c r="P20" i="31"/>
  <c r="L20" i="31"/>
  <c r="H20" i="31"/>
  <c r="D20" i="31"/>
  <c r="F20" i="31" s="1"/>
  <c r="AJ15" i="31"/>
  <c r="AE15" i="31"/>
  <c r="AE21" i="31" s="1"/>
  <c r="I52" i="41" s="1"/>
  <c r="Y15" i="31"/>
  <c r="T15" i="31"/>
  <c r="O15" i="31"/>
  <c r="G35" i="31" s="1"/>
  <c r="N15" i="31"/>
  <c r="M15" i="31"/>
  <c r="AJ14" i="31"/>
  <c r="AL21" i="31" s="1"/>
  <c r="AE14" i="31"/>
  <c r="Y14" i="31"/>
  <c r="N14" i="31"/>
  <c r="E85" i="31"/>
  <c r="AJ13" i="31"/>
  <c r="AE13" i="31"/>
  <c r="Y13" i="31"/>
  <c r="T13" i="31"/>
  <c r="O13" i="31"/>
  <c r="G34" i="31" s="1"/>
  <c r="N13" i="31"/>
  <c r="G28" i="31" s="1"/>
  <c r="G53" i="31" s="1"/>
  <c r="M13" i="31"/>
  <c r="AJ12" i="31"/>
  <c r="AE12" i="31"/>
  <c r="Y12" i="31"/>
  <c r="N12" i="31"/>
  <c r="D85" i="31"/>
  <c r="K11" i="43"/>
  <c r="M16" i="43"/>
  <c r="K16" i="43"/>
  <c r="L16" i="43"/>
  <c r="L24" i="43"/>
  <c r="L7" i="43" l="1"/>
  <c r="K7" i="43"/>
  <c r="M7" i="43"/>
  <c r="AD24" i="31"/>
  <c r="AD49" i="31" s="1"/>
  <c r="M12" i="43"/>
  <c r="K12" i="43"/>
  <c r="L12" i="43"/>
  <c r="M20" i="43"/>
  <c r="K20" i="43"/>
  <c r="L20" i="43"/>
  <c r="AD23" i="31"/>
  <c r="I26" i="41" s="1"/>
  <c r="O22" i="31"/>
  <c r="O47" i="31" s="1"/>
  <c r="AM21" i="31"/>
  <c r="I60" i="41" s="1"/>
  <c r="M60" i="41" s="1"/>
  <c r="F28" i="31"/>
  <c r="F53" i="31" s="1"/>
  <c r="F29" i="31"/>
  <c r="F54" i="31" s="1"/>
  <c r="O23" i="31"/>
  <c r="I44" i="41" s="1"/>
  <c r="L44" i="41" s="1"/>
  <c r="M14" i="46"/>
  <c r="M6" i="46"/>
  <c r="M13" i="46"/>
  <c r="V20" i="31"/>
  <c r="I19" i="41" s="1"/>
  <c r="L19" i="41" s="1"/>
  <c r="G29" i="31"/>
  <c r="G54" i="31" s="1"/>
  <c r="W21" i="31"/>
  <c r="W46" i="31" s="1"/>
  <c r="N23" i="31"/>
  <c r="I16" i="41" s="1"/>
  <c r="L16" i="41" s="1"/>
  <c r="W20" i="31"/>
  <c r="I47" i="41" s="1"/>
  <c r="L47" i="41" s="1"/>
  <c r="N21" i="31"/>
  <c r="I14" i="41" s="1"/>
  <c r="K28" i="43"/>
  <c r="M28" i="43"/>
  <c r="L28" i="43"/>
  <c r="L5" i="43"/>
  <c r="K5" i="43"/>
  <c r="M5" i="43"/>
  <c r="M9" i="43"/>
  <c r="L9" i="43"/>
  <c r="K9" i="43"/>
  <c r="K29" i="43"/>
  <c r="M29" i="43"/>
  <c r="L29" i="43"/>
  <c r="K15" i="43"/>
  <c r="M15" i="43"/>
  <c r="L15" i="43"/>
  <c r="I6" i="46"/>
  <c r="H6" i="46"/>
  <c r="AE20" i="31"/>
  <c r="I51" i="41" s="1"/>
  <c r="J51" i="41" s="1"/>
  <c r="L6" i="43"/>
  <c r="AL20" i="31"/>
  <c r="AL45" i="31" s="1"/>
  <c r="AM20" i="31"/>
  <c r="AM45" i="31" s="1"/>
  <c r="G21" i="31"/>
  <c r="F34" i="31"/>
  <c r="I35" i="41" s="1"/>
  <c r="K35" i="41" s="1"/>
  <c r="K112" i="38"/>
  <c r="M112" i="38"/>
  <c r="F35" i="31"/>
  <c r="F60" i="31" s="1"/>
  <c r="M27" i="43"/>
  <c r="G20" i="31"/>
  <c r="I37" i="41" s="1"/>
  <c r="F21" i="31"/>
  <c r="F46" i="31" s="1"/>
  <c r="N112" i="38"/>
  <c r="O25" i="31"/>
  <c r="L112" i="38"/>
  <c r="L27" i="43"/>
  <c r="M11" i="43"/>
  <c r="V21" i="31"/>
  <c r="I20" i="41" s="1"/>
  <c r="M20" i="41" s="1"/>
  <c r="L111" i="38"/>
  <c r="AD22" i="31"/>
  <c r="AD47" i="31" s="1"/>
  <c r="N25" i="31"/>
  <c r="I18" i="41" s="1"/>
  <c r="J18" i="41" s="1"/>
  <c r="AD27" i="31"/>
  <c r="I30" i="41" s="1"/>
  <c r="AD21" i="31"/>
  <c r="AE27" i="31"/>
  <c r="B6" i="46"/>
  <c r="G6" i="46"/>
  <c r="H5" i="46"/>
  <c r="B5" i="46"/>
  <c r="I5" i="46"/>
  <c r="G5" i="46"/>
  <c r="G12" i="46"/>
  <c r="H12" i="46"/>
  <c r="B12" i="46"/>
  <c r="H10" i="46"/>
  <c r="B10" i="46"/>
  <c r="G10" i="46"/>
  <c r="G8" i="46"/>
  <c r="H8" i="46"/>
  <c r="B8" i="46"/>
  <c r="B11" i="46"/>
  <c r="G11" i="46"/>
  <c r="H11" i="46"/>
  <c r="H9" i="46"/>
  <c r="B9" i="46"/>
  <c r="G9" i="46"/>
  <c r="G7" i="46"/>
  <c r="H7" i="46"/>
  <c r="B7" i="46"/>
  <c r="I14" i="46"/>
  <c r="H14" i="46"/>
  <c r="B14" i="46"/>
  <c r="G14" i="46"/>
  <c r="AD25" i="31"/>
  <c r="AE25" i="31"/>
  <c r="I56" i="41" s="1"/>
  <c r="G13" i="46"/>
  <c r="I13" i="46"/>
  <c r="H13" i="46"/>
  <c r="B13" i="46"/>
  <c r="AE24" i="31"/>
  <c r="AD26" i="31"/>
  <c r="AE26" i="31"/>
  <c r="AE51" i="31" s="1"/>
  <c r="AE22" i="31"/>
  <c r="AD20" i="31"/>
  <c r="AD45" i="31" s="1"/>
  <c r="I9" i="41"/>
  <c r="F45" i="31"/>
  <c r="I32" i="41"/>
  <c r="AL46" i="31"/>
  <c r="I63" i="41"/>
  <c r="G59" i="31"/>
  <c r="D83" i="31"/>
  <c r="T84" i="31" s="1"/>
  <c r="L52" i="41"/>
  <c r="I61" i="41"/>
  <c r="AE23" i="31"/>
  <c r="I54" i="41" s="1"/>
  <c r="O21" i="31"/>
  <c r="V22" i="31"/>
  <c r="I21" i="41" s="1"/>
  <c r="L26" i="43"/>
  <c r="M26" i="43"/>
  <c r="K26" i="43"/>
  <c r="M52" i="41"/>
  <c r="J52" i="41"/>
  <c r="K52" i="41"/>
  <c r="B37" i="41"/>
  <c r="P9" i="41"/>
  <c r="B9" i="41"/>
  <c r="K19" i="43"/>
  <c r="M19" i="43"/>
  <c r="L19" i="43"/>
  <c r="L23" i="43"/>
  <c r="K23" i="43"/>
  <c r="M23" i="43"/>
  <c r="G60" i="31"/>
  <c r="E83" i="31"/>
  <c r="T82" i="31" s="1"/>
  <c r="I64" i="41"/>
  <c r="AE46" i="31"/>
  <c r="N24" i="31"/>
  <c r="N20" i="31"/>
  <c r="N22" i="31"/>
  <c r="O20" i="31"/>
  <c r="O24" i="31"/>
  <c r="K8" i="43"/>
  <c r="M8" i="43"/>
  <c r="L8" i="43"/>
  <c r="M24" i="43"/>
  <c r="K24" i="43"/>
  <c r="F22" i="31"/>
  <c r="F23" i="31"/>
  <c r="G22" i="31"/>
  <c r="G23" i="31"/>
  <c r="W23" i="31"/>
  <c r="V23" i="31"/>
  <c r="W22" i="31"/>
  <c r="K13" i="43"/>
  <c r="M13" i="43"/>
  <c r="K21" i="43"/>
  <c r="M21" i="43"/>
  <c r="L21" i="43"/>
  <c r="L25" i="43"/>
  <c r="K25" i="43"/>
  <c r="K6" i="43"/>
  <c r="M5" i="46"/>
  <c r="L5" i="46"/>
  <c r="M17" i="43"/>
  <c r="L17" i="43"/>
  <c r="L10" i="43"/>
  <c r="M10" i="43"/>
  <c r="K10" i="43"/>
  <c r="L14" i="43"/>
  <c r="M14" i="43"/>
  <c r="K18" i="43"/>
  <c r="M18" i="43"/>
  <c r="L18" i="43"/>
  <c r="L22" i="43"/>
  <c r="M22" i="43"/>
  <c r="K22" i="43"/>
  <c r="K111" i="38"/>
  <c r="M111" i="38"/>
  <c r="I27" i="41" l="1"/>
  <c r="J27" i="41" s="1"/>
  <c r="I34" i="41"/>
  <c r="M34" i="41" s="1"/>
  <c r="J44" i="41"/>
  <c r="J60" i="41"/>
  <c r="AD48" i="31"/>
  <c r="M44" i="41"/>
  <c r="O48" i="31"/>
  <c r="I62" i="41"/>
  <c r="L62" i="41" s="1"/>
  <c r="AM46" i="31"/>
  <c r="L60" i="41"/>
  <c r="K60" i="41"/>
  <c r="K44" i="41"/>
  <c r="I43" i="41"/>
  <c r="K43" i="41" s="1"/>
  <c r="I48" i="41"/>
  <c r="M48" i="41" s="1"/>
  <c r="G45" i="31"/>
  <c r="I33" i="41"/>
  <c r="L33" i="41" s="1"/>
  <c r="J20" i="41"/>
  <c r="V45" i="31"/>
  <c r="V46" i="31"/>
  <c r="D84" i="31"/>
  <c r="T85" i="31" s="1"/>
  <c r="F59" i="31"/>
  <c r="K16" i="41"/>
  <c r="M16" i="41"/>
  <c r="K47" i="41"/>
  <c r="J47" i="41"/>
  <c r="L35" i="41"/>
  <c r="J35" i="41"/>
  <c r="M47" i="41"/>
  <c r="W45" i="31"/>
  <c r="K18" i="41"/>
  <c r="J16" i="41"/>
  <c r="N48" i="31"/>
  <c r="M35" i="41"/>
  <c r="AE50" i="31"/>
  <c r="I59" i="41"/>
  <c r="K59" i="41" s="1"/>
  <c r="K20" i="41"/>
  <c r="AE45" i="31"/>
  <c r="L20" i="41"/>
  <c r="L18" i="41"/>
  <c r="N46" i="31"/>
  <c r="AD52" i="31"/>
  <c r="I10" i="41"/>
  <c r="K10" i="41" s="1"/>
  <c r="M18" i="41"/>
  <c r="N50" i="31"/>
  <c r="O6" i="46"/>
  <c r="P6" i="46" s="1"/>
  <c r="O50" i="31"/>
  <c r="I46" i="41"/>
  <c r="I31" i="41"/>
  <c r="K31" i="41" s="1"/>
  <c r="E84" i="31"/>
  <c r="T83" i="31" s="1"/>
  <c r="I36" i="41"/>
  <c r="I25" i="41"/>
  <c r="I38" i="41"/>
  <c r="G46" i="31"/>
  <c r="J9" i="41"/>
  <c r="AE48" i="31"/>
  <c r="M51" i="41"/>
  <c r="I57" i="41"/>
  <c r="J57" i="41" s="1"/>
  <c r="M9" i="41"/>
  <c r="K30" i="41"/>
  <c r="L30" i="41"/>
  <c r="M30" i="41"/>
  <c r="O14" i="46"/>
  <c r="P14" i="46" s="1"/>
  <c r="J19" i="41"/>
  <c r="J30" i="41"/>
  <c r="V47" i="31"/>
  <c r="I23" i="41"/>
  <c r="J23" i="41" s="1"/>
  <c r="O5" i="46"/>
  <c r="AR12" i="31" s="1"/>
  <c r="AR14" i="31" s="1"/>
  <c r="M21" i="41"/>
  <c r="L21" i="41"/>
  <c r="AD50" i="31"/>
  <c r="I28" i="41"/>
  <c r="K21" i="41"/>
  <c r="I58" i="41"/>
  <c r="AE52" i="31"/>
  <c r="AD46" i="31"/>
  <c r="I24" i="41"/>
  <c r="J26" i="41"/>
  <c r="L26" i="41"/>
  <c r="K26" i="41"/>
  <c r="M26" i="41"/>
  <c r="K19" i="41"/>
  <c r="L51" i="41"/>
  <c r="I53" i="41"/>
  <c r="AE47" i="31"/>
  <c r="K51" i="41"/>
  <c r="I29" i="41"/>
  <c r="AD51" i="31"/>
  <c r="J21" i="41"/>
  <c r="AE49" i="31"/>
  <c r="I55" i="41"/>
  <c r="M19" i="41"/>
  <c r="O13" i="46"/>
  <c r="AR16" i="31" s="1"/>
  <c r="I42" i="41"/>
  <c r="O46" i="31"/>
  <c r="L61" i="41"/>
  <c r="M61" i="41"/>
  <c r="K61" i="41"/>
  <c r="J61" i="41"/>
  <c r="K63" i="41"/>
  <c r="L63" i="41"/>
  <c r="J63" i="41"/>
  <c r="M63" i="41"/>
  <c r="K9" i="41"/>
  <c r="L9" i="41"/>
  <c r="L32" i="41"/>
  <c r="J32" i="41"/>
  <c r="K32" i="41"/>
  <c r="M32" i="41"/>
  <c r="G48" i="31"/>
  <c r="I40" i="41"/>
  <c r="I41" i="41"/>
  <c r="O45" i="31"/>
  <c r="I13" i="41"/>
  <c r="N45" i="31"/>
  <c r="W47" i="31"/>
  <c r="I49" i="41"/>
  <c r="I39" i="41"/>
  <c r="G47" i="31"/>
  <c r="N49" i="31"/>
  <c r="I17" i="41"/>
  <c r="V48" i="31"/>
  <c r="I22" i="41"/>
  <c r="F48" i="31"/>
  <c r="I12" i="41"/>
  <c r="M64" i="41"/>
  <c r="L64" i="41"/>
  <c r="K64" i="41"/>
  <c r="J64" i="41"/>
  <c r="L54" i="41"/>
  <c r="M54" i="41"/>
  <c r="J54" i="41"/>
  <c r="K54" i="41"/>
  <c r="I50" i="41"/>
  <c r="W48" i="31"/>
  <c r="I11" i="41"/>
  <c r="F47" i="31"/>
  <c r="I45" i="41"/>
  <c r="O49" i="31"/>
  <c r="M37" i="41"/>
  <c r="L37" i="41"/>
  <c r="K37" i="41"/>
  <c r="J37" i="41"/>
  <c r="I15" i="41"/>
  <c r="N47" i="31"/>
  <c r="J14" i="41"/>
  <c r="K14" i="41"/>
  <c r="L14" i="41"/>
  <c r="M14" i="41"/>
  <c r="L56" i="41"/>
  <c r="J56" i="41"/>
  <c r="K56" i="41"/>
  <c r="M56" i="41"/>
  <c r="J62" i="41" l="1"/>
  <c r="L27" i="41"/>
  <c r="K27" i="41"/>
  <c r="M27" i="41"/>
  <c r="L34" i="41"/>
  <c r="K34" i="41"/>
  <c r="J34" i="41"/>
  <c r="M62" i="41"/>
  <c r="K62" i="41"/>
  <c r="L48" i="41"/>
  <c r="K48" i="41"/>
  <c r="J48" i="41"/>
  <c r="J43" i="41"/>
  <c r="L43" i="41"/>
  <c r="M43" i="41"/>
  <c r="M33" i="41"/>
  <c r="J33" i="41"/>
  <c r="K33" i="41"/>
  <c r="L23" i="41"/>
  <c r="L59" i="41"/>
  <c r="M23" i="41"/>
  <c r="K23" i="41"/>
  <c r="O12" i="46"/>
  <c r="J10" i="41"/>
  <c r="AS13" i="31"/>
  <c r="AT23" i="31" s="1"/>
  <c r="P8" i="46"/>
  <c r="Z10" i="41" s="1"/>
  <c r="P10" i="46"/>
  <c r="AA10" i="41" s="1"/>
  <c r="AR13" i="31"/>
  <c r="AR15" i="31" s="1"/>
  <c r="K36" i="41"/>
  <c r="L10" i="41"/>
  <c r="M10" i="41"/>
  <c r="J59" i="41"/>
  <c r="M59" i="41"/>
  <c r="P5" i="46"/>
  <c r="P11" i="46" s="1"/>
  <c r="AB9" i="41" s="1"/>
  <c r="K46" i="41"/>
  <c r="J46" i="41"/>
  <c r="L46" i="41"/>
  <c r="M46" i="41"/>
  <c r="L25" i="41"/>
  <c r="M36" i="41"/>
  <c r="K25" i="41"/>
  <c r="J36" i="41"/>
  <c r="AR17" i="31"/>
  <c r="M57" i="41"/>
  <c r="L36" i="41"/>
  <c r="J25" i="41"/>
  <c r="L31" i="41"/>
  <c r="M31" i="41"/>
  <c r="L57" i="41"/>
  <c r="K57" i="41"/>
  <c r="M25" i="41"/>
  <c r="J31" i="41"/>
  <c r="K38" i="41"/>
  <c r="L38" i="41"/>
  <c r="J38" i="41"/>
  <c r="M38" i="41"/>
  <c r="P12" i="46"/>
  <c r="AB10" i="41" s="1"/>
  <c r="Q6" i="46"/>
  <c r="Q12" i="46" s="1"/>
  <c r="AB12" i="41" s="1"/>
  <c r="R6" i="46"/>
  <c r="R12" i="46" s="1"/>
  <c r="AB14" i="41" s="1"/>
  <c r="Y10" i="41"/>
  <c r="O11" i="46"/>
  <c r="O7" i="46"/>
  <c r="O9" i="46"/>
  <c r="Q14" i="46"/>
  <c r="X12" i="41" s="1"/>
  <c r="X10" i="41"/>
  <c r="AS17" i="31"/>
  <c r="AV23" i="31" s="1"/>
  <c r="R14" i="46"/>
  <c r="AU17" i="31" s="1"/>
  <c r="AV33" i="31" s="1"/>
  <c r="AR54" i="31" s="1"/>
  <c r="O10" i="46"/>
  <c r="O8" i="46"/>
  <c r="M28" i="41"/>
  <c r="J28" i="41"/>
  <c r="K28" i="41"/>
  <c r="L28" i="41"/>
  <c r="J58" i="41"/>
  <c r="M58" i="41"/>
  <c r="K58" i="41"/>
  <c r="L58" i="41"/>
  <c r="K24" i="41"/>
  <c r="J24" i="41"/>
  <c r="M24" i="41"/>
  <c r="L24" i="41"/>
  <c r="M29" i="41"/>
  <c r="L29" i="41"/>
  <c r="K29" i="41"/>
  <c r="J29" i="41"/>
  <c r="M53" i="41"/>
  <c r="J53" i="41"/>
  <c r="L53" i="41"/>
  <c r="K53" i="41"/>
  <c r="P13" i="46"/>
  <c r="Q13" i="46" s="1"/>
  <c r="L55" i="41"/>
  <c r="K55" i="41"/>
  <c r="M55" i="41"/>
  <c r="J55" i="41"/>
  <c r="M42" i="41"/>
  <c r="J42" i="41"/>
  <c r="L42" i="41"/>
  <c r="K42" i="41"/>
  <c r="M11" i="41"/>
  <c r="K11" i="41"/>
  <c r="L11" i="41"/>
  <c r="J11" i="41"/>
  <c r="L39" i="41"/>
  <c r="K39" i="41"/>
  <c r="J39" i="41"/>
  <c r="M39" i="41"/>
  <c r="J40" i="41"/>
  <c r="M40" i="41"/>
  <c r="K40" i="41"/>
  <c r="L40" i="41"/>
  <c r="K15" i="41"/>
  <c r="M15" i="41"/>
  <c r="L15" i="41"/>
  <c r="J15" i="41"/>
  <c r="J22" i="41"/>
  <c r="M22" i="41"/>
  <c r="K22" i="41"/>
  <c r="L22" i="41"/>
  <c r="J49" i="41"/>
  <c r="L49" i="41"/>
  <c r="M49" i="41"/>
  <c r="K49" i="41"/>
  <c r="J13" i="41"/>
  <c r="K13" i="41"/>
  <c r="L13" i="41"/>
  <c r="M13" i="41"/>
  <c r="J45" i="41"/>
  <c r="L45" i="41"/>
  <c r="K45" i="41"/>
  <c r="M45" i="41"/>
  <c r="K50" i="41"/>
  <c r="J50" i="41"/>
  <c r="M50" i="41"/>
  <c r="L50" i="41"/>
  <c r="M12" i="41"/>
  <c r="L12" i="41"/>
  <c r="K12" i="41"/>
  <c r="J12" i="41"/>
  <c r="M17" i="41"/>
  <c r="L17" i="41"/>
  <c r="J17" i="41"/>
  <c r="K17" i="41"/>
  <c r="K41" i="41"/>
  <c r="L41" i="41"/>
  <c r="M41" i="41"/>
  <c r="J41" i="41"/>
  <c r="AS15" i="31" l="1"/>
  <c r="AU23" i="31" s="1"/>
  <c r="P9" i="46"/>
  <c r="AA9" i="41" s="1"/>
  <c r="Q5" i="46"/>
  <c r="Q11" i="46" s="1"/>
  <c r="AB11" i="41" s="1"/>
  <c r="AS12" i="31"/>
  <c r="AS14" i="31" s="1"/>
  <c r="AU22" i="31" s="1"/>
  <c r="R5" i="46"/>
  <c r="R9" i="46" s="1"/>
  <c r="AA13" i="41" s="1"/>
  <c r="Q42" i="41" s="1"/>
  <c r="Y9" i="41"/>
  <c r="P7" i="46"/>
  <c r="Z9" i="41" s="1"/>
  <c r="X9" i="41"/>
  <c r="X14" i="41"/>
  <c r="R39" i="41" s="1"/>
  <c r="AT17" i="31"/>
  <c r="AV28" i="31" s="1"/>
  <c r="AT13" i="31"/>
  <c r="AT15" i="31" s="1"/>
  <c r="AU28" i="31" s="1"/>
  <c r="Q10" i="46"/>
  <c r="AA12" i="41" s="1"/>
  <c r="Y12" i="41"/>
  <c r="Y14" i="41"/>
  <c r="R40" i="41" s="1"/>
  <c r="R10" i="46"/>
  <c r="AA14" i="41" s="1"/>
  <c r="R42" i="41" s="1"/>
  <c r="AU13" i="31"/>
  <c r="AT33" i="31" s="1"/>
  <c r="AR52" i="31" s="1"/>
  <c r="R8" i="46"/>
  <c r="Z14" i="41" s="1"/>
  <c r="R41" i="41" s="1"/>
  <c r="Q8" i="46"/>
  <c r="Z12" i="41" s="1"/>
  <c r="R43" i="41"/>
  <c r="R13" i="46"/>
  <c r="AU16" i="31" s="1"/>
  <c r="AV32" i="31" s="1"/>
  <c r="AQ54" i="31" s="1"/>
  <c r="AS16" i="31"/>
  <c r="AV22" i="31" s="1"/>
  <c r="AT16" i="31"/>
  <c r="AV27" i="31" s="1"/>
  <c r="X11" i="41"/>
  <c r="AT22" i="31" l="1"/>
  <c r="AT12" i="31"/>
  <c r="AT27" i="31" s="1"/>
  <c r="Y11" i="41"/>
  <c r="Q7" i="46"/>
  <c r="Z11" i="41" s="1"/>
  <c r="R7" i="46"/>
  <c r="Z13" i="41" s="1"/>
  <c r="Q41" i="41" s="1"/>
  <c r="AU12" i="31"/>
  <c r="AU14" i="31" s="1"/>
  <c r="AU32" i="31" s="1"/>
  <c r="AQ53" i="31" s="1"/>
  <c r="Q9" i="46"/>
  <c r="AA11" i="41" s="1"/>
  <c r="Y13" i="41"/>
  <c r="Q40" i="41" s="1"/>
  <c r="AT28" i="31"/>
  <c r="R11" i="46"/>
  <c r="AB13" i="41" s="1"/>
  <c r="Q43" i="41" s="1"/>
  <c r="AU15" i="31"/>
  <c r="AU33" i="31" s="1"/>
  <c r="AR53" i="31" s="1"/>
  <c r="X13" i="41"/>
  <c r="Q39" i="41" s="1"/>
  <c r="AT32" i="31" l="1"/>
  <c r="AQ52" i="31" s="1"/>
  <c r="AT14" i="31"/>
  <c r="AU27" i="31" s="1"/>
</calcChain>
</file>

<file path=xl/sharedStrings.xml><?xml version="1.0" encoding="utf-8"?>
<sst xmlns="http://schemas.openxmlformats.org/spreadsheetml/2006/main" count="1524" uniqueCount="418">
  <si>
    <t>Description of this workbook:</t>
  </si>
  <si>
    <t>The risk calculator workbook contains the following spreadsheets: Dashboard, RR, Exposure Results, Dermal Crosswalk, Dermal Exposure, Exposure Factors, Hazard Values, and List Values. The workbook is designed such that the user need only to use the first two spreadsheets which have tabs colored green and contain the results of the risk calculator i.e. the Dashboard and the RR. The remaining spreadsheets contain data storage and calculation spreadsheets.</t>
  </si>
  <si>
    <t>Worksheet</t>
  </si>
  <si>
    <t>Description</t>
  </si>
  <si>
    <t>Dashboard</t>
  </si>
  <si>
    <t>RR</t>
  </si>
  <si>
    <t>Exposure Results,
Dermal Crosswalk, 
Dermal Exposure, 
Exposure Factors, 
Hazard Values, and 
List Values</t>
  </si>
  <si>
    <t>As described above the remaining spreadsheets are data storage and calculation spreadsheets. These worksheets store the exposure estimates, health values and store some of the risk calculations. The user does not need to access these worksheets to use the Dashboard and RR spreadsheets as described above; all results are automatically loaded into the Dashboard and RR spreadsheets.</t>
  </si>
  <si>
    <t>Dermal</t>
  </si>
  <si>
    <t>Worker Type
(select)</t>
  </si>
  <si>
    <t>Glove Protection Factor (Select)</t>
  </si>
  <si>
    <t>Manufacturing</t>
  </si>
  <si>
    <t>Average Adult Worker</t>
  </si>
  <si>
    <t>8-hr TWA</t>
  </si>
  <si>
    <t>15-min TWA</t>
  </si>
  <si>
    <t>30-min TWA</t>
  </si>
  <si>
    <t>1-hr TWA</t>
  </si>
  <si>
    <t>4-hr TWA</t>
  </si>
  <si>
    <t>Using (10-min Tox values)</t>
  </si>
  <si>
    <t xml:space="preserve">Exposure Outputs </t>
  </si>
  <si>
    <t>Exposure Outputs</t>
  </si>
  <si>
    <t>Category</t>
  </si>
  <si>
    <t>Exposure Level</t>
  </si>
  <si>
    <t>Eight-Hour TWA Exposures</t>
  </si>
  <si>
    <t>Acute Exposures</t>
  </si>
  <si>
    <t>Chronic, Non-Cancer Exposures</t>
  </si>
  <si>
    <t>Chronic, Cancer Exposures</t>
  </si>
  <si>
    <t>15 min-TWA Exposures</t>
  </si>
  <si>
    <t>30-min TWA Exposures</t>
  </si>
  <si>
    <t>1-hr TWA Exposures</t>
  </si>
  <si>
    <t>4-hr TWA Exposures</t>
  </si>
  <si>
    <t>Acute Potential Dose Rate</t>
  </si>
  <si>
    <t>Acute Retained Dose</t>
  </si>
  <si>
    <t>Chronic Retained Dose, Non-Cancer</t>
  </si>
  <si>
    <t>Chronic Retained Dose, Cancer</t>
  </si>
  <si>
    <r>
      <t>C</t>
    </r>
    <r>
      <rPr>
        <b/>
        <vertAlign val="subscript"/>
        <sz val="10"/>
        <rFont val="Calibri"/>
        <family val="2"/>
        <scheme val="minor"/>
      </rPr>
      <t>DCM, 8-hr TWA</t>
    </r>
    <r>
      <rPr>
        <b/>
        <sz val="10"/>
        <rFont val="Calibri"/>
        <family val="2"/>
        <scheme val="minor"/>
      </rPr>
      <t xml:space="preserve"> (mg/m</t>
    </r>
    <r>
      <rPr>
        <b/>
        <vertAlign val="superscript"/>
        <sz val="10"/>
        <rFont val="Calibri"/>
        <family val="2"/>
        <scheme val="minor"/>
      </rPr>
      <t>3</t>
    </r>
    <r>
      <rPr>
        <b/>
        <sz val="10"/>
        <rFont val="Calibri"/>
        <family val="2"/>
        <scheme val="minor"/>
      </rPr>
      <t>)</t>
    </r>
  </si>
  <si>
    <r>
      <t>AC</t>
    </r>
    <r>
      <rPr>
        <b/>
        <vertAlign val="subscript"/>
        <sz val="10"/>
        <rFont val="Calibri"/>
        <family val="2"/>
        <scheme val="minor"/>
      </rPr>
      <t>DCM, 8-hr TWA</t>
    </r>
    <r>
      <rPr>
        <b/>
        <sz val="10"/>
        <rFont val="Calibri"/>
        <family val="2"/>
        <scheme val="minor"/>
      </rPr>
      <t xml:space="preserve"> (mg/m</t>
    </r>
    <r>
      <rPr>
        <b/>
        <vertAlign val="superscript"/>
        <sz val="10"/>
        <rFont val="Calibri"/>
        <family val="2"/>
        <scheme val="minor"/>
      </rPr>
      <t>3</t>
    </r>
    <r>
      <rPr>
        <b/>
        <sz val="10"/>
        <rFont val="Calibri"/>
        <family val="2"/>
        <scheme val="minor"/>
      </rPr>
      <t>)</t>
    </r>
  </si>
  <si>
    <r>
      <t>ADC</t>
    </r>
    <r>
      <rPr>
        <b/>
        <vertAlign val="subscript"/>
        <sz val="10"/>
        <rFont val="Calibri"/>
        <family val="2"/>
        <scheme val="minor"/>
      </rPr>
      <t>DCM, 24-hr TWA</t>
    </r>
    <r>
      <rPr>
        <b/>
        <sz val="10"/>
        <rFont val="Calibri"/>
        <family val="2"/>
        <scheme val="minor"/>
      </rPr>
      <t xml:space="preserve"> (mg/m</t>
    </r>
    <r>
      <rPr>
        <b/>
        <vertAlign val="superscript"/>
        <sz val="10"/>
        <rFont val="Calibri"/>
        <family val="2"/>
        <scheme val="minor"/>
      </rPr>
      <t>3</t>
    </r>
    <r>
      <rPr>
        <b/>
        <sz val="10"/>
        <rFont val="Calibri"/>
        <family val="2"/>
        <scheme val="minor"/>
      </rPr>
      <t>)</t>
    </r>
  </si>
  <si>
    <r>
      <t>LADC</t>
    </r>
    <r>
      <rPr>
        <b/>
        <vertAlign val="subscript"/>
        <sz val="10"/>
        <rFont val="Calibri"/>
        <family val="2"/>
        <scheme val="minor"/>
      </rPr>
      <t>DCM, 24-hr TWA</t>
    </r>
    <r>
      <rPr>
        <b/>
        <sz val="10"/>
        <rFont val="Calibri"/>
        <family val="2"/>
        <scheme val="minor"/>
      </rPr>
      <t xml:space="preserve"> (mg/m</t>
    </r>
    <r>
      <rPr>
        <b/>
        <vertAlign val="superscript"/>
        <sz val="10"/>
        <rFont val="Calibri"/>
        <family val="2"/>
        <scheme val="minor"/>
      </rPr>
      <t>3</t>
    </r>
    <r>
      <rPr>
        <b/>
        <sz val="10"/>
        <rFont val="Calibri"/>
        <family val="2"/>
        <scheme val="minor"/>
      </rPr>
      <t>)</t>
    </r>
  </si>
  <si>
    <r>
      <t>C</t>
    </r>
    <r>
      <rPr>
        <b/>
        <vertAlign val="subscript"/>
        <sz val="10"/>
        <rFont val="Calibri"/>
        <family val="2"/>
        <scheme val="minor"/>
      </rPr>
      <t>DCM, 15-min TWA</t>
    </r>
    <r>
      <rPr>
        <b/>
        <sz val="10"/>
        <rFont val="Calibri"/>
        <family val="2"/>
        <scheme val="minor"/>
      </rPr>
      <t xml:space="preserve"> (mg/m</t>
    </r>
    <r>
      <rPr>
        <b/>
        <vertAlign val="superscript"/>
        <sz val="10"/>
        <rFont val="Calibri"/>
        <family val="2"/>
        <scheme val="minor"/>
      </rPr>
      <t>3</t>
    </r>
    <r>
      <rPr>
        <b/>
        <sz val="10"/>
        <rFont val="Calibri"/>
        <family val="2"/>
        <scheme val="minor"/>
      </rPr>
      <t>)</t>
    </r>
  </si>
  <si>
    <r>
      <t>C</t>
    </r>
    <r>
      <rPr>
        <b/>
        <vertAlign val="subscript"/>
        <sz val="10"/>
        <rFont val="Calibri"/>
        <family val="2"/>
        <scheme val="minor"/>
      </rPr>
      <t>DCM, 30-minTWA</t>
    </r>
    <r>
      <rPr>
        <b/>
        <sz val="10"/>
        <rFont val="Calibri"/>
        <family val="2"/>
        <scheme val="minor"/>
      </rPr>
      <t xml:space="preserve"> (mg/m</t>
    </r>
    <r>
      <rPr>
        <b/>
        <vertAlign val="superscript"/>
        <sz val="10"/>
        <rFont val="Calibri"/>
        <family val="2"/>
        <scheme val="minor"/>
      </rPr>
      <t>3</t>
    </r>
    <r>
      <rPr>
        <b/>
        <sz val="10"/>
        <rFont val="Calibri"/>
        <family val="2"/>
        <scheme val="minor"/>
      </rPr>
      <t>)</t>
    </r>
  </si>
  <si>
    <r>
      <t>C</t>
    </r>
    <r>
      <rPr>
        <b/>
        <vertAlign val="subscript"/>
        <sz val="10"/>
        <rFont val="Calibri"/>
        <family val="2"/>
        <scheme val="minor"/>
      </rPr>
      <t>DCM, 1-hr TWA</t>
    </r>
    <r>
      <rPr>
        <b/>
        <sz val="10"/>
        <rFont val="Calibri"/>
        <family val="2"/>
        <scheme val="minor"/>
      </rPr>
      <t xml:space="preserve"> (mg/m</t>
    </r>
    <r>
      <rPr>
        <b/>
        <vertAlign val="superscript"/>
        <sz val="10"/>
        <rFont val="Calibri"/>
        <family val="2"/>
        <scheme val="minor"/>
      </rPr>
      <t>3</t>
    </r>
    <r>
      <rPr>
        <b/>
        <sz val="10"/>
        <rFont val="Calibri"/>
        <family val="2"/>
        <scheme val="minor"/>
      </rPr>
      <t>)</t>
    </r>
  </si>
  <si>
    <r>
      <t>C</t>
    </r>
    <r>
      <rPr>
        <b/>
        <vertAlign val="subscript"/>
        <sz val="10"/>
        <rFont val="Calibri"/>
        <family val="2"/>
        <scheme val="minor"/>
      </rPr>
      <t>DCM, 4-hr TWA</t>
    </r>
    <r>
      <rPr>
        <b/>
        <sz val="10"/>
        <rFont val="Calibri"/>
        <family val="2"/>
        <scheme val="minor"/>
      </rPr>
      <t xml:space="preserve"> (mg/m</t>
    </r>
    <r>
      <rPr>
        <b/>
        <vertAlign val="superscript"/>
        <sz val="10"/>
        <rFont val="Calibri"/>
        <family val="2"/>
        <scheme val="minor"/>
      </rPr>
      <t>3</t>
    </r>
    <r>
      <rPr>
        <b/>
        <sz val="10"/>
        <rFont val="Calibri"/>
        <family val="2"/>
        <scheme val="minor"/>
      </rPr>
      <t>)</t>
    </r>
  </si>
  <si>
    <r>
      <t>APDR</t>
    </r>
    <r>
      <rPr>
        <b/>
        <vertAlign val="subscript"/>
        <sz val="10"/>
        <color theme="1"/>
        <rFont val="Calibri"/>
        <family val="2"/>
        <scheme val="minor"/>
      </rPr>
      <t>exp</t>
    </r>
    <r>
      <rPr>
        <b/>
        <sz val="10"/>
        <color theme="1"/>
        <rFont val="Calibri"/>
        <family val="2"/>
        <scheme val="minor"/>
      </rPr>
      <t xml:space="preserve"> (mg/day)</t>
    </r>
  </si>
  <si>
    <r>
      <t>ARD</t>
    </r>
    <r>
      <rPr>
        <b/>
        <vertAlign val="subscript"/>
        <sz val="10"/>
        <rFont val="Calibri"/>
        <family val="2"/>
        <scheme val="minor"/>
      </rPr>
      <t>DCM</t>
    </r>
    <r>
      <rPr>
        <b/>
        <sz val="10"/>
        <rFont val="Calibri"/>
        <family val="2"/>
        <scheme val="minor"/>
      </rPr>
      <t xml:space="preserve"> (mg/kg-day)</t>
    </r>
  </si>
  <si>
    <r>
      <t>CRD</t>
    </r>
    <r>
      <rPr>
        <b/>
        <vertAlign val="subscript"/>
        <sz val="10"/>
        <rFont val="Calibri"/>
        <family val="2"/>
        <scheme val="minor"/>
      </rPr>
      <t>DCM</t>
    </r>
    <r>
      <rPr>
        <b/>
        <sz val="10"/>
        <rFont val="Calibri"/>
        <family val="2"/>
        <scheme val="minor"/>
      </rPr>
      <t xml:space="preserve"> (mg/kg-day)</t>
    </r>
  </si>
  <si>
    <r>
      <t>CRD</t>
    </r>
    <r>
      <rPr>
        <b/>
        <vertAlign val="subscript"/>
        <sz val="10"/>
        <rFont val="Calibri"/>
        <family val="2"/>
        <scheme val="minor"/>
      </rPr>
      <t>DCM</t>
    </r>
    <r>
      <rPr>
        <b/>
        <sz val="10"/>
        <rFont val="Calibri"/>
        <family val="2"/>
        <scheme val="minor"/>
      </rPr>
      <t>(mg/kg-day)</t>
    </r>
  </si>
  <si>
    <t>Worker</t>
  </si>
  <si>
    <t>High-End</t>
  </si>
  <si>
    <t>Worker, No Gloves</t>
  </si>
  <si>
    <t>ONU</t>
  </si>
  <si>
    <t>Central Tendency</t>
  </si>
  <si>
    <t>Worker, Occluded Exposure</t>
  </si>
  <si>
    <t>Risk Estimation for Acute, Non-Cancer Inhalation Exposures</t>
  </si>
  <si>
    <t>Risk Estimation for Short-Term Inhalation Exposures</t>
  </si>
  <si>
    <t>Health Effect, Endpoint and Study</t>
  </si>
  <si>
    <r>
      <t>Acute HEC (mg/m</t>
    </r>
    <r>
      <rPr>
        <b/>
        <vertAlign val="superscript"/>
        <sz val="10"/>
        <rFont val="Calibri"/>
        <family val="2"/>
        <scheme val="minor"/>
      </rPr>
      <t>3</t>
    </r>
    <r>
      <rPr>
        <b/>
        <sz val="10"/>
        <rFont val="Calibri"/>
        <family val="2"/>
        <scheme val="minor"/>
      </rPr>
      <t>)</t>
    </r>
  </si>
  <si>
    <t>Acute Exposure Estimates</t>
  </si>
  <si>
    <t>Benchmark MOE 
(= Total UF)</t>
  </si>
  <si>
    <t>Look-up Code</t>
  </si>
  <si>
    <t>Worker MOE</t>
  </si>
  <si>
    <t>ONU MOE</t>
  </si>
  <si>
    <t>Risk Estimates for Acute, Non-Cancer Dermal Exposures</t>
  </si>
  <si>
    <t>Tox10</t>
  </si>
  <si>
    <r>
      <t xml:space="preserve">8-hr
</t>
    </r>
    <r>
      <rPr>
        <sz val="10"/>
        <rFont val="Calibri"/>
        <family val="2"/>
        <scheme val="minor"/>
      </rPr>
      <t xml:space="preserve">CNS effects
Putz et al. 1979                       </t>
    </r>
  </si>
  <si>
    <t>Tox01</t>
  </si>
  <si>
    <r>
      <t xml:space="preserve">10 min-AEGL-1
</t>
    </r>
    <r>
      <rPr>
        <sz val="10"/>
        <rFont val="Calibri"/>
        <family val="2"/>
        <scheme val="minor"/>
      </rPr>
      <t>CNS effects (light headedness, difficulty in enunciation)
EPA Document# 740-R1-4003</t>
    </r>
  </si>
  <si>
    <t>Tox03</t>
  </si>
  <si>
    <r>
      <t xml:space="preserve">30 min-AEGL-1
</t>
    </r>
    <r>
      <rPr>
        <sz val="10"/>
        <rFont val="Calibri"/>
        <family val="2"/>
        <scheme val="minor"/>
      </rPr>
      <t>CNS effects (light headedness, difficulty in enunciation)
EPA Document# 740-R1-4003</t>
    </r>
  </si>
  <si>
    <t>Tox05</t>
  </si>
  <si>
    <r>
      <t xml:space="preserve">1 hr-SMAC POD                                                            </t>
    </r>
    <r>
      <rPr>
        <sz val="10"/>
        <rFont val="Calibri"/>
        <family val="2"/>
        <scheme val="minor"/>
      </rPr>
      <t>Central nervous system (CNS) depression related to the formation of 3% COHb in blood  
EPA Document# 740-R1-4003</t>
    </r>
  </si>
  <si>
    <t>Tox09</t>
  </si>
  <si>
    <r>
      <t xml:space="preserve">4 hr-AEGL-2                                                                            </t>
    </r>
    <r>
      <rPr>
        <sz val="10"/>
        <rFont val="Calibri"/>
        <family val="2"/>
        <scheme val="minor"/>
      </rPr>
      <t>COHb Formation                                                                          EPA Document# 740-R1-4003</t>
    </r>
  </si>
  <si>
    <t xml:space="preserve"> HED (mg/kg)</t>
  </si>
  <si>
    <t>Gloved Scenarios</t>
  </si>
  <si>
    <t>Worker MOE, No Gloves</t>
  </si>
  <si>
    <t>Worker MOE, Occluded Exposure</t>
  </si>
  <si>
    <t>Tox11</t>
  </si>
  <si>
    <r>
      <t xml:space="preserve">8 hr-AEGL-2                                                                         
</t>
    </r>
    <r>
      <rPr>
        <sz val="10"/>
        <rFont val="Calibri"/>
        <family val="2"/>
        <scheme val="minor"/>
      </rPr>
      <t>COHb Formation                                                                 
EPA Document# 740-R1-4003</t>
    </r>
  </si>
  <si>
    <t>Tox02</t>
  </si>
  <si>
    <r>
      <t xml:space="preserve">10 min-AEGL-2
</t>
    </r>
    <r>
      <rPr>
        <sz val="10"/>
        <rFont val="Calibri"/>
        <family val="2"/>
        <scheme val="minor"/>
      </rPr>
      <t>CNS effects 
EPA Document# 740-R1-4003</t>
    </r>
  </si>
  <si>
    <t>Tox04</t>
  </si>
  <si>
    <r>
      <t xml:space="preserve">30 min-AEGL-2
</t>
    </r>
    <r>
      <rPr>
        <sz val="10"/>
        <rFont val="Calibri"/>
        <family val="2"/>
        <scheme val="minor"/>
      </rPr>
      <t>CNS effects 
EPA Document# 740-R1-4003</t>
    </r>
  </si>
  <si>
    <t>Tox06</t>
  </si>
  <si>
    <r>
      <t xml:space="preserve">1-hr
</t>
    </r>
    <r>
      <rPr>
        <sz val="10"/>
        <rFont val="Calibri"/>
        <family val="2"/>
        <scheme val="minor"/>
      </rPr>
      <t xml:space="preserve">CNS effects
Putz et al. 1979    </t>
    </r>
  </si>
  <si>
    <t>Tox15</t>
  </si>
  <si>
    <t>POD
Impairment of the CNS</t>
  </si>
  <si>
    <t>Tox14</t>
  </si>
  <si>
    <r>
      <t xml:space="preserve">15-min
</t>
    </r>
    <r>
      <rPr>
        <sz val="10"/>
        <rFont val="Calibri"/>
        <family val="2"/>
        <scheme val="minor"/>
      </rPr>
      <t>CNS effects 
Putz et al. 1979</t>
    </r>
  </si>
  <si>
    <t>Tox07</t>
  </si>
  <si>
    <r>
      <t xml:space="preserve">1 hr-AEGL-1                                                                            </t>
    </r>
    <r>
      <rPr>
        <sz val="10"/>
        <rFont val="Calibri"/>
        <family val="2"/>
        <scheme val="minor"/>
      </rPr>
      <t>CNS effects (light headedness, difficulty in enunciation)                                                                          EPA Document# 740-R1-4003</t>
    </r>
  </si>
  <si>
    <t>Risk Estimation for Chronic, Non-Cancer Dermal Exposures</t>
  </si>
  <si>
    <t>Risk Estimation for Chronic, Non-Cancer Inhalation Exposures</t>
  </si>
  <si>
    <t>HED (mg/kg)</t>
  </si>
  <si>
    <t>Chronic Exposure Estimates</t>
  </si>
  <si>
    <t>Tox08</t>
  </si>
  <si>
    <r>
      <t xml:space="preserve">1 hr-AEGL-2                                                                            </t>
    </r>
    <r>
      <rPr>
        <sz val="10"/>
        <rFont val="Calibri"/>
        <family val="2"/>
        <scheme val="minor"/>
      </rPr>
      <t>COHb Formation                                                                          EPA Document# 740-R1-4003</t>
    </r>
  </si>
  <si>
    <t>Tox16</t>
  </si>
  <si>
    <t>1st percentile human equivalent dermal dose (HEDD) i.e. the HEDD99:
Liver effects</t>
  </si>
  <si>
    <t>Tox12</t>
  </si>
  <si>
    <r>
      <rPr>
        <b/>
        <sz val="10"/>
        <rFont val="Calibri"/>
        <family val="2"/>
        <scheme val="minor"/>
      </rPr>
      <t xml:space="preserve">Liver </t>
    </r>
    <r>
      <rPr>
        <sz val="10"/>
        <rFont val="Calibri"/>
        <family val="2"/>
        <scheme val="minor"/>
      </rPr>
      <t xml:space="preserve">
Liver effects
EPA Document# 740-R1-4003</t>
    </r>
  </si>
  <si>
    <t>Cancer Risks</t>
  </si>
  <si>
    <t>Chronic Cancer Exposure Estimates</t>
  </si>
  <si>
    <t>Risk Estimate</t>
  </si>
  <si>
    <r>
      <t>Dermal Slope Factor (mg/kg</t>
    </r>
    <r>
      <rPr>
        <b/>
        <vertAlign val="superscript"/>
        <sz val="10"/>
        <color theme="1"/>
        <rFont val="Calibri"/>
        <family val="2"/>
        <scheme val="minor"/>
      </rPr>
      <t>-1</t>
    </r>
    <r>
      <rPr>
        <b/>
        <sz val="10"/>
        <color theme="1"/>
        <rFont val="Calibri"/>
        <family val="2"/>
        <scheme val="minor"/>
      </rPr>
      <t>)</t>
    </r>
  </si>
  <si>
    <t>Benchmark</t>
  </si>
  <si>
    <t>No Gloves</t>
  </si>
  <si>
    <t>Occluded Exposure</t>
  </si>
  <si>
    <t>Tox17</t>
  </si>
  <si>
    <t>Dermal Slope Factor
Liver and lung tumors</t>
  </si>
  <si>
    <t>IUR (m3/mg)</t>
  </si>
  <si>
    <t xml:space="preserve">Worker </t>
  </si>
  <si>
    <t xml:space="preserve">ONU </t>
  </si>
  <si>
    <t>Tox13</t>
  </si>
  <si>
    <r>
      <t xml:space="preserve">Cancer Risk                                                                                     
</t>
    </r>
    <r>
      <rPr>
        <sz val="10"/>
        <color theme="1"/>
        <rFont val="Calibri"/>
        <family val="2"/>
        <scheme val="minor"/>
      </rPr>
      <t>Liver and lung tumors                                                      
EPA Document# 740-R1-4003</t>
    </r>
  </si>
  <si>
    <r>
      <t>10</t>
    </r>
    <r>
      <rPr>
        <b/>
        <vertAlign val="superscript"/>
        <sz val="10"/>
        <color theme="1"/>
        <rFont val="Calibri"/>
        <family val="2"/>
        <scheme val="minor"/>
      </rPr>
      <t>-4</t>
    </r>
  </si>
  <si>
    <t>Personal Protective Equipment (PPE): Respirators</t>
  </si>
  <si>
    <t>Assigned Protection Factor (APF)</t>
  </si>
  <si>
    <t xml:space="preserve">APF = </t>
  </si>
  <si>
    <r>
      <t xml:space="preserve">8 hr-California REL                                                      </t>
    </r>
    <r>
      <rPr>
        <sz val="10"/>
        <rFont val="Calibri"/>
        <family val="2"/>
        <scheme val="minor"/>
      </rPr>
      <t>Impairment of the CNS                                                   
EPA Document# 740-R1-4003</t>
    </r>
  </si>
  <si>
    <r>
      <t xml:space="preserve">1 hr-California REL                                                            </t>
    </r>
    <r>
      <rPr>
        <sz val="10"/>
        <rFont val="Calibri"/>
        <family val="2"/>
        <scheme val="minor"/>
      </rPr>
      <t>Impairment of the CNS                                                   EPA Document# 740-R1-4003</t>
    </r>
  </si>
  <si>
    <t>Dermal Cancer Risk Estimates</t>
  </si>
  <si>
    <t>ONU Central Tendency</t>
  </si>
  <si>
    <t>Occupational Non-user</t>
  </si>
  <si>
    <t>Worker Central Tendency</t>
  </si>
  <si>
    <t>ONU High-End</t>
  </si>
  <si>
    <t>8-hr TWA Exposure Estimates</t>
  </si>
  <si>
    <t>Worker High-End</t>
  </si>
  <si>
    <t>Baseline 
(Pre-EC)</t>
  </si>
  <si>
    <t>Personal Protective Equipment (PPE): Respirators 
Assigned Protection Factor (APF)</t>
  </si>
  <si>
    <t>Lookup</t>
  </si>
  <si>
    <t>Condition of Use 
(Select from Dashboard)</t>
  </si>
  <si>
    <t>Worker Type</t>
  </si>
  <si>
    <t>Risk Type</t>
  </si>
  <si>
    <t>Toxicity Endpoint</t>
  </si>
  <si>
    <t>Study</t>
  </si>
  <si>
    <t>mg/kg</t>
  </si>
  <si>
    <t>Benchmark MOE</t>
  </si>
  <si>
    <t>Occluded</t>
  </si>
  <si>
    <t>PF = 5</t>
  </si>
  <si>
    <t>PF = 10</t>
  </si>
  <si>
    <t>PF = 20</t>
  </si>
  <si>
    <t>Acute, Non-Cancer</t>
  </si>
  <si>
    <t xml:space="preserve">8-hr CNS effects
</t>
  </si>
  <si>
    <t>Putz et al. 1979</t>
  </si>
  <si>
    <t xml:space="preserve">8 hr-AEGL-2                                                                         
COHb Formation                                                                 
</t>
  </si>
  <si>
    <t>EPA Document# 740-R1-4003</t>
  </si>
  <si>
    <t>Chronic, Non-Cancer</t>
  </si>
  <si>
    <t>Liver 
Liver effects</t>
  </si>
  <si>
    <t>Short-Term (15-min TWA)</t>
  </si>
  <si>
    <t xml:space="preserve">10 min-AEGL-1
CNS effects (light headedness, difficulty in enunciation)
</t>
  </si>
  <si>
    <t>Chronic, Cancer</t>
  </si>
  <si>
    <t xml:space="preserve">Cancer Risk                                                                                     
Liver and lung tumors                                                      </t>
  </si>
  <si>
    <t xml:space="preserve">10 min-AEGL-2
CNS effects 
</t>
  </si>
  <si>
    <t>15 min-
CNS effects</t>
  </si>
  <si>
    <t>Short-Term (30-min TWA)</t>
  </si>
  <si>
    <t xml:space="preserve">30 min-AEGL-1
CNS effects (light headedness, difficulty in enunciation)
</t>
  </si>
  <si>
    <t xml:space="preserve">30 min-AEGL-2
CNS effects 
</t>
  </si>
  <si>
    <t>Short-Term (1-hr TWA)</t>
  </si>
  <si>
    <t>1 hr-SMAC POD                                                            Central nervous system (CNS) depression related to the formation of 3% COHb in blood  
EPA Document# 740-R1-4003</t>
  </si>
  <si>
    <t>1 hr-CNS effects</t>
  </si>
  <si>
    <t xml:space="preserve">1 hr-AEGL-1                                                                            CNS effects (light headedness, difficulty in enunciation)                                                                          </t>
  </si>
  <si>
    <t xml:space="preserve">1 hr-AEGL-2                                                                            COHb Formation                                                                         </t>
  </si>
  <si>
    <t>Short-Term (4-hr TWA)</t>
  </si>
  <si>
    <t xml:space="preserve">4 hr-AEGL-2                                                                            COHb Formation                                                                         </t>
  </si>
  <si>
    <t xml:space="preserve">Liver 
Liver effects
</t>
  </si>
  <si>
    <t>Cancer Risk</t>
  </si>
  <si>
    <t xml:space="preserve">Cancer Risk                                                                                     
Liver and lung tumors                                                      
</t>
  </si>
  <si>
    <t>Occupational Non-User (ONU)</t>
  </si>
  <si>
    <t xml:space="preserve">8 hr-California REL                                                      Impairment of the CNS                                                   
</t>
  </si>
  <si>
    <t>No Gloves (PF = 1)</t>
  </si>
  <si>
    <t>Protective Gloves (PF = 5)</t>
  </si>
  <si>
    <t>Protective Gloves 
(Commercial uses, PF = 10)</t>
  </si>
  <si>
    <t xml:space="preserve">10 min-AEGL-2
CNS effects </t>
  </si>
  <si>
    <t>Protective Gloves 
(Industrial uses, PF = 20)</t>
  </si>
  <si>
    <t xml:space="preserve">1 hr-California REL                                                            Impairment of the CNS                                                 </t>
  </si>
  <si>
    <t>PF</t>
  </si>
  <si>
    <t>Cancer</t>
  </si>
  <si>
    <t>Inhalation</t>
  </si>
  <si>
    <t>N/A</t>
  </si>
  <si>
    <t>Processing as a Reactant</t>
  </si>
  <si>
    <t>Processing - Incorporation into Formulation</t>
  </si>
  <si>
    <t>Repackaging</t>
  </si>
  <si>
    <t>Batch Open-Top Vapor Degreasing (Modeled)</t>
  </si>
  <si>
    <t>Conveyorized Vapor Degreasing (Modeled)</t>
  </si>
  <si>
    <t>Cold Cleaning</t>
  </si>
  <si>
    <t>Aerosol Degreasing/Lubricants (Modeled)</t>
  </si>
  <si>
    <t>Adhesives (Spray)</t>
  </si>
  <si>
    <t>Adhesives (Non-Spray)</t>
  </si>
  <si>
    <t>Paints and Coatings (Spray)</t>
  </si>
  <si>
    <t>Paints and Coatings (Unknown Application Method)</t>
  </si>
  <si>
    <t>DoD Paint removal</t>
  </si>
  <si>
    <t>Adhesive and Caulk Removers</t>
  </si>
  <si>
    <t>Fabric Finishing</t>
  </si>
  <si>
    <t>Spot Cleaning</t>
  </si>
  <si>
    <t>CTA Film Manufacturing</t>
  </si>
  <si>
    <t>Flexible PU Foam Manufacturing</t>
  </si>
  <si>
    <t>Laboratory Use</t>
  </si>
  <si>
    <t>Plastic Product Manufacturing</t>
  </si>
  <si>
    <t>Pharmaceutical</t>
  </si>
  <si>
    <t>Lithographic Printing Cleaner</t>
  </si>
  <si>
    <t>Non-Aerosol Industrial and Commercial Use (Cleaning Solvent)</t>
  </si>
  <si>
    <t>Waste Handling, Disposal, Treatment, and Recycling</t>
  </si>
  <si>
    <t>Look-up Name</t>
  </si>
  <si>
    <t>Bin</t>
  </si>
  <si>
    <t>Max Yderm</t>
  </si>
  <si>
    <t>Occlusion Considered?</t>
  </si>
  <si>
    <r>
      <t>Fraction Absorbed, f</t>
    </r>
    <r>
      <rPr>
        <b/>
        <vertAlign val="subscript"/>
        <sz val="11"/>
        <color theme="1"/>
        <rFont val="Calibri"/>
        <family val="2"/>
        <scheme val="minor"/>
      </rPr>
      <t>abs</t>
    </r>
  </si>
  <si>
    <t>Occluded Fraction Absorbed</t>
  </si>
  <si>
    <t>Highest Assumed Glove PF</t>
  </si>
  <si>
    <t>No</t>
  </si>
  <si>
    <t>Yes</t>
  </si>
  <si>
    <t>Paints and Coatings</t>
  </si>
  <si>
    <t>Dermal Calculation Numbers</t>
  </si>
  <si>
    <t>Calculated Doses</t>
  </si>
  <si>
    <t>Exposure Category</t>
  </si>
  <si>
    <r>
      <t>Max Y</t>
    </r>
    <r>
      <rPr>
        <b/>
        <vertAlign val="subscript"/>
        <sz val="11"/>
        <color rgb="FF000000"/>
        <rFont val="Calibri"/>
        <family val="2"/>
        <scheme val="minor"/>
      </rPr>
      <t>derm</t>
    </r>
  </si>
  <si>
    <r>
      <t>Calculated Fraction Absorbed, F</t>
    </r>
    <r>
      <rPr>
        <vertAlign val="subscript"/>
        <sz val="11"/>
        <color theme="1"/>
        <rFont val="Calibri"/>
        <family val="2"/>
        <scheme val="minor"/>
      </rPr>
      <t>abs</t>
    </r>
  </si>
  <si>
    <t>Exposure Frequency (EF)
(days/yr)</t>
  </si>
  <si>
    <t>Exposure Frequency (FT)
(event/day)</t>
  </si>
  <si>
    <r>
      <t>2-Hand Surface Area (cm</t>
    </r>
    <r>
      <rPr>
        <b/>
        <vertAlign val="superscript"/>
        <sz val="11"/>
        <color theme="1"/>
        <rFont val="Calibri"/>
        <family val="2"/>
        <scheme val="minor"/>
      </rPr>
      <t>2</t>
    </r>
    <r>
      <rPr>
        <b/>
        <sz val="11"/>
        <color theme="1"/>
        <rFont val="Calibri"/>
        <family val="2"/>
        <scheme val="minor"/>
      </rPr>
      <t>)</t>
    </r>
  </si>
  <si>
    <t>Body Weight (kg)</t>
  </si>
  <si>
    <r>
      <t>Quantity Remaining on Skin (Qu) 
(mg/cm</t>
    </r>
    <r>
      <rPr>
        <b/>
        <vertAlign val="superscript"/>
        <sz val="11"/>
        <color theme="1"/>
        <rFont val="Calibri"/>
        <family val="2"/>
        <scheme val="minor"/>
      </rPr>
      <t>2</t>
    </r>
    <r>
      <rPr>
        <b/>
        <sz val="11"/>
        <color theme="1"/>
        <rFont val="Calibri"/>
        <family val="2"/>
        <scheme val="minor"/>
      </rPr>
      <t>-event)</t>
    </r>
  </si>
  <si>
    <r>
      <t>APDR</t>
    </r>
    <r>
      <rPr>
        <b/>
        <vertAlign val="subscript"/>
        <sz val="11"/>
        <color theme="1"/>
        <rFont val="Calibri"/>
        <family val="2"/>
        <scheme val="minor"/>
      </rPr>
      <t>exp</t>
    </r>
    <r>
      <rPr>
        <b/>
        <sz val="11"/>
        <color theme="1"/>
        <rFont val="Calibri"/>
        <family val="2"/>
        <scheme val="minor"/>
      </rPr>
      <t xml:space="preserve"> (mg/day)</t>
    </r>
  </si>
  <si>
    <r>
      <t>ARD</t>
    </r>
    <r>
      <rPr>
        <b/>
        <vertAlign val="subscript"/>
        <sz val="11"/>
        <rFont val="Calibri"/>
        <family val="2"/>
        <scheme val="minor"/>
      </rPr>
      <t>DCM</t>
    </r>
    <r>
      <rPr>
        <b/>
        <sz val="11"/>
        <rFont val="Calibri"/>
        <family val="2"/>
        <scheme val="minor"/>
      </rPr>
      <t>(mg/kg-day)</t>
    </r>
  </si>
  <si>
    <r>
      <t>CRD</t>
    </r>
    <r>
      <rPr>
        <b/>
        <vertAlign val="subscript"/>
        <sz val="11"/>
        <rFont val="Calibri"/>
        <family val="2"/>
        <scheme val="minor"/>
      </rPr>
      <t>DCM</t>
    </r>
    <r>
      <rPr>
        <b/>
        <sz val="11"/>
        <rFont val="Calibri"/>
        <family val="2"/>
        <scheme val="minor"/>
      </rPr>
      <t xml:space="preserve"> (mg/kg-day)</t>
    </r>
  </si>
  <si>
    <t>Worker with Gloves; PF = 5</t>
  </si>
  <si>
    <t>Worker with Gloves; PF = 10</t>
  </si>
  <si>
    <t>Worker with Gloves; PF = 20</t>
  </si>
  <si>
    <t>Chemical Name</t>
  </si>
  <si>
    <t>user-defined value</t>
  </si>
  <si>
    <t>Methylene Chloride</t>
  </si>
  <si>
    <t>Dermal Exposure Dose (mg/day)</t>
  </si>
  <si>
    <t>Model Input</t>
  </si>
  <si>
    <t>Default Value</t>
  </si>
  <si>
    <t>Unit</t>
  </si>
  <si>
    <t>Condition of Use / Bin</t>
  </si>
  <si>
    <t>Use Setting 
(Industrial v. Commercial)</t>
  </si>
  <si>
    <r>
      <t>Maximum Weight Fraction, Y</t>
    </r>
    <r>
      <rPr>
        <b/>
        <vertAlign val="subscript"/>
        <sz val="10"/>
        <color theme="1"/>
        <rFont val="Calibri"/>
        <family val="2"/>
        <scheme val="minor"/>
      </rPr>
      <t>derm</t>
    </r>
  </si>
  <si>
    <r>
      <t xml:space="preserve">No Gloves 
</t>
    </r>
    <r>
      <rPr>
        <sz val="10"/>
        <color rgb="FF000000"/>
        <rFont val="Calibri"/>
        <family val="2"/>
        <scheme val="minor"/>
      </rPr>
      <t>(PF = 1)</t>
    </r>
  </si>
  <si>
    <r>
      <t xml:space="preserve">Protective Gloves 
</t>
    </r>
    <r>
      <rPr>
        <sz val="10"/>
        <color theme="1"/>
        <rFont val="Calibri"/>
        <family val="2"/>
        <scheme val="minor"/>
      </rPr>
      <t>(PF = 5)</t>
    </r>
  </si>
  <si>
    <r>
      <t xml:space="preserve">Protective Gloves, Commercial Users 
</t>
    </r>
    <r>
      <rPr>
        <sz val="10"/>
        <color theme="1"/>
        <rFont val="Calibri"/>
        <family val="2"/>
        <scheme val="minor"/>
      </rPr>
      <t>(PF = 10)</t>
    </r>
  </si>
  <si>
    <r>
      <t xml:space="preserve">Protective Gloves, Industrial Users 
</t>
    </r>
    <r>
      <rPr>
        <sz val="10"/>
        <color theme="1"/>
        <rFont val="Calibri"/>
        <family val="2"/>
        <scheme val="minor"/>
      </rPr>
      <t>(PF = 20)</t>
    </r>
  </si>
  <si>
    <t>Occluded Exposure (No Evaporation)</t>
  </si>
  <si>
    <r>
      <t>Calculated Fraction Absorbed, F</t>
    </r>
    <r>
      <rPr>
        <b/>
        <vertAlign val="subscript"/>
        <sz val="10"/>
        <color theme="1"/>
        <rFont val="Calibri"/>
        <family val="2"/>
        <scheme val="minor"/>
      </rPr>
      <t>abs</t>
    </r>
  </si>
  <si>
    <t>Molecular Weight</t>
  </si>
  <si>
    <t>g/mol</t>
  </si>
  <si>
    <t>Industrial</t>
  </si>
  <si>
    <t>Vapor Pressure</t>
  </si>
  <si>
    <t>torr</t>
  </si>
  <si>
    <t>Surface Area of 2-hands, S</t>
  </si>
  <si>
    <r>
      <t>cm</t>
    </r>
    <r>
      <rPr>
        <vertAlign val="superscript"/>
        <sz val="10"/>
        <color theme="1"/>
        <rFont val="Calibri"/>
        <family val="2"/>
        <scheme val="minor"/>
      </rPr>
      <t>2</t>
    </r>
  </si>
  <si>
    <r>
      <t>Quantity Remaining on Skin, Q</t>
    </r>
    <r>
      <rPr>
        <i/>
        <vertAlign val="subscript"/>
        <sz val="10"/>
        <color theme="1"/>
        <rFont val="Calibri"/>
        <family val="2"/>
        <scheme val="minor"/>
      </rPr>
      <t>u</t>
    </r>
    <r>
      <rPr>
        <i/>
        <sz val="10"/>
        <color theme="1"/>
        <rFont val="Calibri"/>
        <family val="2"/>
        <scheme val="minor"/>
      </rPr>
      <t xml:space="preserve"> </t>
    </r>
  </si>
  <si>
    <r>
      <t>mg/cm</t>
    </r>
    <r>
      <rPr>
        <vertAlign val="superscript"/>
        <sz val="10"/>
        <color theme="1"/>
        <rFont val="Calibri"/>
        <family val="2"/>
        <scheme val="minor"/>
      </rPr>
      <t>2</t>
    </r>
    <r>
      <rPr>
        <sz val="10"/>
        <color theme="1"/>
        <rFont val="Calibri"/>
        <family val="2"/>
        <scheme val="minor"/>
      </rPr>
      <t>-event</t>
    </r>
  </si>
  <si>
    <t>Frequency, FT</t>
  </si>
  <si>
    <t>event/day</t>
  </si>
  <si>
    <t>The types of adhesives identified in the Preliminary Information on Manufacturing, Processing, Distribution, Use and Disposal for Methylene Chloride (EPA-HQ-OPPT-2016-0742-0003) and Market Profile (XXX, 2017) also include upholstery contact adhesives, crosslinking adhesives, pressure sensitive adhesives, duct and duct liner sealants, gasket sealants, and cements, which contain between 30 and 100 weight percent methylene chloride. The 2014 Use of Adhesives ESD lists typical organic solvent (such as methylene chloride) content between 60 and 75 weight percent in adhesives.</t>
  </si>
  <si>
    <t>2016 CDR shows 30-59% (2 record); 60-89% (2 records), and &gt;=90% (1 record) for commercial and consumer use</t>
  </si>
  <si>
    <t>May be exposed to 100% DCM during use as solvent during equipment cleaning</t>
  </si>
  <si>
    <t>Commercial</t>
  </si>
  <si>
    <t>Market Profile lists commercial/industrial products containing up to 95% DCM</t>
  </si>
  <si>
    <t>Market Profile lists commercial adhesive removers up to 90%, and industrial up to 8%</t>
  </si>
  <si>
    <t>Market Profile lists commercial/industrial products containing up to 90% DCM</t>
  </si>
  <si>
    <t>Preliminary Information Doc lists commercial/industrial products containing up to 88.5% DCM</t>
  </si>
  <si>
    <t>Market Profile lists commercial/industrial products containing up to 100% DCM</t>
  </si>
  <si>
    <t xml:space="preserve">Market Profile lists commercial aerosol lubricants that may be up to 100% DCM </t>
  </si>
  <si>
    <t>Perchloroethylene</t>
  </si>
  <si>
    <t>HBCD</t>
  </si>
  <si>
    <t>Exposure Factors</t>
  </si>
  <si>
    <t>Woman of Childbearing Age</t>
  </si>
  <si>
    <t>Characterization of Value</t>
  </si>
  <si>
    <t>Body Weight, BW (kg)</t>
  </si>
  <si>
    <r>
      <t>2 Hand Surface Area (cm</t>
    </r>
    <r>
      <rPr>
        <b/>
        <vertAlign val="superscript"/>
        <sz val="11"/>
        <color theme="1"/>
        <rFont val="Calibri"/>
        <family val="2"/>
        <scheme val="minor"/>
      </rPr>
      <t>2</t>
    </r>
    <r>
      <rPr>
        <b/>
        <sz val="11"/>
        <color theme="1"/>
        <rFont val="Calibri"/>
        <family val="2"/>
        <scheme val="minor"/>
      </rPr>
      <t>)</t>
    </r>
  </si>
  <si>
    <t>Working Years - High-End (yr)</t>
  </si>
  <si>
    <t>Working Years - Central Tendency (yr)</t>
  </si>
  <si>
    <t>Lifetime</t>
  </si>
  <si>
    <t>Woman of Childbearing Age Exposure Factors:</t>
  </si>
  <si>
    <t>Body Weight:</t>
  </si>
  <si>
    <t>From the Exposure Factors Handbook Table 8-5: Mean and Percentile Body Weights (kg) for Females Derived from NHANES (1990-2006) (1)</t>
  </si>
  <si>
    <t>Age 16 to &lt;21 years: 65.9 kg (mean)</t>
  </si>
  <si>
    <t>Age 21 to &lt;30 years: 71.9 kg (mean)</t>
  </si>
  <si>
    <t>Age 30 to &lt;40 years: 74.8 kg (mean)</t>
  </si>
  <si>
    <t>Age 40 to &lt;50 years: 77.1 kg (mean)</t>
  </si>
  <si>
    <t>(1) U.S. Environmental Protection Agency (EPA). (2011) Exposure Factors Handbook: 2011 Edition. National Center for Environmental Assessment, Washington, DC; EPA/600/R-09/052F. Available from the National Technical Information Service, Springfield, VA, and online at http://www.epa.gov/ncea/efh.</t>
  </si>
  <si>
    <t>Look-up Values and Risk Parameter Values</t>
  </si>
  <si>
    <t>Acute and Chronic, Non-Cancer Parameters</t>
  </si>
  <si>
    <t>Cancer Parameters</t>
  </si>
  <si>
    <t>Code</t>
  </si>
  <si>
    <r>
      <t>HEC (mg/m</t>
    </r>
    <r>
      <rPr>
        <b/>
        <vertAlign val="superscript"/>
        <sz val="11"/>
        <color theme="1"/>
        <rFont val="Calibri"/>
        <family val="2"/>
        <scheme val="minor"/>
      </rPr>
      <t>3</t>
    </r>
    <r>
      <rPr>
        <b/>
        <sz val="11"/>
        <color theme="1"/>
        <rFont val="Calibri"/>
        <family val="2"/>
        <scheme val="minor"/>
      </rPr>
      <t>)</t>
    </r>
  </si>
  <si>
    <r>
      <t>IUR (m</t>
    </r>
    <r>
      <rPr>
        <b/>
        <vertAlign val="superscript"/>
        <sz val="11"/>
        <color theme="1"/>
        <rFont val="Calibri"/>
        <family val="2"/>
        <scheme val="minor"/>
      </rPr>
      <t>3</t>
    </r>
    <r>
      <rPr>
        <b/>
        <sz val="11"/>
        <color theme="1"/>
        <rFont val="Calibri"/>
        <family val="2"/>
        <scheme val="minor"/>
      </rPr>
      <t>/mg)</t>
    </r>
  </si>
  <si>
    <t>Acute</t>
  </si>
  <si>
    <t>AEGL-1</t>
  </si>
  <si>
    <t>10-min</t>
  </si>
  <si>
    <t>CNS effects (light headedness, difficulty in enunciation)</t>
  </si>
  <si>
    <t>--</t>
  </si>
  <si>
    <t>AEGL-2</t>
  </si>
  <si>
    <t>CNS effects</t>
  </si>
  <si>
    <t>30-min</t>
  </si>
  <si>
    <t>SMAC POD</t>
  </si>
  <si>
    <t>1-hr</t>
  </si>
  <si>
    <t>Central nervous system (CNS) depression related to the formation of 3% COHb in blood</t>
  </si>
  <si>
    <t>Impairment of CNS</t>
  </si>
  <si>
    <t>COHb Formation</t>
  </si>
  <si>
    <t>4-hr</t>
  </si>
  <si>
    <t>COHb formation</t>
  </si>
  <si>
    <t>8-hr</t>
  </si>
  <si>
    <t>Impairment of the CNS</t>
  </si>
  <si>
    <t>15-min</t>
  </si>
  <si>
    <t>Liver</t>
  </si>
  <si>
    <t>Liver effects</t>
  </si>
  <si>
    <t>Liver and lung tumors</t>
  </si>
  <si>
    <t>Look-up Table Values</t>
  </si>
  <si>
    <t>HEC</t>
  </si>
  <si>
    <t>Human Equivalent Concentration</t>
  </si>
  <si>
    <t>HEC Percentiles</t>
  </si>
  <si>
    <t>Exposure Percentiles</t>
  </si>
  <si>
    <t>Target Cancer Risk Level</t>
  </si>
  <si>
    <t>AEGL</t>
  </si>
  <si>
    <t>Acute Exposure Guidline Levels</t>
  </si>
  <si>
    <t>Maximum</t>
  </si>
  <si>
    <t>Discomfort/non-disabling threshold</t>
  </si>
  <si>
    <t>99th Percentile</t>
  </si>
  <si>
    <t>Disability threshold</t>
  </si>
  <si>
    <t>5th Percentile</t>
  </si>
  <si>
    <t>POD</t>
  </si>
  <si>
    <t>Point of departure</t>
  </si>
  <si>
    <t>Minimum</t>
  </si>
  <si>
    <t>Mean</t>
  </si>
  <si>
    <t>1st percentile human equivalent dermal dose (HEDD) i.e. the HEDD99:</t>
  </si>
  <si>
    <t>Dermal Slope Factor</t>
  </si>
  <si>
    <t>High End</t>
  </si>
  <si>
    <t>Assigned Glove Protection Factor</t>
  </si>
  <si>
    <t>General uses, PF = 5</t>
  </si>
  <si>
    <t>Commercial uses, PF = 10</t>
  </si>
  <si>
    <t>Industrial uses, PF = 20</t>
  </si>
  <si>
    <t>BMDL Percentile</t>
  </si>
  <si>
    <t>Assigned Respirator Protection Factor</t>
  </si>
  <si>
    <t>Summary of Exposure Levels based on Monitoring Data</t>
  </si>
  <si>
    <t>OES Group</t>
  </si>
  <si>
    <t>Exposure Scenario (if applicable)</t>
  </si>
  <si>
    <t>Exposure Frequency</t>
  </si>
  <si>
    <t>TWA Exposures</t>
  </si>
  <si>
    <t>Data Points</t>
  </si>
  <si>
    <t>Sources &amp; Notes</t>
  </si>
  <si>
    <t>Data Type</t>
  </si>
  <si>
    <r>
      <t>C</t>
    </r>
    <r>
      <rPr>
        <b/>
        <vertAlign val="subscript"/>
        <sz val="9"/>
        <rFont val="Calibri"/>
        <family val="2"/>
        <scheme val="minor"/>
      </rPr>
      <t>DCM, TWA</t>
    </r>
    <r>
      <rPr>
        <b/>
        <sz val="9"/>
        <rFont val="Calibri"/>
        <family val="2"/>
        <scheme val="minor"/>
      </rPr>
      <t xml:space="preserve"> (mg/m3)</t>
    </r>
  </si>
  <si>
    <r>
      <t>AC</t>
    </r>
    <r>
      <rPr>
        <b/>
        <vertAlign val="subscript"/>
        <sz val="9"/>
        <rFont val="Calibri"/>
        <family val="2"/>
        <scheme val="minor"/>
      </rPr>
      <t>DCM, 8-hr TWA</t>
    </r>
    <r>
      <rPr>
        <b/>
        <sz val="9"/>
        <rFont val="Calibri"/>
        <family val="2"/>
        <scheme val="minor"/>
      </rPr>
      <t xml:space="preserve"> (mg/m3)</t>
    </r>
  </si>
  <si>
    <r>
      <t>ADC</t>
    </r>
    <r>
      <rPr>
        <b/>
        <vertAlign val="subscript"/>
        <sz val="9"/>
        <rFont val="Calibri"/>
        <family val="2"/>
        <scheme val="minor"/>
      </rPr>
      <t>DCM, 24-hr TWA</t>
    </r>
    <r>
      <rPr>
        <b/>
        <sz val="9"/>
        <rFont val="Calibri"/>
        <family val="2"/>
        <scheme val="minor"/>
      </rPr>
      <t xml:space="preserve"> (mg/m3)</t>
    </r>
  </si>
  <si>
    <r>
      <t>LADC</t>
    </r>
    <r>
      <rPr>
        <b/>
        <vertAlign val="subscript"/>
        <sz val="9"/>
        <rFont val="Calibri"/>
        <family val="2"/>
        <scheme val="minor"/>
      </rPr>
      <t>DCM, 24-hr TWA</t>
    </r>
    <r>
      <rPr>
        <b/>
        <sz val="9"/>
        <rFont val="Calibri"/>
        <family val="2"/>
        <scheme val="minor"/>
      </rPr>
      <t xml:space="preserve"> (mg/m3)</t>
    </r>
  </si>
  <si>
    <t>Monitoring Data</t>
  </si>
  <si>
    <t>n/a</t>
  </si>
  <si>
    <t>Aerosol Degreasing Model</t>
  </si>
  <si>
    <t>Model</t>
  </si>
  <si>
    <t>OTVD Model</t>
  </si>
  <si>
    <t>CVD Model</t>
  </si>
  <si>
    <t>&gt;2</t>
  </si>
  <si>
    <t>&gt;4</t>
  </si>
  <si>
    <t>assumed professional contractors from 2014 RA</t>
  </si>
  <si>
    <t>NIOSH, 1973</t>
  </si>
  <si>
    <t>HSIA, 2018</t>
  </si>
  <si>
    <t>Ukai, 1998</t>
  </si>
  <si>
    <t xml:space="preserve">numbers to generate the vertical lines at risks of 10E-4 </t>
  </si>
  <si>
    <t>The RR spreadsheet is an expanded version of the Dashboard. Similar to the Dashboard the RR allows the user to select a OES. However, the user also selected to see results for a worker or ONU and instead of requiring a user to select a single exposure reduction option, the Heat Map displays all the PPE options. The RR spreadsheet has a column each for no PPE and each PPE option (i.e. APF or PF). The RR spreadsheet has a row for each toxicity endpoint, and each row shows the cancer risk or MOE values. Similar to the Dashboard, the RR spreadsheet shades results if the MOE or cancer risk exceeds the benchmark MOE or cancer benchmark.</t>
  </si>
  <si>
    <t>Occupational Exposure Scenario (OES)</t>
  </si>
  <si>
    <t>Select the OES</t>
  </si>
  <si>
    <t>OES
(Selected from Dashboard)</t>
  </si>
  <si>
    <t>OES</t>
  </si>
  <si>
    <t>The Dashboard is an interactive spreadsheet that allows a user to view exposure results for a selected Occupational Exposure Scenario (OES) and with a single PPE option of their choosing (i.e. respirator APF or Glove Protection Factor PF). The user can select the desired OES, PPE options and for dermal exposures the worker type (either an average adult or a woman of childbearing age) from a drop-down menu. The exposure estimates are shown in the “Exposure Outputs” section for both inhalation and dermal routes and for high-end and central tendency exposures. For inhalation exposures the columns show results for both worker and ONU exposures. The “Risk Estimation” sections are separated into acute, chronic non-cancer and cancer sections. For each section there is a brief description of the hazard endpoint and the hazard value i.e. HEC for non-cancer effects from inhalation exposure, HED for non-cancer effects from dermal exposure or a slope factor for cancer and the benchmark MOEs or benchmark values for cancer risk are provided to the right of the hazard value. The risk estimations show two columns of risk estimates: one column for exposures without PPE and one column for the results of the user-selected PPE option. These two columns allow the user to compare with and without PPE results side-by-side. The Dashboard automatically shades the cancer risk and MOE cells when they exceed the cancer benchmark or the benchmark MOE value.</t>
  </si>
  <si>
    <t>12-hr TWA</t>
  </si>
  <si>
    <t xml:space="preserve">Waste Handling, Disposal, Treatment, and Recycling </t>
  </si>
  <si>
    <t>Aerosol Degreasing/Lubricants (Monitoring)</t>
  </si>
  <si>
    <t>Adhesives (Unknown Application Method)</t>
  </si>
  <si>
    <t>Adhesives</t>
  </si>
  <si>
    <t>Conveyorized Vapor Degreasing</t>
  </si>
  <si>
    <t>Batch Open-Top Vapor Degreasing</t>
  </si>
  <si>
    <t>Processing - Incorporation into Formulation, Mixture, or Reaction Product</t>
  </si>
  <si>
    <t>Commercial Aerosol Products (Aerosol Degreasing, Aerosol Lubricants, Automotive Care Products) (Modeled)</t>
  </si>
  <si>
    <t>Commercial Aerosol Products (Aerosol Degreasing, Aerosol Lubricants, Automotive Care Products) (Monitoring)</t>
  </si>
  <si>
    <t>Adhesives and Sealants (Spray)</t>
  </si>
  <si>
    <t>Adhesives and Sealants (Non-Spray)</t>
  </si>
  <si>
    <t>Adhesives and Sealants (Unknown Application Method)</t>
  </si>
  <si>
    <t>Cellulose Triacetate Film Production</t>
  </si>
  <si>
    <t>Flexible Polyurethane Foam Manufacturing</t>
  </si>
  <si>
    <t>Lithographic Printing Plate Cleaning</t>
  </si>
  <si>
    <t>Miscellaneous Non-Aerosol Industrial and Commercial Uses</t>
  </si>
  <si>
    <t>Adhesives and Sealants</t>
  </si>
  <si>
    <t>Commercial Aerosol Products (Aerosol Degreasing, Aerosol Lubricants, Automotive Care Products)</t>
  </si>
  <si>
    <t>HSIA, 2018; Finkel, 2017</t>
  </si>
  <si>
    <t>Unocal Corporation, 1986</t>
  </si>
  <si>
    <t>TNO (CIVO), 1999</t>
  </si>
  <si>
    <t>Finkel, 2017</t>
  </si>
  <si>
    <t>U.S. EPA, 1985; Finkel, 2017</t>
  </si>
  <si>
    <t>U.S. EPA, 1985</t>
  </si>
  <si>
    <t>NIOSH, 1985; U.S. EPA, 1985; OSHA, 2019</t>
  </si>
  <si>
    <t>TNO (CIVO), 1999, IPCS, 1996, U.S. EPA, 1985</t>
  </si>
  <si>
    <t>U.S. EPA, 1985; OSHA, 2019</t>
  </si>
  <si>
    <t>DOEHRS-IH, 2018; Finkel, 2017</t>
  </si>
  <si>
    <t>U.S. EPA, 2014</t>
  </si>
  <si>
    <t>Finkel, 2017; TNO (CIVO), 1999; OSHA, 2019</t>
  </si>
  <si>
    <t>OSHA, 2019</t>
  </si>
  <si>
    <t>Dell, 1999; TNO (CIVO), 1999; Ott, 1983</t>
  </si>
  <si>
    <t>McCammon, 1990; Texaco Inc, 1993; DOEHRS-IH, 2018; OSHA, 2019; Finkel, 2017</t>
  </si>
  <si>
    <t>OSHA, 2019; HSIA, 2018; Fairfax, 2006; IPCS, 1996; GE, 1989; Finkel, 2017</t>
  </si>
  <si>
    <t>DOEHRS-IH, 2018; U.S. EPA, 1985; Finkel, 2017</t>
  </si>
  <si>
    <t>TNO (CIVO), 1999; Olin Corp, 1979</t>
  </si>
  <si>
    <t>NIOSH, 1985</t>
  </si>
  <si>
    <t>DOEHRS-IH, 2018; OSHA, 2019</t>
  </si>
  <si>
    <t>NIOSH 1990; DOEHRS-IH, 2018</t>
  </si>
  <si>
    <t>OSHA, 2019; HSIA, 2018</t>
  </si>
  <si>
    <t>DOEHRS-IH, 2018</t>
  </si>
  <si>
    <t>Ukai, 1998; U.S. EPA, 1985; NIOSH, 1980; Finkel, 2017</t>
  </si>
  <si>
    <t>IARC, 2016; TNO (CIVO), 1999; IPCS, 1996; Vulcan Chemicals, 1991; NIOSH, 1990; Cone Mills Corp, 1981a; Cone Mills Corp, 1981b; U.S. EPA, 1985; Olin Chemicals, 1977; OSHA, 2019</t>
  </si>
  <si>
    <t>Final Risk Evaluation for</t>
  </si>
  <si>
    <t xml:space="preserve">Methylene Chloride </t>
  </si>
  <si>
    <t>Supplemental File:</t>
  </si>
  <si>
    <t>Supplemental Information Risk Calculator for Occupational Exposures</t>
  </si>
  <si>
    <t>CASRN: 75-09-2</t>
  </si>
  <si>
    <t>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</si>
</sst>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E+00"/>
    <numFmt numFmtId="167" formatCode="0.0000"/>
    <numFmt numFmtId="168" formatCode="0.0%"/>
  </numFmts>
  <fonts count="4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i/>
      <sz val="11"/>
      <color theme="1"/>
      <name val="Calibri"/>
      <family val="2"/>
      <scheme val="minor"/>
    </font>
    <font>
      <b/>
      <sz val="11"/>
      <color theme="0"/>
      <name val="Calibri"/>
      <family val="2"/>
      <scheme val="minor"/>
    </font>
    <font>
      <b/>
      <vertAlign val="superscript"/>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vertAlign val="subscript"/>
      <sz val="10"/>
      <name val="Calibri"/>
      <family val="2"/>
      <scheme val="minor"/>
    </font>
    <font>
      <b/>
      <sz val="11"/>
      <color rgb="FFFF0000"/>
      <name val="Calibri"/>
      <family val="2"/>
      <scheme val="minor"/>
    </font>
    <font>
      <b/>
      <sz val="16"/>
      <name val="Calibri"/>
      <family val="2"/>
      <scheme val="minor"/>
    </font>
    <font>
      <sz val="10"/>
      <name val="Calibri"/>
      <family val="2"/>
      <scheme val="minor"/>
    </font>
    <font>
      <b/>
      <i/>
      <sz val="16"/>
      <color rgb="FFC00000"/>
      <name val="Calibri"/>
      <family val="2"/>
      <scheme val="minor"/>
    </font>
    <font>
      <b/>
      <vertAlign val="superscript"/>
      <sz val="10"/>
      <color theme="1"/>
      <name val="Calibri"/>
      <family val="2"/>
      <scheme val="minor"/>
    </font>
    <font>
      <sz val="11"/>
      <color theme="0" tint="-4.9989318521683403E-2"/>
      <name val="Calibri"/>
      <family val="2"/>
      <scheme val="minor"/>
    </font>
    <font>
      <b/>
      <vertAlign val="superscript"/>
      <sz val="10"/>
      <name val="Calibri"/>
      <family val="2"/>
      <scheme val="minor"/>
    </font>
    <font>
      <b/>
      <sz val="9"/>
      <name val="Calibri"/>
      <family val="2"/>
      <scheme val="minor"/>
    </font>
    <font>
      <b/>
      <vertAlign val="subscript"/>
      <sz val="9"/>
      <name val="Calibri"/>
      <family val="2"/>
      <scheme val="minor"/>
    </font>
    <font>
      <sz val="11"/>
      <color rgb="FF3F3F76"/>
      <name val="Calibri"/>
      <family val="2"/>
      <scheme val="minor"/>
    </font>
    <font>
      <b/>
      <i/>
      <sz val="10"/>
      <color theme="1"/>
      <name val="Calibri"/>
      <family val="2"/>
      <scheme val="minor"/>
    </font>
    <font>
      <sz val="10"/>
      <color theme="0" tint="-0.14999847407452621"/>
      <name val="Calibri"/>
      <family val="2"/>
      <scheme val="minor"/>
    </font>
    <font>
      <sz val="11"/>
      <color theme="1"/>
      <name val="Calibri"/>
      <family val="2"/>
      <scheme val="minor"/>
    </font>
    <font>
      <b/>
      <u/>
      <sz val="10"/>
      <color theme="1"/>
      <name val="Calibri"/>
      <family val="2"/>
      <scheme val="minor"/>
    </font>
    <font>
      <b/>
      <vertAlign val="subscript"/>
      <sz val="10"/>
      <color theme="1"/>
      <name val="Calibri"/>
      <family val="2"/>
      <scheme val="minor"/>
    </font>
    <font>
      <b/>
      <sz val="10"/>
      <color rgb="FF000000"/>
      <name val="Calibri"/>
      <family val="2"/>
      <scheme val="minor"/>
    </font>
    <font>
      <sz val="10"/>
      <color rgb="FF000000"/>
      <name val="Calibri"/>
      <family val="2"/>
      <scheme val="minor"/>
    </font>
    <font>
      <i/>
      <sz val="10"/>
      <color theme="1"/>
      <name val="Calibri"/>
      <family val="2"/>
      <scheme val="minor"/>
    </font>
    <font>
      <vertAlign val="superscript"/>
      <sz val="10"/>
      <color theme="1"/>
      <name val="Calibri"/>
      <family val="2"/>
      <scheme val="minor"/>
    </font>
    <font>
      <i/>
      <vertAlign val="subscript"/>
      <sz val="10"/>
      <color theme="1"/>
      <name val="Calibri"/>
      <family val="2"/>
      <scheme val="minor"/>
    </font>
    <font>
      <b/>
      <sz val="12"/>
      <color theme="1"/>
      <name val="Times New Roman"/>
      <family val="1"/>
    </font>
    <font>
      <b/>
      <sz val="11"/>
      <color rgb="FF000000"/>
      <name val="Calibri"/>
      <family val="2"/>
      <scheme val="minor"/>
    </font>
    <font>
      <b/>
      <vertAlign val="subscript"/>
      <sz val="11"/>
      <color theme="1"/>
      <name val="Calibri"/>
      <family val="2"/>
      <scheme val="minor"/>
    </font>
    <font>
      <b/>
      <vertAlign val="subscript"/>
      <sz val="11"/>
      <color rgb="FF000000"/>
      <name val="Calibri"/>
      <family val="2"/>
      <scheme val="minor"/>
    </font>
    <font>
      <vertAlign val="subscript"/>
      <sz val="11"/>
      <color theme="1"/>
      <name val="Calibri"/>
      <family val="2"/>
      <scheme val="minor"/>
    </font>
    <font>
      <b/>
      <vertAlign val="subscript"/>
      <sz val="11"/>
      <name val="Calibri"/>
      <family val="2"/>
      <scheme val="minor"/>
    </font>
    <font>
      <i/>
      <sz val="11"/>
      <color theme="1"/>
      <name val="Calibri"/>
      <family val="2"/>
      <scheme val="minor"/>
    </font>
    <font>
      <b/>
      <i/>
      <sz val="14"/>
      <name val="Calibri"/>
      <family val="2"/>
      <scheme val="minor"/>
    </font>
    <font>
      <b/>
      <i/>
      <sz val="16"/>
      <name val="Calibri"/>
      <family val="2"/>
      <scheme val="minor"/>
    </font>
    <font>
      <sz val="10"/>
      <name val="Arial"/>
      <family val="2"/>
    </font>
    <font>
      <b/>
      <sz val="12"/>
      <name val="Calibri"/>
      <family val="2"/>
    </font>
    <font>
      <sz val="11"/>
      <color rgb="FF000000"/>
      <name val="Calibri"/>
      <family val="2"/>
    </font>
    <font>
      <b/>
      <sz val="16"/>
      <color theme="1"/>
      <name val="Times New Roman"/>
      <family val="1"/>
    </font>
    <font>
      <b/>
      <i/>
      <sz val="14"/>
      <color theme="1"/>
      <name val="Times New Roman"/>
      <family val="1"/>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3999450666829432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99"/>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D9D9D9"/>
        <bgColor indexed="64"/>
      </patternFill>
    </fill>
    <fill>
      <patternFill patternType="solid">
        <fgColor theme="0" tint="-4.9989318521683403E-2"/>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medium">
        <color auto="1"/>
      </top>
      <bottom style="thin">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indexed="64"/>
      </top>
      <bottom/>
      <diagonal/>
    </border>
    <border>
      <left style="thin">
        <color auto="1"/>
      </left>
      <right/>
      <top style="dashed">
        <color auto="1"/>
      </top>
      <bottom style="dashed">
        <color indexed="64"/>
      </bottom>
      <diagonal/>
    </border>
    <border>
      <left/>
      <right style="thin">
        <color auto="1"/>
      </right>
      <top style="dashed">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auto="1"/>
      </top>
      <bottom style="medium">
        <color auto="1"/>
      </bottom>
      <diagonal/>
    </border>
    <border>
      <left style="thin">
        <color auto="1"/>
      </left>
      <right style="thin">
        <color auto="1"/>
      </right>
      <top/>
      <bottom/>
      <diagonal/>
    </border>
    <border>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auto="1"/>
      </left>
      <right/>
      <top/>
      <bottom/>
      <diagonal/>
    </border>
    <border>
      <left style="hair">
        <color auto="1"/>
      </left>
      <right style="hair">
        <color auto="1"/>
      </right>
      <top style="medium">
        <color indexed="64"/>
      </top>
      <bottom style="hair">
        <color auto="1"/>
      </bottom>
      <diagonal/>
    </border>
    <border>
      <left style="hair">
        <color auto="1"/>
      </left>
      <right style="hair">
        <color indexed="64"/>
      </right>
      <top style="medium">
        <color indexed="64"/>
      </top>
      <bottom/>
      <diagonal/>
    </border>
    <border>
      <left style="hair">
        <color auto="1"/>
      </left>
      <right style="medium">
        <color indexed="64"/>
      </right>
      <top style="medium">
        <color indexed="64"/>
      </top>
      <bottom style="hair">
        <color auto="1"/>
      </bottom>
      <diagonal/>
    </border>
    <border>
      <left style="medium">
        <color auto="1"/>
      </left>
      <right style="hair">
        <color auto="1"/>
      </right>
      <top style="medium">
        <color indexed="64"/>
      </top>
      <bottom style="hair">
        <color auto="1"/>
      </bottom>
      <diagonal/>
    </border>
    <border>
      <left style="hair">
        <color indexed="64"/>
      </left>
      <right style="hair">
        <color indexed="64"/>
      </right>
      <top style="hair">
        <color indexed="64"/>
      </top>
      <bottom style="hair">
        <color indexed="64"/>
      </bottom>
      <diagonal/>
    </border>
    <border>
      <left style="hair">
        <color auto="1"/>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hair">
        <color auto="1"/>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hair">
        <color auto="1"/>
      </right>
      <top style="hair">
        <color auto="1"/>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hair">
        <color auto="1"/>
      </left>
      <right/>
      <top style="medium">
        <color indexed="64"/>
      </top>
      <bottom style="hair">
        <color auto="1"/>
      </bottom>
      <diagonal/>
    </border>
    <border>
      <left style="hair">
        <color indexed="64"/>
      </left>
      <right/>
      <top style="hair">
        <color indexed="64"/>
      </top>
      <bottom style="hair">
        <color indexed="64"/>
      </bottom>
      <diagonal/>
    </border>
    <border>
      <left style="hair">
        <color auto="1"/>
      </left>
      <right style="medium">
        <color indexed="64"/>
      </right>
      <top/>
      <bottom style="hair">
        <color auto="1"/>
      </bottom>
      <diagonal/>
    </border>
    <border>
      <left style="hair">
        <color auto="1"/>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style="medium">
        <color indexed="64"/>
      </right>
      <top style="double">
        <color indexed="64"/>
      </top>
      <bottom style="thin">
        <color indexed="64"/>
      </bottom>
      <diagonal/>
    </border>
    <border>
      <left style="hair">
        <color indexed="64"/>
      </left>
      <right/>
      <top style="hair">
        <color indexed="64"/>
      </top>
      <bottom/>
      <diagonal/>
    </border>
    <border>
      <left style="medium">
        <color indexed="64"/>
      </left>
      <right/>
      <top style="thin">
        <color auto="1"/>
      </top>
      <bottom/>
      <diagonal/>
    </border>
    <border>
      <left style="medium">
        <color indexed="64"/>
      </left>
      <right/>
      <top/>
      <bottom style="thin">
        <color auto="1"/>
      </bottom>
      <diagonal/>
    </border>
    <border>
      <left style="medium">
        <color auto="1"/>
      </left>
      <right/>
      <top style="dashed">
        <color auto="1"/>
      </top>
      <bottom/>
      <diagonal/>
    </border>
    <border>
      <left/>
      <right style="medium">
        <color indexed="64"/>
      </right>
      <top style="dashed">
        <color auto="1"/>
      </top>
      <bottom/>
      <diagonal/>
    </border>
    <border>
      <left style="medium">
        <color auto="1"/>
      </left>
      <right/>
      <top/>
      <bottom style="dashed">
        <color auto="1"/>
      </bottom>
      <diagonal/>
    </border>
    <border>
      <left/>
      <right style="medium">
        <color indexed="64"/>
      </right>
      <top/>
      <bottom style="dashed">
        <color auto="1"/>
      </bottom>
      <diagonal/>
    </border>
  </borders>
  <cellStyleXfs count="61">
    <xf numFmtId="0" fontId="0" fillId="0" borderId="0"/>
    <xf numFmtId="0" fontId="22" fillId="7" borderId="54" applyNumberFormat="0" applyAlignment="0" applyProtection="0"/>
    <xf numFmtId="9" fontId="2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4" fillId="0" borderId="0"/>
    <xf numFmtId="0" fontId="44" fillId="0" borderId="0"/>
  </cellStyleXfs>
  <cellXfs count="638">
    <xf numFmtId="0" fontId="0" fillId="0" borderId="0" xfId="0"/>
    <xf numFmtId="0" fontId="4" fillId="3" borderId="0" xfId="0" applyFont="1" applyFill="1"/>
    <xf numFmtId="0" fontId="0" fillId="3" borderId="0" xfId="0" applyFill="1"/>
    <xf numFmtId="0" fontId="0" fillId="3" borderId="2" xfId="0" applyFill="1" applyBorder="1"/>
    <xf numFmtId="0" fontId="0" fillId="3" borderId="3" xfId="0" applyFill="1" applyBorder="1"/>
    <xf numFmtId="0" fontId="1" fillId="3" borderId="3" xfId="0" applyFont="1" applyFill="1" applyBorder="1"/>
    <xf numFmtId="0" fontId="1" fillId="3" borderId="4" xfId="0" applyFont="1" applyFill="1" applyBorder="1" applyAlignment="1">
      <alignment horizontal="center" wrapText="1"/>
    </xf>
    <xf numFmtId="0" fontId="0" fillId="3" borderId="5" xfId="0" applyFill="1" applyBorder="1"/>
    <xf numFmtId="0" fontId="0" fillId="3" borderId="7" xfId="0" applyFill="1" applyBorder="1"/>
    <xf numFmtId="0" fontId="0" fillId="3" borderId="6" xfId="0" applyFill="1" applyBorder="1"/>
    <xf numFmtId="0" fontId="0" fillId="3" borderId="8" xfId="0" applyFill="1" applyBorder="1"/>
    <xf numFmtId="0" fontId="0" fillId="3" borderId="9" xfId="0" applyFill="1" applyBorder="1"/>
    <xf numFmtId="0" fontId="1" fillId="3" borderId="14" xfId="0" applyFont="1" applyFill="1" applyBorder="1" applyAlignment="1">
      <alignment horizontal="center" wrapText="1"/>
    </xf>
    <xf numFmtId="0" fontId="6" fillId="3" borderId="0" xfId="0" applyFont="1" applyFill="1" applyAlignment="1">
      <alignment vertic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0" fillId="3" borderId="10" xfId="0" applyFill="1" applyBorder="1" applyAlignment="1">
      <alignment vertical="center"/>
    </xf>
    <xf numFmtId="0" fontId="3" fillId="3" borderId="0" xfId="0" applyFont="1" applyFill="1" applyAlignment="1">
      <alignment vertical="center" wrapText="1"/>
    </xf>
    <xf numFmtId="0" fontId="0" fillId="3" borderId="0" xfId="0" applyFill="1" applyAlignment="1">
      <alignment horizontal="center" vertical="center"/>
    </xf>
    <xf numFmtId="0" fontId="0" fillId="3" borderId="0" xfId="0" applyFill="1" applyAlignment="1">
      <alignment vertical="center"/>
    </xf>
    <xf numFmtId="0" fontId="0" fillId="3" borderId="18" xfId="0" applyFill="1" applyBorder="1" applyAlignment="1">
      <alignment horizontal="center" vertical="center"/>
    </xf>
    <xf numFmtId="0" fontId="8" fillId="3" borderId="0" xfId="0" applyFont="1" applyFill="1" applyAlignment="1">
      <alignment vertical="center"/>
    </xf>
    <xf numFmtId="0" fontId="2" fillId="3" borderId="0" xfId="0" applyFont="1" applyFill="1" applyAlignment="1">
      <alignment vertical="center"/>
    </xf>
    <xf numFmtId="0" fontId="0" fillId="3" borderId="18" xfId="0" applyFill="1" applyBorder="1" applyAlignment="1">
      <alignment vertical="center"/>
    </xf>
    <xf numFmtId="0" fontId="9" fillId="0" borderId="0" xfId="0" applyFont="1" applyAlignment="1">
      <alignment horizontal="center"/>
    </xf>
    <xf numFmtId="0" fontId="10" fillId="3" borderId="0" xfId="0" applyFont="1" applyFill="1"/>
    <xf numFmtId="0" fontId="9" fillId="3" borderId="0" xfId="0" applyFont="1" applyFill="1"/>
    <xf numFmtId="0" fontId="9" fillId="0" borderId="0" xfId="0" applyFont="1" applyAlignment="1">
      <alignment wrapText="1"/>
    </xf>
    <xf numFmtId="0" fontId="9" fillId="0" borderId="0" xfId="0" applyFont="1"/>
    <xf numFmtId="0" fontId="13" fillId="0" borderId="0" xfId="0" applyFont="1"/>
    <xf numFmtId="0" fontId="9" fillId="0" borderId="23" xfId="0" applyFont="1" applyBorder="1" applyAlignment="1">
      <alignment horizontal="center"/>
    </xf>
    <xf numFmtId="0" fontId="3"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0" fillId="0" borderId="0" xfId="0" applyAlignment="1">
      <alignment vertical="center"/>
    </xf>
    <xf numFmtId="0" fontId="14" fillId="3" borderId="0" xfId="0" applyFont="1" applyFill="1" applyAlignment="1">
      <alignment vertical="center"/>
    </xf>
    <xf numFmtId="0" fontId="2" fillId="3" borderId="0" xfId="0" applyFont="1" applyFill="1" applyAlignment="1">
      <alignment vertical="center" wrapText="1"/>
    </xf>
    <xf numFmtId="0" fontId="16" fillId="0" borderId="0" xfId="0" applyFont="1" applyAlignment="1">
      <alignment vertical="center"/>
    </xf>
    <xf numFmtId="0" fontId="8" fillId="3" borderId="0" xfId="0" applyFont="1" applyFill="1" applyAlignment="1">
      <alignment horizontal="center" vertical="center"/>
    </xf>
    <xf numFmtId="2" fontId="9" fillId="3" borderId="1" xfId="0" applyNumberFormat="1" applyFont="1" applyFill="1" applyBorder="1" applyAlignment="1">
      <alignment horizontal="center" vertical="center"/>
    </xf>
    <xf numFmtId="0" fontId="15" fillId="3" borderId="0" xfId="0" applyFont="1" applyFill="1" applyAlignment="1">
      <alignment vertical="center"/>
    </xf>
    <xf numFmtId="0" fontId="15" fillId="0" borderId="1" xfId="0" applyFont="1" applyBorder="1" applyAlignment="1">
      <alignment horizontal="center" vertical="center" wrapText="1"/>
    </xf>
    <xf numFmtId="0" fontId="9" fillId="3" borderId="0" xfId="0" applyFont="1" applyFill="1" applyAlignment="1">
      <alignment vertical="center"/>
    </xf>
    <xf numFmtId="0" fontId="10" fillId="5" borderId="15" xfId="0" applyFont="1" applyFill="1" applyBorder="1" applyAlignment="1">
      <alignment horizontal="center" wrapText="1"/>
    </xf>
    <xf numFmtId="0" fontId="10" fillId="5" borderId="22" xfId="0" applyFont="1" applyFill="1" applyBorder="1" applyAlignment="1">
      <alignment horizontal="center" vertical="center"/>
    </xf>
    <xf numFmtId="11" fontId="15" fillId="3" borderId="19" xfId="0" applyNumberFormat="1" applyFont="1" applyFill="1" applyBorder="1" applyAlignment="1">
      <alignment horizontal="center" vertical="center"/>
    </xf>
    <xf numFmtId="0" fontId="18" fillId="3" borderId="0" xfId="0" applyFont="1" applyFill="1" applyAlignment="1">
      <alignment vertical="center"/>
    </xf>
    <xf numFmtId="167" fontId="18" fillId="3" borderId="0" xfId="0" applyNumberFormat="1" applyFont="1" applyFill="1" applyAlignment="1">
      <alignment horizontal="center" vertical="center"/>
    </xf>
    <xf numFmtId="0" fontId="18" fillId="3" borderId="0" xfId="0" applyFont="1" applyFill="1" applyAlignment="1">
      <alignment vertical="center" wrapText="1"/>
    </xf>
    <xf numFmtId="165" fontId="18" fillId="3" borderId="0" xfId="0" applyNumberFormat="1" applyFont="1" applyFill="1" applyAlignment="1">
      <alignment horizontal="center" vertical="center" wrapText="1"/>
    </xf>
    <xf numFmtId="0" fontId="18" fillId="3" borderId="0" xfId="0" applyFont="1" applyFill="1" applyAlignment="1">
      <alignment horizontal="center" vertical="center"/>
    </xf>
    <xf numFmtId="0" fontId="9" fillId="0" borderId="1" xfId="0" applyFont="1" applyBorder="1" applyAlignment="1">
      <alignment vertical="center"/>
    </xf>
    <xf numFmtId="0" fontId="9" fillId="0" borderId="1" xfId="0" applyFont="1" applyBorder="1"/>
    <xf numFmtId="0" fontId="9" fillId="0" borderId="1" xfId="0" applyFont="1" applyBorder="1" applyAlignment="1">
      <alignment vertical="center" wrapText="1"/>
    </xf>
    <xf numFmtId="0" fontId="9" fillId="0" borderId="28" xfId="0" applyFont="1" applyBorder="1" applyAlignment="1">
      <alignment horizontal="center"/>
    </xf>
    <xf numFmtId="2" fontId="9" fillId="0" borderId="28" xfId="0" applyNumberFormat="1" applyFont="1" applyBorder="1"/>
    <xf numFmtId="0" fontId="9" fillId="0" borderId="1" xfId="0" applyFont="1" applyBorder="1" applyAlignment="1">
      <alignment horizontal="center"/>
    </xf>
    <xf numFmtId="0" fontId="0" fillId="3" borderId="31" xfId="0" applyFill="1" applyBorder="1" applyAlignment="1">
      <alignment vertical="center" wrapText="1"/>
    </xf>
    <xf numFmtId="0" fontId="0" fillId="3" borderId="16" xfId="0" applyFill="1" applyBorder="1" applyAlignment="1">
      <alignment horizontal="left" vertical="center"/>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16" xfId="0" applyFill="1" applyBorder="1" applyAlignment="1">
      <alignment horizontal="left" vertical="center" wrapText="1"/>
    </xf>
    <xf numFmtId="0" fontId="0" fillId="3" borderId="8" xfId="0" applyFill="1" applyBorder="1" applyAlignment="1">
      <alignment horizontal="left" vertical="center" wrapText="1"/>
    </xf>
    <xf numFmtId="0" fontId="0" fillId="3" borderId="8" xfId="0" applyFill="1" applyBorder="1" applyAlignment="1">
      <alignment vertical="center"/>
    </xf>
    <xf numFmtId="0" fontId="0" fillId="3" borderId="8" xfId="0" applyFill="1" applyBorder="1" applyAlignment="1">
      <alignment horizontal="left" vertical="center"/>
    </xf>
    <xf numFmtId="0" fontId="0" fillId="3" borderId="16" xfId="0" quotePrefix="1" applyFill="1" applyBorder="1" applyAlignment="1">
      <alignment horizontal="center" vertical="center" wrapText="1"/>
    </xf>
    <xf numFmtId="0" fontId="0" fillId="3" borderId="8" xfId="0" quotePrefix="1" applyFill="1" applyBorder="1" applyAlignment="1">
      <alignment horizontal="center" vertical="center"/>
    </xf>
    <xf numFmtId="2" fontId="9" fillId="3" borderId="19" xfId="0" applyNumberFormat="1" applyFont="1" applyFill="1" applyBorder="1" applyAlignment="1">
      <alignment horizontal="center" vertical="center"/>
    </xf>
    <xf numFmtId="0" fontId="0" fillId="3" borderId="11" xfId="0" quotePrefix="1" applyFill="1" applyBorder="1" applyAlignment="1">
      <alignment horizontal="center" vertical="center"/>
    </xf>
    <xf numFmtId="0" fontId="0" fillId="3" borderId="0" xfId="0" quotePrefix="1" applyFill="1" applyAlignment="1">
      <alignment horizontal="center" vertical="center"/>
    </xf>
    <xf numFmtId="0" fontId="0" fillId="3" borderId="32" xfId="0" quotePrefix="1" applyFill="1" applyBorder="1" applyAlignment="1">
      <alignment horizontal="center" vertical="center"/>
    </xf>
    <xf numFmtId="0" fontId="0" fillId="3" borderId="7" xfId="0" quotePrefix="1" applyFill="1" applyBorder="1" applyAlignment="1">
      <alignment horizontal="center" vertical="center"/>
    </xf>
    <xf numFmtId="0" fontId="0" fillId="3" borderId="16" xfId="0" applyFill="1" applyBorder="1" applyAlignment="1">
      <alignment horizontal="center" vertical="center"/>
    </xf>
    <xf numFmtId="0" fontId="0" fillId="3" borderId="17" xfId="0" quotePrefix="1" applyFill="1" applyBorder="1" applyAlignment="1">
      <alignment horizontal="center" vertical="center"/>
    </xf>
    <xf numFmtId="164" fontId="9" fillId="3" borderId="0" xfId="0" applyNumberFormat="1" applyFont="1" applyFill="1" applyAlignment="1">
      <alignment horizontal="center" vertical="center"/>
    </xf>
    <xf numFmtId="0" fontId="0" fillId="3" borderId="11" xfId="0" applyFill="1" applyBorder="1" applyAlignment="1">
      <alignment vertical="center" wrapText="1"/>
    </xf>
    <xf numFmtId="0" fontId="0" fillId="3" borderId="11" xfId="0" applyFill="1" applyBorder="1" applyAlignment="1">
      <alignment vertical="center"/>
    </xf>
    <xf numFmtId="0" fontId="11" fillId="3" borderId="0" xfId="0" applyFont="1" applyFill="1" applyAlignment="1">
      <alignment horizontal="center" vertical="center"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2" fontId="15"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xf>
    <xf numFmtId="166" fontId="0" fillId="6" borderId="7" xfId="0" applyNumberFormat="1" applyFill="1" applyBorder="1"/>
    <xf numFmtId="11" fontId="0" fillId="3" borderId="9" xfId="0" applyNumberFormat="1" applyFill="1" applyBorder="1" applyAlignment="1">
      <alignment horizontal="center" vertical="center"/>
    </xf>
    <xf numFmtId="2" fontId="9" fillId="3" borderId="25" xfId="0" applyNumberFormat="1" applyFont="1" applyFill="1" applyBorder="1" applyAlignment="1">
      <alignment horizontal="center" vertical="center"/>
    </xf>
    <xf numFmtId="2" fontId="9" fillId="3" borderId="27" xfId="0" applyNumberFormat="1" applyFont="1" applyFill="1" applyBorder="1" applyAlignment="1">
      <alignment horizontal="center" vertical="center"/>
    </xf>
    <xf numFmtId="0" fontId="0" fillId="3" borderId="16" xfId="0" applyFill="1" applyBorder="1" applyAlignment="1">
      <alignment vertical="center" wrapText="1"/>
    </xf>
    <xf numFmtId="0" fontId="0" fillId="3" borderId="8" xfId="0" applyFill="1" applyBorder="1" applyAlignment="1">
      <alignment vertical="center" wrapText="1"/>
    </xf>
    <xf numFmtId="2" fontId="9" fillId="3" borderId="0" xfId="0" applyNumberFormat="1" applyFont="1" applyFill="1" applyAlignment="1">
      <alignment horizontal="center" vertical="center"/>
    </xf>
    <xf numFmtId="2" fontId="15" fillId="3" borderId="25" xfId="0" applyNumberFormat="1" applyFont="1" applyFill="1" applyBorder="1" applyAlignment="1">
      <alignment horizontal="center" vertical="center"/>
    </xf>
    <xf numFmtId="2" fontId="15" fillId="3" borderId="27" xfId="0" applyNumberFormat="1" applyFont="1" applyFill="1" applyBorder="1" applyAlignment="1">
      <alignment horizontal="center" vertical="center"/>
    </xf>
    <xf numFmtId="2" fontId="15" fillId="3" borderId="19" xfId="0" applyNumberFormat="1" applyFont="1" applyFill="1" applyBorder="1" applyAlignment="1">
      <alignment horizontal="center" vertical="center"/>
    </xf>
    <xf numFmtId="0" fontId="15" fillId="0" borderId="19" xfId="0" applyFont="1" applyBorder="1" applyAlignment="1">
      <alignment horizontal="center" vertical="center" wrapText="1"/>
    </xf>
    <xf numFmtId="2" fontId="15" fillId="0" borderId="19" xfId="0" applyNumberFormat="1" applyFont="1" applyBorder="1" applyAlignment="1">
      <alignment horizontal="center" vertical="center" wrapText="1"/>
    </xf>
    <xf numFmtId="0" fontId="0" fillId="3" borderId="1" xfId="0" applyFill="1" applyBorder="1"/>
    <xf numFmtId="0" fontId="15" fillId="0" borderId="15" xfId="0" applyFont="1" applyBorder="1" applyAlignment="1">
      <alignment horizontal="center" vertical="center" wrapText="1"/>
    </xf>
    <xf numFmtId="2" fontId="15" fillId="0" borderId="15" xfId="0" applyNumberFormat="1" applyFont="1" applyBorder="1" applyAlignment="1">
      <alignment horizontal="center" vertical="center" wrapText="1"/>
    </xf>
    <xf numFmtId="2" fontId="15" fillId="0" borderId="40" xfId="0" applyNumberFormat="1" applyFont="1" applyBorder="1" applyAlignment="1">
      <alignment horizontal="center" vertical="center"/>
    </xf>
    <xf numFmtId="0" fontId="2" fillId="3" borderId="19" xfId="0" applyFont="1" applyFill="1" applyBorder="1" applyAlignment="1">
      <alignment vertical="center"/>
    </xf>
    <xf numFmtId="0" fontId="15" fillId="0" borderId="28" xfId="0" applyFont="1" applyBorder="1" applyAlignment="1">
      <alignment horizontal="center" vertical="center" wrapText="1"/>
    </xf>
    <xf numFmtId="0" fontId="11" fillId="3" borderId="30" xfId="0" applyFont="1" applyFill="1" applyBorder="1" applyAlignment="1">
      <alignment horizontal="center" vertical="center" wrapText="1"/>
    </xf>
    <xf numFmtId="0" fontId="11" fillId="3" borderId="19" xfId="0" applyFont="1" applyFill="1" applyBorder="1" applyAlignment="1">
      <alignment horizontal="center" vertical="center" wrapText="1"/>
    </xf>
    <xf numFmtId="2" fontId="15" fillId="0" borderId="38" xfId="0" applyNumberFormat="1" applyFont="1" applyBorder="1" applyAlignment="1">
      <alignment horizontal="center" vertical="center"/>
    </xf>
    <xf numFmtId="164" fontId="15" fillId="3" borderId="19" xfId="0" applyNumberFormat="1" applyFont="1" applyFill="1" applyBorder="1" applyAlignment="1">
      <alignment horizontal="center" vertical="center" wrapText="1"/>
    </xf>
    <xf numFmtId="1" fontId="2" fillId="3" borderId="39" xfId="0" applyNumberFormat="1" applyFont="1" applyFill="1" applyBorder="1" applyAlignment="1">
      <alignment horizontal="center" vertical="center"/>
    </xf>
    <xf numFmtId="2" fontId="15" fillId="0" borderId="28" xfId="0" applyNumberFormat="1" applyFont="1" applyBorder="1" applyAlignment="1">
      <alignment horizontal="center" vertical="center" wrapText="1"/>
    </xf>
    <xf numFmtId="2" fontId="15" fillId="0" borderId="28" xfId="0" applyNumberFormat="1" applyFont="1" applyBorder="1" applyAlignment="1">
      <alignment horizontal="center" vertical="center"/>
    </xf>
    <xf numFmtId="2" fontId="15" fillId="0" borderId="6" xfId="0" applyNumberFormat="1" applyFont="1" applyBorder="1" applyAlignment="1">
      <alignment horizontal="center" vertical="center"/>
    </xf>
    <xf numFmtId="2" fontId="15" fillId="0" borderId="45" xfId="0" applyNumberFormat="1" applyFont="1" applyBorder="1" applyAlignment="1">
      <alignment horizontal="center" vertical="center"/>
    </xf>
    <xf numFmtId="2" fontId="15" fillId="3" borderId="29" xfId="0" applyNumberFormat="1" applyFont="1" applyFill="1" applyBorder="1" applyAlignment="1">
      <alignment horizontal="center" vertical="center"/>
    </xf>
    <xf numFmtId="0" fontId="2" fillId="3" borderId="49" xfId="0" applyFont="1" applyFill="1" applyBorder="1" applyAlignment="1">
      <alignment vertical="center"/>
    </xf>
    <xf numFmtId="0" fontId="2" fillId="3" borderId="52" xfId="0" applyFont="1" applyFill="1" applyBorder="1" applyAlignment="1">
      <alignment vertical="center"/>
    </xf>
    <xf numFmtId="164" fontId="15" fillId="0" borderId="1" xfId="0" applyNumberFormat="1" applyFont="1" applyBorder="1" applyAlignment="1">
      <alignment horizontal="center" vertical="center"/>
    </xf>
    <xf numFmtId="11" fontId="15" fillId="0" borderId="46" xfId="0" applyNumberFormat="1" applyFont="1" applyBorder="1" applyAlignment="1">
      <alignment horizontal="center" vertical="center" wrapText="1"/>
    </xf>
    <xf numFmtId="11" fontId="15" fillId="3" borderId="30" xfId="0" applyNumberFormat="1" applyFont="1" applyFill="1" applyBorder="1" applyAlignment="1">
      <alignment horizontal="center" vertical="center"/>
    </xf>
    <xf numFmtId="11" fontId="15" fillId="3" borderId="30" xfId="0" applyNumberFormat="1" applyFont="1" applyFill="1" applyBorder="1" applyAlignment="1">
      <alignment horizontal="center" vertical="center" wrapText="1"/>
    </xf>
    <xf numFmtId="11" fontId="15" fillId="3" borderId="45" xfId="0" applyNumberFormat="1" applyFont="1" applyFill="1" applyBorder="1" applyAlignment="1">
      <alignment horizontal="center" vertical="center"/>
    </xf>
    <xf numFmtId="0" fontId="5" fillId="4" borderId="53"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0" fillId="2" borderId="44" xfId="0" applyFill="1" applyBorder="1" applyAlignment="1">
      <alignment vertical="center"/>
    </xf>
    <xf numFmtId="165" fontId="2" fillId="3" borderId="0" xfId="0" applyNumberFormat="1" applyFont="1" applyFill="1" applyAlignment="1">
      <alignment horizontal="center" vertical="center" wrapText="1"/>
    </xf>
    <xf numFmtId="0" fontId="2" fillId="3" borderId="0" xfId="0" applyFont="1" applyFill="1" applyAlignment="1">
      <alignment horizontal="left" vertical="center"/>
    </xf>
    <xf numFmtId="11" fontId="2" fillId="3" borderId="0" xfId="0" applyNumberFormat="1" applyFont="1" applyFill="1" applyAlignment="1">
      <alignment horizontal="center" vertical="center"/>
    </xf>
    <xf numFmtId="11" fontId="2" fillId="3" borderId="0" xfId="0" applyNumberFormat="1" applyFont="1" applyFill="1" applyAlignment="1">
      <alignment horizontal="center" vertical="center" wrapText="1"/>
    </xf>
    <xf numFmtId="11" fontId="0" fillId="3" borderId="0" xfId="0" applyNumberFormat="1" applyFill="1" applyAlignment="1">
      <alignment vertical="center"/>
    </xf>
    <xf numFmtId="0" fontId="9" fillId="0" borderId="36" xfId="0" applyFont="1" applyBorder="1" applyAlignment="1">
      <alignment horizontal="center"/>
    </xf>
    <xf numFmtId="0" fontId="0" fillId="0" borderId="28" xfId="0" applyBorder="1" applyAlignment="1">
      <alignment wrapText="1"/>
    </xf>
    <xf numFmtId="0" fontId="0" fillId="0" borderId="28" xfId="0" applyBorder="1" applyAlignment="1">
      <alignment horizontal="center"/>
    </xf>
    <xf numFmtId="164" fontId="0" fillId="0" borderId="1" xfId="0" applyNumberFormat="1" applyBorder="1"/>
    <xf numFmtId="1" fontId="0" fillId="0" borderId="1" xfId="0" applyNumberFormat="1" applyBorder="1" applyAlignment="1">
      <alignment horizontal="center" wrapText="1"/>
    </xf>
    <xf numFmtId="0" fontId="0" fillId="0" borderId="28" xfId="0" applyBorder="1"/>
    <xf numFmtId="0" fontId="0" fillId="0" borderId="1" xfId="0" applyBorder="1"/>
    <xf numFmtId="0" fontId="0" fillId="0" borderId="1" xfId="0" applyBorder="1" applyAlignment="1">
      <alignment wrapText="1"/>
    </xf>
    <xf numFmtId="164" fontId="0" fillId="0" borderId="28" xfId="0" applyNumberFormat="1" applyBorder="1"/>
    <xf numFmtId="1" fontId="0" fillId="0" borderId="28" xfId="0" applyNumberFormat="1" applyBorder="1" applyAlignment="1">
      <alignment horizontal="center" wrapText="1"/>
    </xf>
    <xf numFmtId="0" fontId="0" fillId="0" borderId="1" xfId="0" applyBorder="1" applyAlignment="1">
      <alignment horizontal="center"/>
    </xf>
    <xf numFmtId="3" fontId="0" fillId="0" borderId="1" xfId="0" applyNumberFormat="1" applyBorder="1" applyAlignment="1">
      <alignment horizontal="center"/>
    </xf>
    <xf numFmtId="164" fontId="11" fillId="3" borderId="19"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0" fontId="9" fillId="2" borderId="33" xfId="0" applyFont="1" applyFill="1" applyBorder="1" applyAlignment="1">
      <alignment horizontal="center" vertical="center"/>
    </xf>
    <xf numFmtId="2" fontId="15" fillId="3" borderId="30" xfId="0" applyNumberFormat="1" applyFont="1" applyFill="1" applyBorder="1" applyAlignment="1">
      <alignment horizontal="center" vertical="center"/>
    </xf>
    <xf numFmtId="2" fontId="9" fillId="3" borderId="30" xfId="0" applyNumberFormat="1" applyFont="1" applyFill="1" applyBorder="1" applyAlignment="1">
      <alignment horizontal="center" vertical="center"/>
    </xf>
    <xf numFmtId="2" fontId="9" fillId="3" borderId="34" xfId="0" applyNumberFormat="1" applyFont="1" applyFill="1" applyBorder="1" applyAlignment="1">
      <alignment horizontal="center" vertical="center"/>
    </xf>
    <xf numFmtId="2" fontId="15" fillId="3" borderId="15" xfId="0" applyNumberFormat="1" applyFont="1" applyFill="1" applyBorder="1" applyAlignment="1">
      <alignment horizontal="center" vertical="center"/>
    </xf>
    <xf numFmtId="2" fontId="9" fillId="3" borderId="15" xfId="0" applyNumberFormat="1" applyFont="1" applyFill="1" applyBorder="1" applyAlignment="1">
      <alignment horizontal="center" vertical="center"/>
    </xf>
    <xf numFmtId="2" fontId="9" fillId="3" borderId="22" xfId="0" applyNumberFormat="1" applyFont="1" applyFill="1" applyBorder="1" applyAlignment="1">
      <alignment horizontal="center" vertical="center"/>
    </xf>
    <xf numFmtId="2" fontId="0" fillId="0" borderId="28" xfId="0" applyNumberFormat="1" applyBorder="1"/>
    <xf numFmtId="2" fontId="22" fillId="7" borderId="54" xfId="1" applyNumberFormat="1" applyAlignment="1">
      <alignment horizontal="center" vertical="center"/>
    </xf>
    <xf numFmtId="0" fontId="0" fillId="3" borderId="0" xfId="0" applyFill="1" applyAlignment="1">
      <alignment horizontal="right" vertical="center"/>
    </xf>
    <xf numFmtId="0" fontId="23" fillId="4" borderId="20" xfId="0" applyFont="1" applyFill="1" applyBorder="1" applyAlignment="1">
      <alignment horizontal="center" vertical="center" wrapText="1"/>
    </xf>
    <xf numFmtId="0" fontId="9" fillId="0" borderId="26" xfId="0" applyFont="1" applyBorder="1" applyAlignment="1">
      <alignment vertical="center"/>
    </xf>
    <xf numFmtId="0" fontId="24"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57" xfId="0" applyFont="1" applyBorder="1" applyAlignment="1">
      <alignment horizontal="center" vertical="center" wrapText="1"/>
    </xf>
    <xf numFmtId="0" fontId="10" fillId="3" borderId="57" xfId="0" applyFont="1" applyFill="1" applyBorder="1" applyAlignment="1">
      <alignment horizontal="center" vertical="center" wrapText="1"/>
    </xf>
    <xf numFmtId="0" fontId="10" fillId="3" borderId="57" xfId="0" applyFont="1" applyFill="1" applyBorder="1" applyAlignment="1">
      <alignment horizontal="center" vertical="center"/>
    </xf>
    <xf numFmtId="0" fontId="10" fillId="3" borderId="58" xfId="0" applyFont="1" applyFill="1" applyBorder="1" applyAlignment="1">
      <alignment horizontal="center" vertical="center"/>
    </xf>
    <xf numFmtId="3" fontId="10" fillId="9" borderId="0" xfId="0" applyNumberFormat="1" applyFont="1" applyFill="1" applyBorder="1" applyAlignment="1">
      <alignment horizontal="center" vertical="center" wrapText="1"/>
    </xf>
    <xf numFmtId="0" fontId="24" fillId="3" borderId="55" xfId="0" applyFont="1" applyFill="1" applyBorder="1" applyAlignment="1">
      <alignment horizontal="center" vertical="center" wrapText="1"/>
    </xf>
    <xf numFmtId="0" fontId="9" fillId="3" borderId="60" xfId="0" applyFont="1" applyFill="1" applyBorder="1" applyAlignment="1">
      <alignment horizontal="center" vertical="center" wrapText="1"/>
    </xf>
    <xf numFmtId="11" fontId="9" fillId="0" borderId="63" xfId="0" applyNumberFormat="1" applyFont="1" applyFill="1" applyBorder="1" applyAlignment="1">
      <alignment horizontal="center" vertical="center"/>
    </xf>
    <xf numFmtId="11" fontId="9" fillId="0" borderId="60" xfId="0" applyNumberFormat="1" applyFont="1" applyFill="1" applyBorder="1" applyAlignment="1">
      <alignment horizontal="center" vertical="center"/>
    </xf>
    <xf numFmtId="11" fontId="9" fillId="0" borderId="62" xfId="0" applyNumberFormat="1" applyFont="1" applyFill="1" applyBorder="1" applyAlignment="1">
      <alignment horizontal="center" vertical="center"/>
    </xf>
    <xf numFmtId="0" fontId="24" fillId="3" borderId="59" xfId="0" applyFont="1" applyFill="1" applyBorder="1" applyAlignment="1">
      <alignment horizontal="center" vertical="center" wrapText="1"/>
    </xf>
    <xf numFmtId="0" fontId="15" fillId="3" borderId="64" xfId="0" applyFont="1" applyFill="1" applyBorder="1" applyAlignment="1">
      <alignment horizontal="center" vertical="center"/>
    </xf>
    <xf numFmtId="11" fontId="9" fillId="0" borderId="68" xfId="0" applyNumberFormat="1" applyFont="1" applyFill="1" applyBorder="1" applyAlignment="1">
      <alignment horizontal="center" vertical="center"/>
    </xf>
    <xf numFmtId="11" fontId="9" fillId="0" borderId="64" xfId="0" applyNumberFormat="1" applyFont="1" applyFill="1" applyBorder="1" applyAlignment="1">
      <alignment horizontal="center" vertical="center"/>
    </xf>
    <xf numFmtId="11" fontId="9" fillId="0" borderId="67" xfId="0" applyNumberFormat="1" applyFont="1" applyFill="1" applyBorder="1" applyAlignment="1">
      <alignment horizontal="center" vertical="center"/>
    </xf>
    <xf numFmtId="0" fontId="9" fillId="3" borderId="64" xfId="0" applyFont="1" applyFill="1" applyBorder="1" applyAlignment="1">
      <alignment horizontal="center" vertical="center" wrapText="1"/>
    </xf>
    <xf numFmtId="0" fontId="24" fillId="3" borderId="59" xfId="0" applyFont="1" applyFill="1" applyBorder="1" applyAlignment="1">
      <alignment horizontal="center" vertical="center"/>
    </xf>
    <xf numFmtId="0" fontId="24" fillId="3" borderId="69" xfId="0" applyFont="1" applyFill="1" applyBorder="1" applyAlignment="1">
      <alignment horizontal="center" vertical="center"/>
    </xf>
    <xf numFmtId="0" fontId="15" fillId="3" borderId="70" xfId="0" applyFont="1" applyFill="1" applyBorder="1" applyAlignment="1">
      <alignment horizontal="center" vertical="center"/>
    </xf>
    <xf numFmtId="11" fontId="9" fillId="0" borderId="70" xfId="0" applyNumberFormat="1" applyFont="1" applyFill="1" applyBorder="1" applyAlignment="1">
      <alignment horizontal="center" vertical="center"/>
    </xf>
    <xf numFmtId="11" fontId="9" fillId="0" borderId="71" xfId="0" applyNumberFormat="1" applyFont="1" applyFill="1" applyBorder="1" applyAlignment="1">
      <alignment horizontal="center" vertical="center"/>
    </xf>
    <xf numFmtId="11" fontId="9" fillId="0" borderId="72" xfId="0" applyNumberFormat="1" applyFont="1" applyFill="1" applyBorder="1" applyAlignment="1">
      <alignment horizontal="center" vertical="center"/>
    </xf>
    <xf numFmtId="3" fontId="10" fillId="9" borderId="74" xfId="0" applyNumberFormat="1" applyFont="1" applyFill="1" applyBorder="1" applyAlignment="1">
      <alignment horizontal="center" vertical="center" wrapText="1"/>
    </xf>
    <xf numFmtId="0" fontId="9" fillId="3" borderId="75" xfId="0" applyFont="1" applyFill="1" applyBorder="1" applyAlignment="1">
      <alignment horizontal="center" vertical="center" wrapText="1"/>
    </xf>
    <xf numFmtId="0" fontId="15" fillId="3" borderId="76" xfId="0" applyFont="1" applyFill="1" applyBorder="1" applyAlignment="1">
      <alignment horizontal="center" vertical="center"/>
    </xf>
    <xf numFmtId="11" fontId="9" fillId="0" borderId="66" xfId="0" applyNumberFormat="1" applyFont="1" applyFill="1" applyBorder="1" applyAlignment="1">
      <alignment horizontal="center" vertical="center"/>
    </xf>
    <xf numFmtId="11" fontId="9" fillId="0" borderId="77" xfId="0" applyNumberFormat="1" applyFont="1" applyFill="1" applyBorder="1" applyAlignment="1">
      <alignment horizontal="center" vertical="center"/>
    </xf>
    <xf numFmtId="166" fontId="9" fillId="0" borderId="76" xfId="0" applyNumberFormat="1" applyFont="1" applyFill="1" applyBorder="1" applyAlignment="1">
      <alignment horizontal="center" vertical="center" wrapText="1"/>
    </xf>
    <xf numFmtId="166" fontId="9" fillId="0" borderId="79" xfId="0" applyNumberFormat="1" applyFont="1" applyFill="1" applyBorder="1" applyAlignment="1">
      <alignment horizontal="center" vertical="center" wrapText="1"/>
    </xf>
    <xf numFmtId="0" fontId="24" fillId="3" borderId="80" xfId="0" applyFont="1" applyFill="1" applyBorder="1" applyAlignment="1">
      <alignment horizontal="center" vertical="center" wrapText="1"/>
    </xf>
    <xf numFmtId="0" fontId="10" fillId="10" borderId="1" xfId="0" applyFont="1" applyFill="1" applyBorder="1" applyAlignment="1">
      <alignment horizontal="left"/>
    </xf>
    <xf numFmtId="0" fontId="9" fillId="9" borderId="0" xfId="0" applyFont="1" applyFill="1"/>
    <xf numFmtId="0" fontId="10" fillId="9" borderId="1" xfId="0" applyFont="1" applyFill="1" applyBorder="1"/>
    <xf numFmtId="0" fontId="10" fillId="10" borderId="1" xfId="0" applyFont="1" applyFill="1" applyBorder="1" applyAlignment="1">
      <alignment horizontal="center" vertical="center"/>
    </xf>
    <xf numFmtId="0" fontId="10" fillId="10" borderId="0" xfId="0" applyFont="1" applyFill="1" applyAlignment="1">
      <alignment horizontal="center" vertical="center"/>
    </xf>
    <xf numFmtId="0" fontId="10" fillId="10" borderId="1"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28" fillId="11" borderId="2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0" borderId="37" xfId="0" applyFont="1" applyFill="1" applyBorder="1" applyAlignment="1">
      <alignment horizontal="center" vertical="center" wrapText="1"/>
    </xf>
    <xf numFmtId="0" fontId="10" fillId="0" borderId="0" xfId="0" applyFont="1" applyAlignment="1">
      <alignment horizontal="center"/>
    </xf>
    <xf numFmtId="0" fontId="30" fillId="0" borderId="1" xfId="0" applyFont="1" applyBorder="1" applyAlignment="1">
      <alignment horizontal="left"/>
    </xf>
    <xf numFmtId="164" fontId="9" fillId="0" borderId="1" xfId="0" applyNumberFormat="1" applyFont="1" applyBorder="1"/>
    <xf numFmtId="0" fontId="9" fillId="0" borderId="0" xfId="0" applyFont="1" applyAlignment="1">
      <alignment vertical="center"/>
    </xf>
    <xf numFmtId="0" fontId="9" fillId="9" borderId="1" xfId="0" applyFont="1" applyFill="1" applyBorder="1" applyAlignment="1">
      <alignment horizontal="center" wrapText="1"/>
    </xf>
    <xf numFmtId="2" fontId="9" fillId="9" borderId="24" xfId="0" applyNumberFormat="1" applyFont="1" applyFill="1" applyBorder="1" applyAlignment="1">
      <alignment horizontal="center"/>
    </xf>
    <xf numFmtId="3" fontId="9" fillId="0" borderId="23" xfId="0" applyNumberFormat="1" applyFont="1" applyBorder="1" applyAlignment="1">
      <alignment horizontal="center"/>
    </xf>
    <xf numFmtId="3" fontId="9" fillId="0" borderId="1" xfId="0" applyNumberFormat="1" applyFont="1" applyBorder="1" applyAlignment="1">
      <alignment horizontal="center" wrapText="1"/>
    </xf>
    <xf numFmtId="3" fontId="9" fillId="0" borderId="1" xfId="0" applyNumberFormat="1" applyFont="1" applyBorder="1" applyAlignment="1">
      <alignment horizontal="center"/>
    </xf>
    <xf numFmtId="3" fontId="9" fillId="0" borderId="25" xfId="0" applyNumberFormat="1" applyFont="1" applyBorder="1" applyAlignment="1">
      <alignment horizontal="center"/>
    </xf>
    <xf numFmtId="2" fontId="9" fillId="0" borderId="37" xfId="0" applyNumberFormat="1" applyFont="1" applyBorder="1" applyAlignment="1">
      <alignment horizontal="center"/>
    </xf>
    <xf numFmtId="0" fontId="30" fillId="0" borderId="1" xfId="0" applyFont="1" applyBorder="1" applyAlignment="1">
      <alignment horizontal="left" vertical="center" wrapText="1"/>
    </xf>
    <xf numFmtId="0" fontId="9" fillId="0" borderId="0" xfId="0" applyFont="1" applyAlignment="1">
      <alignment horizontal="left" vertical="center"/>
    </xf>
    <xf numFmtId="0" fontId="30" fillId="0" borderId="0" xfId="0" applyFont="1" applyBorder="1" applyAlignment="1">
      <alignment horizontal="left" vertical="center" wrapText="1"/>
    </xf>
    <xf numFmtId="0" fontId="9" fillId="9" borderId="1" xfId="0" applyFont="1" applyFill="1" applyBorder="1" applyAlignment="1">
      <alignment horizontal="left" wrapText="1"/>
    </xf>
    <xf numFmtId="0" fontId="1" fillId="12" borderId="82" xfId="0" applyFont="1" applyFill="1" applyBorder="1" applyAlignment="1">
      <alignment horizontal="center" vertical="center" wrapText="1"/>
    </xf>
    <xf numFmtId="0" fontId="1" fillId="9" borderId="82" xfId="0" applyFont="1" applyFill="1" applyBorder="1" applyAlignment="1">
      <alignment horizontal="center" vertical="center"/>
    </xf>
    <xf numFmtId="0" fontId="1" fillId="9" borderId="82" xfId="0" applyFont="1" applyFill="1" applyBorder="1" applyAlignment="1">
      <alignment horizontal="center" vertical="center" wrapText="1"/>
    </xf>
    <xf numFmtId="0" fontId="0" fillId="0" borderId="15" xfId="0" applyBorder="1" applyAlignment="1">
      <alignment horizontal="center"/>
    </xf>
    <xf numFmtId="2" fontId="0" fillId="0" borderId="15" xfId="0" applyNumberFormat="1" applyBorder="1" applyAlignment="1">
      <alignment horizontal="center"/>
    </xf>
    <xf numFmtId="0" fontId="0" fillId="0" borderId="22" xfId="0" applyBorder="1" applyAlignment="1">
      <alignment horizontal="center"/>
    </xf>
    <xf numFmtId="2" fontId="0" fillId="0" borderId="1" xfId="0" applyNumberFormat="1" applyBorder="1" applyAlignment="1">
      <alignment horizontal="center"/>
    </xf>
    <xf numFmtId="0" fontId="0" fillId="0" borderId="25" xfId="0" applyBorder="1" applyAlignment="1">
      <alignment horizontal="center"/>
    </xf>
    <xf numFmtId="0" fontId="1" fillId="12" borderId="83" xfId="0" applyFont="1" applyFill="1" applyBorder="1" applyAlignment="1">
      <alignment vertical="center" wrapText="1"/>
    </xf>
    <xf numFmtId="0" fontId="34" fillId="9" borderId="35" xfId="0" applyFont="1" applyFill="1" applyBorder="1" applyAlignment="1">
      <alignment vertical="center" wrapText="1"/>
    </xf>
    <xf numFmtId="0" fontId="34" fillId="9" borderId="90" xfId="0" applyFont="1" applyFill="1" applyBorder="1" applyAlignment="1">
      <alignment vertical="center" wrapText="1"/>
    </xf>
    <xf numFmtId="0" fontId="1" fillId="12" borderId="85" xfId="0" applyFont="1" applyFill="1" applyBorder="1" applyAlignment="1">
      <alignment vertical="center" wrapText="1"/>
    </xf>
    <xf numFmtId="0" fontId="34" fillId="9" borderId="48" xfId="0" applyFont="1" applyFill="1" applyBorder="1" applyAlignment="1">
      <alignment vertical="center" wrapText="1"/>
    </xf>
    <xf numFmtId="0" fontId="34" fillId="9" borderId="7" xfId="0" applyFont="1" applyFill="1" applyBorder="1" applyAlignment="1">
      <alignment vertical="center" wrapText="1"/>
    </xf>
    <xf numFmtId="0" fontId="1" fillId="12" borderId="85" xfId="0" applyFont="1" applyFill="1" applyBorder="1" applyAlignment="1">
      <alignment horizontal="center" vertical="center" wrapText="1"/>
    </xf>
    <xf numFmtId="0" fontId="34" fillId="9" borderId="48"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0" fillId="13" borderId="20" xfId="0" applyFill="1" applyBorder="1" applyAlignment="1">
      <alignment vertical="center" wrapText="1"/>
    </xf>
    <xf numFmtId="0" fontId="0" fillId="3" borderId="15" xfId="0" applyFill="1" applyBorder="1" applyAlignment="1">
      <alignment vertical="center" wrapText="1"/>
    </xf>
    <xf numFmtId="1" fontId="0" fillId="3" borderId="15" xfId="0" applyNumberFormat="1" applyFill="1" applyBorder="1" applyAlignment="1">
      <alignment horizontal="center" vertical="center" wrapText="1"/>
    </xf>
    <xf numFmtId="2" fontId="0" fillId="3" borderId="15" xfId="0" applyNumberFormat="1" applyFill="1" applyBorder="1" applyAlignment="1">
      <alignment horizontal="center" vertical="center" wrapText="1"/>
    </xf>
    <xf numFmtId="3" fontId="0" fillId="3" borderId="15" xfId="0" applyNumberFormat="1" applyFill="1" applyBorder="1" applyAlignment="1">
      <alignment horizontal="center" vertical="center" wrapText="1"/>
    </xf>
    <xf numFmtId="0" fontId="0" fillId="3" borderId="15" xfId="0" applyFill="1" applyBorder="1" applyAlignment="1">
      <alignment horizontal="center" vertical="center" wrapText="1"/>
    </xf>
    <xf numFmtId="4" fontId="0" fillId="15" borderId="15" xfId="0" applyNumberFormat="1" applyFill="1" applyBorder="1" applyAlignment="1">
      <alignment horizontal="center" vertical="center" wrapText="1"/>
    </xf>
    <xf numFmtId="4" fontId="2" fillId="15" borderId="15" xfId="0" applyNumberFormat="1" applyFont="1" applyFill="1" applyBorder="1" applyAlignment="1">
      <alignment horizontal="center" vertical="center" wrapText="1"/>
    </xf>
    <xf numFmtId="4" fontId="2" fillId="15" borderId="22" xfId="0" applyNumberFormat="1" applyFont="1" applyFill="1" applyBorder="1" applyAlignment="1">
      <alignment horizontal="center" vertical="center" wrapText="1"/>
    </xf>
    <xf numFmtId="0" fontId="0" fillId="13" borderId="23" xfId="0" applyFill="1" applyBorder="1" applyAlignment="1">
      <alignment vertical="center" wrapText="1"/>
    </xf>
    <xf numFmtId="0" fontId="0" fillId="3" borderId="1" xfId="0" applyFill="1" applyBorder="1" applyAlignment="1">
      <alignment vertical="center" wrapText="1"/>
    </xf>
    <xf numFmtId="1" fontId="0" fillId="3" borderId="1" xfId="0" applyNumberFormat="1" applyFill="1" applyBorder="1" applyAlignment="1">
      <alignment horizontal="center" vertical="center" wrapText="1"/>
    </xf>
    <xf numFmtId="2"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 fontId="0" fillId="15" borderId="1" xfId="0" applyNumberFormat="1" applyFill="1" applyBorder="1" applyAlignment="1">
      <alignment horizontal="center" vertical="center" wrapText="1"/>
    </xf>
    <xf numFmtId="4" fontId="2" fillId="15" borderId="28" xfId="0" applyNumberFormat="1" applyFont="1" applyFill="1" applyBorder="1" applyAlignment="1">
      <alignment horizontal="center" vertical="center" wrapText="1"/>
    </xf>
    <xf numFmtId="4" fontId="2" fillId="15" borderId="25" xfId="0" applyNumberFormat="1" applyFont="1" applyFill="1" applyBorder="1" applyAlignment="1">
      <alignment horizontal="center" vertical="center" wrapText="1"/>
    </xf>
    <xf numFmtId="4" fontId="2" fillId="15" borderId="1" xfId="0" applyNumberFormat="1" applyFont="1" applyFill="1" applyBorder="1" applyAlignment="1">
      <alignment horizontal="center" vertical="center" wrapText="1"/>
    </xf>
    <xf numFmtId="0" fontId="0" fillId="13" borderId="26" xfId="0" applyFill="1" applyBorder="1" applyAlignment="1">
      <alignment vertical="center" wrapText="1"/>
    </xf>
    <xf numFmtId="0" fontId="0" fillId="3" borderId="19" xfId="0" applyFill="1" applyBorder="1" applyAlignment="1">
      <alignment vertical="center" wrapText="1"/>
    </xf>
    <xf numFmtId="1" fontId="0" fillId="3" borderId="19" xfId="0" applyNumberFormat="1" applyFill="1" applyBorder="1" applyAlignment="1">
      <alignment horizontal="center" vertical="center" wrapText="1"/>
    </xf>
    <xf numFmtId="2" fontId="0" fillId="3" borderId="19" xfId="0" applyNumberFormat="1" applyFill="1" applyBorder="1" applyAlignment="1">
      <alignment horizontal="center" vertical="center" wrapText="1"/>
    </xf>
    <xf numFmtId="3" fontId="0" fillId="3" borderId="19" xfId="0" applyNumberFormat="1" applyFill="1" applyBorder="1" applyAlignment="1">
      <alignment horizontal="center" vertical="center" wrapText="1"/>
    </xf>
    <xf numFmtId="0" fontId="0" fillId="3" borderId="19" xfId="0" applyFill="1" applyBorder="1" applyAlignment="1">
      <alignment horizontal="center" vertical="center" wrapText="1"/>
    </xf>
    <xf numFmtId="4" fontId="0" fillId="15" borderId="19" xfId="0" applyNumberFormat="1" applyFill="1" applyBorder="1" applyAlignment="1">
      <alignment horizontal="center" vertical="center" wrapText="1"/>
    </xf>
    <xf numFmtId="4" fontId="2" fillId="15" borderId="19" xfId="0" applyNumberFormat="1" applyFont="1" applyFill="1" applyBorder="1" applyAlignment="1">
      <alignment horizontal="center" vertical="center" wrapText="1"/>
    </xf>
    <xf numFmtId="4" fontId="2" fillId="15" borderId="27" xfId="0" applyNumberFormat="1" applyFont="1" applyFill="1" applyBorder="1" applyAlignment="1">
      <alignment horizontal="center" vertical="center" wrapText="1"/>
    </xf>
    <xf numFmtId="0" fontId="0" fillId="0" borderId="0" xfId="0" applyAlignment="1">
      <alignment wrapText="1"/>
    </xf>
    <xf numFmtId="0" fontId="9" fillId="9" borderId="15" xfId="0" applyFont="1" applyFill="1" applyBorder="1" applyAlignment="1">
      <alignment horizontal="center" wrapText="1"/>
    </xf>
    <xf numFmtId="2" fontId="9" fillId="9" borderId="21" xfId="0" applyNumberFormat="1" applyFont="1" applyFill="1" applyBorder="1" applyAlignment="1">
      <alignment horizontal="center"/>
    </xf>
    <xf numFmtId="0" fontId="1" fillId="10" borderId="83" xfId="0" applyFont="1" applyFill="1" applyBorder="1" applyAlignment="1">
      <alignment horizontal="center" vertical="center" wrapText="1"/>
    </xf>
    <xf numFmtId="0" fontId="1" fillId="10" borderId="43" xfId="0" applyFont="1" applyFill="1" applyBorder="1" applyAlignment="1">
      <alignment horizontal="center" vertical="center" wrapText="1"/>
    </xf>
    <xf numFmtId="0" fontId="1" fillId="10" borderId="87" xfId="0" applyFont="1" applyFill="1" applyBorder="1" applyAlignment="1">
      <alignment horizontal="left" wrapText="1"/>
    </xf>
    <xf numFmtId="0" fontId="0" fillId="3" borderId="20" xfId="0" applyFill="1" applyBorder="1" applyAlignment="1">
      <alignment horizontal="center"/>
    </xf>
    <xf numFmtId="164" fontId="0" fillId="3" borderId="15" xfId="0" applyNumberFormat="1" applyFill="1" applyBorder="1" applyAlignment="1">
      <alignment horizontal="center"/>
    </xf>
    <xf numFmtId="0" fontId="0" fillId="3" borderId="22" xfId="0" applyFill="1" applyBorder="1"/>
    <xf numFmtId="0" fontId="1" fillId="10" borderId="94" xfId="0" applyFont="1" applyFill="1" applyBorder="1" applyAlignment="1">
      <alignment horizontal="left" wrapText="1"/>
    </xf>
    <xf numFmtId="1" fontId="9" fillId="0" borderId="23" xfId="0" applyNumberFormat="1" applyFont="1" applyBorder="1" applyAlignment="1">
      <alignment horizontal="center" vertical="center"/>
    </xf>
    <xf numFmtId="1" fontId="0" fillId="3" borderId="1" xfId="0" applyNumberFormat="1" applyFill="1" applyBorder="1" applyAlignment="1">
      <alignment horizontal="center"/>
    </xf>
    <xf numFmtId="0" fontId="0" fillId="3" borderId="25" xfId="0" applyFill="1" applyBorder="1"/>
    <xf numFmtId="0" fontId="0" fillId="3" borderId="23" xfId="0" applyFill="1" applyBorder="1" applyAlignment="1">
      <alignment horizontal="center"/>
    </xf>
    <xf numFmtId="0" fontId="0" fillId="3" borderId="1" xfId="0" applyFill="1" applyBorder="1" applyAlignment="1">
      <alignment horizontal="center"/>
    </xf>
    <xf numFmtId="0" fontId="1" fillId="10" borderId="95" xfId="0" applyFont="1" applyFill="1" applyBorder="1" applyAlignment="1">
      <alignment horizontal="left" wrapText="1"/>
    </xf>
    <xf numFmtId="0" fontId="0" fillId="3" borderId="26" xfId="0" applyFill="1" applyBorder="1" applyAlignment="1">
      <alignment horizontal="center"/>
    </xf>
    <xf numFmtId="0" fontId="0" fillId="3" borderId="19" xfId="0" applyFill="1" applyBorder="1" applyAlignment="1">
      <alignment horizontal="center"/>
    </xf>
    <xf numFmtId="0" fontId="0" fillId="3" borderId="27" xfId="0" applyFill="1" applyBorder="1"/>
    <xf numFmtId="0" fontId="1" fillId="3" borderId="0" xfId="0" applyFont="1" applyFill="1"/>
    <xf numFmtId="0" fontId="39" fillId="3" borderId="0" xfId="0" applyFont="1" applyFill="1"/>
    <xf numFmtId="0" fontId="9" fillId="3" borderId="0" xfId="0" applyFont="1" applyFill="1" applyAlignment="1">
      <alignment vertical="center" wrapText="1"/>
    </xf>
    <xf numFmtId="0" fontId="15" fillId="3" borderId="0" xfId="0" applyFont="1" applyFill="1" applyAlignment="1">
      <alignment vertical="center" wrapText="1"/>
    </xf>
    <xf numFmtId="0" fontId="41" fillId="3" borderId="0" xfId="0" applyFont="1" applyFill="1" applyAlignment="1">
      <alignment vertical="center"/>
    </xf>
    <xf numFmtId="0" fontId="11" fillId="5" borderId="19"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9" fillId="3" borderId="15" xfId="0" applyFont="1" applyFill="1" applyBorder="1" applyAlignment="1">
      <alignment vertical="center"/>
    </xf>
    <xf numFmtId="3" fontId="15" fillId="3" borderId="15" xfId="0" applyNumberFormat="1" applyFont="1" applyFill="1" applyBorder="1" applyAlignment="1">
      <alignment horizontal="center" vertical="center" wrapText="1"/>
    </xf>
    <xf numFmtId="3" fontId="15" fillId="3" borderId="22" xfId="0" applyNumberFormat="1" applyFont="1" applyFill="1" applyBorder="1" applyAlignment="1">
      <alignment horizontal="center" vertical="center" wrapText="1"/>
    </xf>
    <xf numFmtId="0" fontId="9" fillId="3" borderId="1" xfId="0" applyFont="1" applyFill="1" applyBorder="1" applyAlignment="1">
      <alignment vertical="center"/>
    </xf>
    <xf numFmtId="3" fontId="15" fillId="3" borderId="1" xfId="0" applyNumberFormat="1" applyFont="1" applyFill="1" applyBorder="1" applyAlignment="1">
      <alignment horizontal="center" vertical="center" wrapText="1"/>
    </xf>
    <xf numFmtId="3" fontId="15" fillId="3" borderId="25" xfId="0" applyNumberFormat="1" applyFont="1" applyFill="1" applyBorder="1" applyAlignment="1">
      <alignment horizontal="center" vertical="center" wrapText="1"/>
    </xf>
    <xf numFmtId="0" fontId="9" fillId="3" borderId="19" xfId="0" applyFont="1" applyFill="1" applyBorder="1" applyAlignment="1">
      <alignment vertical="center"/>
    </xf>
    <xf numFmtId="3" fontId="15" fillId="3" borderId="19" xfId="0" applyNumberFormat="1" applyFont="1" applyFill="1" applyBorder="1" applyAlignment="1">
      <alignment horizontal="center" vertical="center" wrapText="1"/>
    </xf>
    <xf numFmtId="3" fontId="15" fillId="3" borderId="27" xfId="0" applyNumberFormat="1" applyFont="1" applyFill="1" applyBorder="1" applyAlignment="1">
      <alignment horizontal="center" vertical="center" wrapText="1"/>
    </xf>
    <xf numFmtId="0" fontId="9" fillId="3" borderId="21" xfId="0" applyFont="1" applyFill="1" applyBorder="1" applyAlignment="1">
      <alignment horizontal="center" vertical="center"/>
    </xf>
    <xf numFmtId="2" fontId="15" fillId="0" borderId="15" xfId="0" applyNumberFormat="1" applyFont="1" applyBorder="1" applyAlignment="1">
      <alignment horizontal="center" vertical="center"/>
    </xf>
    <xf numFmtId="0" fontId="9" fillId="3" borderId="45" xfId="0" applyFont="1" applyFill="1" applyBorder="1" applyAlignment="1">
      <alignment horizontal="center" vertical="center"/>
    </xf>
    <xf numFmtId="2" fontId="15" fillId="0" borderId="39" xfId="0" applyNumberFormat="1" applyFont="1" applyBorder="1" applyAlignment="1">
      <alignment horizontal="center" vertical="center"/>
    </xf>
    <xf numFmtId="0" fontId="15" fillId="3" borderId="0" xfId="0" applyFont="1" applyFill="1" applyAlignment="1">
      <alignment horizontal="center" vertical="center" wrapText="1"/>
    </xf>
    <xf numFmtId="2" fontId="15" fillId="3" borderId="0" xfId="0" applyNumberFormat="1" applyFont="1" applyFill="1" applyAlignment="1">
      <alignment horizontal="center" vertical="center"/>
    </xf>
    <xf numFmtId="0" fontId="14" fillId="3" borderId="81" xfId="0" applyFont="1" applyFill="1" applyBorder="1" applyAlignment="1">
      <alignment vertical="center"/>
    </xf>
    <xf numFmtId="0" fontId="11" fillId="3" borderId="81" xfId="0" applyFont="1" applyFill="1" applyBorder="1" applyAlignment="1">
      <alignment vertical="center"/>
    </xf>
    <xf numFmtId="0" fontId="3" fillId="3" borderId="81" xfId="0" applyFont="1" applyFill="1" applyBorder="1" applyAlignment="1">
      <alignment vertical="center" wrapText="1"/>
    </xf>
    <xf numFmtId="168" fontId="11" fillId="5" borderId="30" xfId="0" applyNumberFormat="1" applyFont="1" applyFill="1" applyBorder="1" applyAlignment="1">
      <alignment horizontal="center" vertical="center" wrapText="1"/>
    </xf>
    <xf numFmtId="2" fontId="15" fillId="0" borderId="22" xfId="0" applyNumberFormat="1" applyFont="1" applyBorder="1" applyAlignment="1">
      <alignment horizontal="center" vertical="center"/>
    </xf>
    <xf numFmtId="2" fontId="15" fillId="0" borderId="42" xfId="0" applyNumberFormat="1" applyFont="1" applyBorder="1" applyAlignment="1">
      <alignment horizontal="center" vertical="center"/>
    </xf>
    <xf numFmtId="2" fontId="15" fillId="3" borderId="0" xfId="0" applyNumberFormat="1" applyFont="1" applyFill="1" applyAlignment="1">
      <alignment horizontal="center" vertical="center" wrapText="1"/>
    </xf>
    <xf numFmtId="0" fontId="11" fillId="5" borderId="35"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1" fillId="5" borderId="40" xfId="0" applyFont="1" applyFill="1" applyBorder="1" applyAlignment="1">
      <alignment vertical="center"/>
    </xf>
    <xf numFmtId="0" fontId="10" fillId="5" borderId="96" xfId="0" applyFont="1" applyFill="1" applyBorder="1" applyAlignment="1">
      <alignment horizontal="center" vertical="center"/>
    </xf>
    <xf numFmtId="168" fontId="11" fillId="5" borderId="24" xfId="0" applyNumberFormat="1" applyFont="1" applyFill="1" applyBorder="1" applyAlignment="1">
      <alignment horizontal="center" vertical="center" wrapText="1"/>
    </xf>
    <xf numFmtId="0" fontId="0" fillId="17" borderId="1" xfId="0" applyFill="1" applyBorder="1" applyAlignment="1">
      <alignment horizontal="center" vertical="center"/>
    </xf>
    <xf numFmtId="0" fontId="0" fillId="5" borderId="1" xfId="0" applyFill="1" applyBorder="1" applyAlignment="1">
      <alignment vertical="center"/>
    </xf>
    <xf numFmtId="11" fontId="0" fillId="3" borderId="1" xfId="0" applyNumberFormat="1" applyFill="1" applyBorder="1" applyAlignment="1">
      <alignment horizontal="center" vertical="center"/>
    </xf>
    <xf numFmtId="168" fontId="0" fillId="5" borderId="1" xfId="0" applyNumberFormat="1" applyFill="1" applyBorder="1" applyAlignment="1">
      <alignment vertical="center"/>
    </xf>
    <xf numFmtId="0" fontId="43" fillId="18" borderId="97" xfId="3" applyFont="1" applyFill="1" applyBorder="1" applyAlignment="1">
      <alignment horizontal="center" vertical="center" wrapText="1"/>
    </xf>
    <xf numFmtId="0" fontId="0" fillId="0" borderId="98" xfId="0" applyBorder="1"/>
    <xf numFmtId="0" fontId="0" fillId="0" borderId="99" xfId="0" applyBorder="1"/>
    <xf numFmtId="0" fontId="0" fillId="19" borderId="0" xfId="0" applyFill="1"/>
    <xf numFmtId="9" fontId="0" fillId="0" borderId="86" xfId="0" applyNumberFormat="1" applyBorder="1" applyAlignment="1">
      <alignment horizontal="center"/>
    </xf>
    <xf numFmtId="9" fontId="0" fillId="0" borderId="44" xfId="0" applyNumberFormat="1" applyBorder="1" applyAlignment="1">
      <alignment horizontal="center"/>
    </xf>
    <xf numFmtId="0" fontId="0" fillId="0" borderId="86" xfId="0" applyBorder="1"/>
    <xf numFmtId="0" fontId="0" fillId="0" borderId="44" xfId="0" applyBorder="1"/>
    <xf numFmtId="0" fontId="11" fillId="4" borderId="2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1" fontId="2" fillId="2" borderId="27" xfId="2" applyNumberFormat="1" applyFont="1" applyFill="1" applyBorder="1" applyAlignment="1">
      <alignment horizontal="center" vertical="center" wrapText="1"/>
    </xf>
    <xf numFmtId="0" fontId="0" fillId="0" borderId="100" xfId="0" applyBorder="1"/>
    <xf numFmtId="0" fontId="28" fillId="3" borderId="59" xfId="0" applyFont="1" applyFill="1" applyBorder="1" applyAlignment="1">
      <alignment horizontal="left" vertical="center" wrapText="1"/>
    </xf>
    <xf numFmtId="0" fontId="40" fillId="4" borderId="93" xfId="0" applyFont="1" applyFill="1" applyBorder="1" applyAlignment="1">
      <alignment horizontal="center" vertical="center" wrapText="1"/>
    </xf>
    <xf numFmtId="0" fontId="33" fillId="0" borderId="8" xfId="0" applyFont="1" applyBorder="1" applyAlignment="1">
      <alignment vertical="center"/>
    </xf>
    <xf numFmtId="0" fontId="0" fillId="0" borderId="8" xfId="0" applyBorder="1"/>
    <xf numFmtId="0" fontId="0" fillId="3" borderId="12" xfId="0" applyFill="1" applyBorder="1"/>
    <xf numFmtId="0" fontId="0" fillId="3" borderId="31" xfId="0" applyFill="1" applyBorder="1" applyAlignment="1">
      <alignment vertical="center"/>
    </xf>
    <xf numFmtId="0" fontId="0" fillId="3" borderId="0" xfId="0" applyFill="1" applyBorder="1" applyAlignment="1">
      <alignment vertical="center"/>
    </xf>
    <xf numFmtId="0" fontId="0" fillId="3" borderId="8" xfId="0" quotePrefix="1" applyFill="1" applyBorder="1" applyAlignment="1">
      <alignment horizontal="center" vertical="center" wrapText="1"/>
    </xf>
    <xf numFmtId="0" fontId="0" fillId="3" borderId="6" xfId="0" applyFill="1" applyBorder="1" applyAlignment="1">
      <alignment horizontal="left" vertical="center"/>
    </xf>
    <xf numFmtId="0" fontId="9" fillId="3" borderId="0" xfId="0" applyFont="1" applyFill="1" applyBorder="1" applyAlignment="1">
      <alignment vertical="center"/>
    </xf>
    <xf numFmtId="3" fontId="15" fillId="3" borderId="0" xfId="0" applyNumberFormat="1"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2" fontId="15" fillId="0" borderId="21" xfId="0" applyNumberFormat="1" applyFont="1" applyBorder="1" applyAlignment="1">
      <alignment horizontal="center" vertical="center"/>
    </xf>
    <xf numFmtId="2" fontId="15" fillId="0" borderId="49" xfId="0" applyNumberFormat="1" applyFont="1" applyBorder="1" applyAlignment="1">
      <alignment horizontal="center" vertical="center"/>
    </xf>
    <xf numFmtId="0" fontId="0" fillId="3" borderId="16" xfId="0" quotePrefix="1" applyFill="1" applyBorder="1" applyAlignment="1">
      <alignment horizontal="center" vertical="center"/>
    </xf>
    <xf numFmtId="11" fontId="0" fillId="3" borderId="8" xfId="0" applyNumberFormat="1" applyFill="1" applyBorder="1" applyAlignment="1">
      <alignment horizontal="center" vertical="center"/>
    </xf>
    <xf numFmtId="0" fontId="0" fillId="3" borderId="31" xfId="0" applyFill="1" applyBorder="1" applyAlignment="1">
      <alignment horizontal="left" vertical="center"/>
    </xf>
    <xf numFmtId="11" fontId="0" fillId="3" borderId="17" xfId="0" applyNumberFormat="1" applyFill="1" applyBorder="1" applyAlignment="1">
      <alignment horizontal="center" vertical="center"/>
    </xf>
    <xf numFmtId="0" fontId="9" fillId="3" borderId="62" xfId="0" applyFont="1" applyFill="1" applyBorder="1" applyAlignment="1">
      <alignment horizontal="center" vertical="center" wrapText="1"/>
    </xf>
    <xf numFmtId="0" fontId="15" fillId="3" borderId="67" xfId="0" applyFont="1" applyFill="1" applyBorder="1" applyAlignment="1">
      <alignment horizontal="center" vertical="center"/>
    </xf>
    <xf numFmtId="166" fontId="9" fillId="0" borderId="67" xfId="0" applyNumberFormat="1" applyFont="1" applyFill="1" applyBorder="1" applyAlignment="1">
      <alignment horizontal="center" vertical="center" wrapText="1"/>
    </xf>
    <xf numFmtId="166" fontId="9" fillId="0" borderId="71" xfId="0" applyNumberFormat="1" applyFont="1" applyFill="1" applyBorder="1" applyAlignment="1">
      <alignment horizontal="center" vertical="center" wrapText="1"/>
    </xf>
    <xf numFmtId="0" fontId="40" fillId="4" borderId="84" xfId="0" applyFont="1" applyFill="1" applyBorder="1" applyAlignment="1">
      <alignment vertical="center" wrapText="1"/>
    </xf>
    <xf numFmtId="0" fontId="34" fillId="9" borderId="5" xfId="0" applyFont="1" applyFill="1" applyBorder="1" applyAlignment="1">
      <alignment horizontal="center" vertical="center" wrapText="1"/>
    </xf>
    <xf numFmtId="11" fontId="15" fillId="0" borderId="15" xfId="0" applyNumberFormat="1" applyFont="1" applyBorder="1" applyAlignment="1">
      <alignment horizontal="center" vertical="center"/>
    </xf>
    <xf numFmtId="11" fontId="15" fillId="0" borderId="19" xfId="0" applyNumberFormat="1" applyFont="1" applyBorder="1" applyAlignment="1">
      <alignment horizontal="center" vertical="center"/>
    </xf>
    <xf numFmtId="11" fontId="15" fillId="0" borderId="22" xfId="0" applyNumberFormat="1" applyFont="1" applyBorder="1" applyAlignment="1">
      <alignment horizontal="center" vertical="center"/>
    </xf>
    <xf numFmtId="11" fontId="15" fillId="0" borderId="27" xfId="0" applyNumberFormat="1" applyFont="1" applyBorder="1" applyAlignment="1">
      <alignment horizontal="center" vertical="center"/>
    </xf>
    <xf numFmtId="0" fontId="24" fillId="3" borderId="6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10" fillId="3" borderId="101" xfId="0" applyFont="1" applyFill="1" applyBorder="1" applyAlignment="1">
      <alignment horizontal="center" vertical="center"/>
    </xf>
    <xf numFmtId="0" fontId="28" fillId="5" borderId="33" xfId="0" applyFont="1" applyFill="1" applyBorder="1" applyAlignment="1">
      <alignment horizontal="center" vertical="center" wrapText="1"/>
    </xf>
    <xf numFmtId="0" fontId="10" fillId="3" borderId="101" xfId="0" applyFont="1" applyFill="1" applyBorder="1" applyAlignment="1">
      <alignment horizontal="center" vertical="center" wrapText="1"/>
    </xf>
    <xf numFmtId="0" fontId="34" fillId="9" borderId="96" xfId="0" applyFont="1" applyFill="1" applyBorder="1" applyAlignment="1">
      <alignment vertical="center" wrapText="1"/>
    </xf>
    <xf numFmtId="0" fontId="34" fillId="9" borderId="5" xfId="0" applyFont="1" applyFill="1" applyBorder="1" applyAlignment="1">
      <alignment vertical="center" wrapText="1"/>
    </xf>
    <xf numFmtId="1" fontId="0" fillId="3" borderId="21" xfId="0" applyNumberFormat="1" applyFill="1" applyBorder="1" applyAlignment="1">
      <alignment horizontal="center" vertical="center" wrapText="1"/>
    </xf>
    <xf numFmtId="1" fontId="0" fillId="3" borderId="24" xfId="0" applyNumberFormat="1" applyFill="1" applyBorder="1" applyAlignment="1">
      <alignment horizontal="center" vertical="center" wrapText="1"/>
    </xf>
    <xf numFmtId="1" fontId="0" fillId="3" borderId="45" xfId="0" applyNumberFormat="1" applyFill="1" applyBorder="1" applyAlignment="1">
      <alignment horizontal="center" vertical="center" wrapText="1"/>
    </xf>
    <xf numFmtId="2" fontId="0" fillId="3" borderId="20" xfId="0" applyNumberFormat="1" applyFill="1" applyBorder="1" applyAlignment="1">
      <alignment horizontal="center" vertical="center" wrapText="1"/>
    </xf>
    <xf numFmtId="2" fontId="0" fillId="3" borderId="23" xfId="0" applyNumberFormat="1" applyFill="1" applyBorder="1" applyAlignment="1">
      <alignment horizontal="center" vertical="center" wrapText="1"/>
    </xf>
    <xf numFmtId="4" fontId="0" fillId="15" borderId="25" xfId="0" applyNumberFormat="1" applyFill="1" applyBorder="1" applyAlignment="1">
      <alignment horizontal="center" vertical="center" wrapText="1"/>
    </xf>
    <xf numFmtId="2" fontId="0" fillId="3" borderId="26" xfId="0" applyNumberFormat="1" applyFill="1" applyBorder="1" applyAlignment="1">
      <alignment horizontal="center" vertical="center" wrapText="1"/>
    </xf>
    <xf numFmtId="0" fontId="0" fillId="3" borderId="2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5" xfId="0" applyFill="1" applyBorder="1" applyAlignment="1">
      <alignment horizontal="center" vertical="center" wrapText="1"/>
    </xf>
    <xf numFmtId="0" fontId="3" fillId="15" borderId="26" xfId="0" applyFont="1" applyFill="1" applyBorder="1" applyAlignment="1">
      <alignment horizontal="center" vertical="center" wrapText="1"/>
    </xf>
    <xf numFmtId="4" fontId="0" fillId="15" borderId="20" xfId="0" applyNumberFormat="1" applyFill="1" applyBorder="1" applyAlignment="1">
      <alignment horizontal="center" vertical="center" wrapText="1"/>
    </xf>
    <xf numFmtId="4" fontId="0" fillId="15" borderId="23" xfId="0" applyNumberFormat="1" applyFill="1" applyBorder="1" applyAlignment="1">
      <alignment horizontal="center" vertical="center" wrapText="1"/>
    </xf>
    <xf numFmtId="4" fontId="0" fillId="15" borderId="26" xfId="0" applyNumberFormat="1" applyFill="1" applyBorder="1" applyAlignment="1">
      <alignment horizontal="center" vertical="center" wrapText="1"/>
    </xf>
    <xf numFmtId="0" fontId="0" fillId="0" borderId="0" xfId="0" applyAlignment="1">
      <alignment horizontal="center"/>
    </xf>
    <xf numFmtId="4" fontId="0" fillId="0" borderId="55" xfId="0" applyNumberFormat="1" applyBorder="1"/>
    <xf numFmtId="4" fontId="0" fillId="0" borderId="59" xfId="0" applyNumberFormat="1" applyBorder="1"/>
    <xf numFmtId="11" fontId="0" fillId="0" borderId="59" xfId="0" applyNumberFormat="1" applyBorder="1"/>
    <xf numFmtId="11" fontId="0" fillId="0" borderId="69" xfId="0" applyNumberFormat="1" applyBorder="1"/>
    <xf numFmtId="4" fontId="0" fillId="0" borderId="56" xfId="0" applyNumberFormat="1" applyBorder="1"/>
    <xf numFmtId="4" fontId="0" fillId="0" borderId="73" xfId="0" applyNumberFormat="1" applyBorder="1"/>
    <xf numFmtId="4" fontId="0" fillId="0" borderId="0" xfId="0" applyNumberFormat="1" applyBorder="1"/>
    <xf numFmtId="4" fontId="0" fillId="0" borderId="47" xfId="0" applyNumberFormat="1" applyBorder="1"/>
    <xf numFmtId="11" fontId="0" fillId="0" borderId="0" xfId="0" applyNumberFormat="1" applyBorder="1"/>
    <xf numFmtId="11" fontId="0" fillId="0" borderId="47" xfId="0" applyNumberFormat="1" applyBorder="1"/>
    <xf numFmtId="11" fontId="0" fillId="0" borderId="81" xfId="0" applyNumberFormat="1" applyBorder="1"/>
    <xf numFmtId="11" fontId="0" fillId="0" borderId="74" xfId="0" applyNumberFormat="1" applyBorder="1"/>
    <xf numFmtId="4" fontId="0" fillId="0" borderId="104" xfId="0" applyNumberFormat="1" applyBorder="1"/>
    <xf numFmtId="4" fontId="0" fillId="0" borderId="11" xfId="0" applyNumberFormat="1" applyBorder="1"/>
    <xf numFmtId="4" fontId="0" fillId="0" borderId="105" xfId="0" applyNumberFormat="1" applyBorder="1"/>
    <xf numFmtId="4" fontId="0" fillId="0" borderId="106" xfId="0" applyNumberFormat="1" applyBorder="1"/>
    <xf numFmtId="4" fontId="0" fillId="0" borderId="13" xfId="0" applyNumberFormat="1" applyBorder="1"/>
    <xf numFmtId="4" fontId="0" fillId="0" borderId="107" xfId="0" applyNumberFormat="1" applyBorder="1"/>
    <xf numFmtId="0" fontId="10" fillId="17" borderId="24" xfId="0" applyFont="1" applyFill="1" applyBorder="1" applyAlignment="1">
      <alignment vertical="center" wrapText="1"/>
    </xf>
    <xf numFmtId="0" fontId="10" fillId="17" borderId="1" xfId="0" applyFont="1" applyFill="1" applyBorder="1" applyAlignment="1">
      <alignment horizontal="center" vertical="center"/>
    </xf>
    <xf numFmtId="0" fontId="28" fillId="5" borderId="1" xfId="0" applyFont="1" applyFill="1" applyBorder="1" applyAlignment="1">
      <alignment horizontal="left" vertical="center" wrapText="1"/>
    </xf>
    <xf numFmtId="11" fontId="9" fillId="3" borderId="1" xfId="0" applyNumberFormat="1" applyFont="1" applyFill="1" applyBorder="1" applyAlignment="1">
      <alignment horizontal="center" vertical="center"/>
    </xf>
    <xf numFmtId="0" fontId="11" fillId="5" borderId="26" xfId="0" applyFont="1" applyFill="1" applyBorder="1" applyAlignment="1">
      <alignment horizontal="center" vertical="center" wrapText="1"/>
    </xf>
    <xf numFmtId="11" fontId="15" fillId="0" borderId="20" xfId="0" applyNumberFormat="1" applyFont="1" applyBorder="1" applyAlignment="1">
      <alignment horizontal="center" vertical="center"/>
    </xf>
    <xf numFmtId="11" fontId="15" fillId="0" borderId="26" xfId="0" applyNumberFormat="1" applyFont="1" applyBorder="1" applyAlignment="1">
      <alignment horizontal="center" vertical="center"/>
    </xf>
    <xf numFmtId="0" fontId="0" fillId="3" borderId="16" xfId="0" quotePrefix="1" applyFill="1" applyBorder="1" applyAlignment="1">
      <alignment horizontal="left" vertical="center" wrapText="1"/>
    </xf>
    <xf numFmtId="0" fontId="0" fillId="3" borderId="8" xfId="0" quotePrefix="1" applyFill="1" applyBorder="1" applyAlignment="1">
      <alignment horizontal="left" vertical="center" wrapText="1"/>
    </xf>
    <xf numFmtId="0" fontId="0" fillId="0" borderId="1" xfId="0" applyBorder="1" applyAlignment="1">
      <alignment vertical="center" wrapText="1"/>
    </xf>
    <xf numFmtId="0" fontId="0" fillId="0" borderId="0" xfId="0" applyAlignment="1">
      <alignment vertical="center" wrapText="1"/>
    </xf>
    <xf numFmtId="0" fontId="1" fillId="0" borderId="0" xfId="0" applyFont="1" applyAlignment="1">
      <alignment vertical="center"/>
    </xf>
    <xf numFmtId="0" fontId="15" fillId="0" borderId="39" xfId="0" applyFont="1" applyBorder="1" applyAlignment="1">
      <alignment horizontal="center" vertical="center" wrapText="1"/>
    </xf>
    <xf numFmtId="0" fontId="11" fillId="5" borderId="22" xfId="0" applyFont="1" applyFill="1" applyBorder="1" applyAlignment="1">
      <alignment horizontal="center" vertical="center" wrapText="1"/>
    </xf>
    <xf numFmtId="0" fontId="11" fillId="5" borderId="25" xfId="0" applyFont="1" applyFill="1" applyBorder="1" applyAlignment="1">
      <alignment horizontal="center" vertical="center" wrapText="1"/>
    </xf>
    <xf numFmtId="11" fontId="15" fillId="0" borderId="39" xfId="0" applyNumberFormat="1" applyFont="1" applyBorder="1" applyAlignment="1">
      <alignment horizontal="center" vertical="center" wrapText="1"/>
    </xf>
    <xf numFmtId="0" fontId="11" fillId="5" borderId="1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6" fillId="3" borderId="0" xfId="0" applyFont="1" applyFill="1" applyAlignment="1">
      <alignment horizontal="left" vertical="center"/>
    </xf>
    <xf numFmtId="0" fontId="11" fillId="5" borderId="1"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6" xfId="0" applyFont="1" applyFill="1" applyBorder="1" applyAlignment="1">
      <alignment horizontal="center" vertical="center"/>
    </xf>
    <xf numFmtId="2" fontId="15" fillId="0" borderId="39" xfId="0" applyNumberFormat="1" applyFont="1" applyBorder="1" applyAlignment="1">
      <alignment horizontal="center" vertical="center" wrapText="1"/>
    </xf>
    <xf numFmtId="0" fontId="9" fillId="3" borderId="66"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3" borderId="0" xfId="0" applyFill="1" applyAlignment="1">
      <alignment horizontal="left" vertical="top" wrapText="1"/>
    </xf>
    <xf numFmtId="0" fontId="1" fillId="3" borderId="13" xfId="0" applyFont="1" applyFill="1" applyBorder="1" applyAlignment="1">
      <alignment horizontal="center"/>
    </xf>
    <xf numFmtId="0" fontId="1" fillId="9" borderId="85" xfId="0" applyFont="1" applyFill="1" applyBorder="1" applyAlignment="1">
      <alignment horizontal="center" vertical="center" wrapText="1"/>
    </xf>
    <xf numFmtId="164" fontId="0" fillId="0" borderId="28" xfId="0" applyNumberFormat="1" applyBorder="1"/>
    <xf numFmtId="164" fontId="0" fillId="0" borderId="28" xfId="0" applyNumberFormat="1" applyBorder="1"/>
    <xf numFmtId="0" fontId="0" fillId="3" borderId="0" xfId="0" applyFill="1" applyBorder="1"/>
    <xf numFmtId="0" fontId="11" fillId="5" borderId="22"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6" fillId="3" borderId="0" xfId="0" applyFont="1" applyFill="1" applyAlignment="1">
      <alignment horizontal="left" vertical="center"/>
    </xf>
    <xf numFmtId="0" fontId="11" fillId="5" borderId="1"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3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0" borderId="20" xfId="0" applyFont="1" applyBorder="1" applyAlignment="1">
      <alignment horizontal="center"/>
    </xf>
    <xf numFmtId="0" fontId="0" fillId="0" borderId="15" xfId="0" applyBorder="1" applyAlignment="1">
      <alignment wrapText="1"/>
    </xf>
    <xf numFmtId="164" fontId="0" fillId="0" borderId="15" xfId="0" applyNumberFormat="1" applyBorder="1"/>
    <xf numFmtId="1" fontId="0" fillId="0" borderId="15" xfId="0" applyNumberFormat="1" applyBorder="1" applyAlignment="1">
      <alignment horizontal="center" wrapText="1"/>
    </xf>
    <xf numFmtId="0" fontId="0" fillId="0" borderId="39" xfId="0" applyBorder="1" applyAlignment="1">
      <alignment wrapText="1"/>
    </xf>
    <xf numFmtId="0" fontId="0" fillId="0" borderId="39" xfId="0" applyBorder="1" applyAlignment="1">
      <alignment horizontal="center"/>
    </xf>
    <xf numFmtId="0" fontId="0" fillId="0" borderId="19" xfId="0" applyBorder="1"/>
    <xf numFmtId="164" fontId="0" fillId="0" borderId="19" xfId="0" applyNumberFormat="1" applyBorder="1"/>
    <xf numFmtId="1" fontId="0" fillId="0" borderId="19" xfId="0" applyNumberFormat="1" applyBorder="1" applyAlignment="1">
      <alignment horizontal="center" wrapText="1"/>
    </xf>
    <xf numFmtId="3" fontId="0" fillId="3" borderId="28" xfId="0" applyNumberFormat="1" applyFill="1" applyBorder="1" applyAlignment="1">
      <alignment horizontal="center" vertical="center" wrapText="1"/>
    </xf>
    <xf numFmtId="0" fontId="16" fillId="3" borderId="0" xfId="0" applyFont="1" applyFill="1" applyAlignment="1">
      <alignment vertical="center"/>
    </xf>
    <xf numFmtId="0" fontId="9" fillId="9" borderId="39" xfId="0" applyFont="1" applyFill="1" applyBorder="1" applyAlignment="1">
      <alignment horizontal="center" wrapText="1"/>
    </xf>
    <xf numFmtId="2" fontId="9" fillId="9" borderId="49" xfId="0" applyNumberFormat="1" applyFont="1" applyFill="1" applyBorder="1" applyAlignment="1">
      <alignment horizontal="center"/>
    </xf>
    <xf numFmtId="2" fontId="0" fillId="0" borderId="39" xfId="0" applyNumberFormat="1" applyBorder="1" applyAlignment="1">
      <alignment horizontal="center"/>
    </xf>
    <xf numFmtId="0" fontId="0" fillId="0" borderId="42" xfId="0" applyBorder="1" applyAlignment="1">
      <alignment horizontal="center"/>
    </xf>
    <xf numFmtId="0" fontId="0" fillId="0" borderId="0" xfId="0" applyFill="1"/>
    <xf numFmtId="0" fontId="9" fillId="9" borderId="23" xfId="0" applyFont="1" applyFill="1" applyBorder="1" applyAlignment="1">
      <alignment horizontal="left" wrapText="1"/>
    </xf>
    <xf numFmtId="0" fontId="9" fillId="9" borderId="26" xfId="0" applyFont="1" applyFill="1" applyBorder="1" applyAlignment="1">
      <alignment horizontal="left" wrapText="1"/>
    </xf>
    <xf numFmtId="0" fontId="9" fillId="9" borderId="19" xfId="0" applyFont="1" applyFill="1" applyBorder="1" applyAlignment="1">
      <alignment horizontal="left" wrapText="1"/>
    </xf>
    <xf numFmtId="0" fontId="9" fillId="9" borderId="94" xfId="0" applyFont="1" applyFill="1" applyBorder="1" applyAlignment="1">
      <alignment horizontal="left" wrapText="1"/>
    </xf>
    <xf numFmtId="0" fontId="34" fillId="9" borderId="83" xfId="0" applyFont="1" applyFill="1" applyBorder="1" applyAlignment="1">
      <alignment horizontal="center" vertical="center" wrapText="1"/>
    </xf>
    <xf numFmtId="0" fontId="9" fillId="3" borderId="0" xfId="0" applyFont="1" applyFill="1" applyAlignment="1">
      <alignment wrapText="1"/>
    </xf>
    <xf numFmtId="0" fontId="9" fillId="0" borderId="0" xfId="0" applyFont="1" applyAlignment="1">
      <alignment horizontal="center" wrapText="1"/>
    </xf>
    <xf numFmtId="0" fontId="0" fillId="0" borderId="22" xfId="0" applyBorder="1" applyAlignment="1">
      <alignment wrapText="1"/>
    </xf>
    <xf numFmtId="0" fontId="0" fillId="0" borderId="25" xfId="0" applyBorder="1" applyAlignment="1">
      <alignment wrapText="1"/>
    </xf>
    <xf numFmtId="0" fontId="0" fillId="0" borderId="29" xfId="0" applyBorder="1" applyAlignment="1">
      <alignment wrapText="1"/>
    </xf>
    <xf numFmtId="0" fontId="0" fillId="0" borderId="28" xfId="0" applyBorder="1" applyAlignment="1">
      <alignment horizontal="left" wrapText="1"/>
    </xf>
    <xf numFmtId="0" fontId="0" fillId="0" borderId="1" xfId="0" applyBorder="1" applyAlignment="1">
      <alignment horizontal="left" wrapText="1"/>
    </xf>
    <xf numFmtId="0" fontId="2" fillId="0" borderId="25" xfId="0" applyFont="1" applyBorder="1" applyAlignment="1">
      <alignment wrapText="1"/>
    </xf>
    <xf numFmtId="0" fontId="0" fillId="0" borderId="42" xfId="0" applyBorder="1" applyAlignment="1">
      <alignment wrapText="1"/>
    </xf>
    <xf numFmtId="0" fontId="9" fillId="0" borderId="1" xfId="0" applyFont="1" applyBorder="1" applyAlignment="1">
      <alignment wrapText="1"/>
    </xf>
    <xf numFmtId="0" fontId="9" fillId="0" borderId="25" xfId="0" applyFont="1" applyBorder="1" applyAlignment="1">
      <alignment wrapText="1"/>
    </xf>
    <xf numFmtId="0" fontId="45" fillId="0" borderId="0" xfId="0" applyFont="1" applyAlignment="1">
      <alignment horizontal="left" vertical="center"/>
    </xf>
    <xf numFmtId="0" fontId="46" fillId="0" borderId="0" xfId="0" quotePrefix="1" applyFont="1"/>
    <xf numFmtId="0" fontId="0" fillId="0" borderId="0" xfId="0" applyFill="1" applyBorder="1" applyAlignment="1">
      <alignment vertical="center" wrapText="1"/>
    </xf>
    <xf numFmtId="0" fontId="0" fillId="0" borderId="0" xfId="0" applyAlignment="1">
      <alignment horizontal="left" vertical="center" wrapText="1"/>
    </xf>
    <xf numFmtId="0" fontId="16" fillId="3" borderId="0" xfId="0" applyFont="1" applyFill="1" applyAlignment="1">
      <alignment horizontal="left" vertical="center"/>
    </xf>
    <xf numFmtId="0" fontId="11" fillId="5" borderId="20"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28"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39"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2" xfId="0" applyFont="1" applyBorder="1" applyAlignment="1">
      <alignment horizontal="center" vertical="center" wrapText="1"/>
    </xf>
    <xf numFmtId="0" fontId="11" fillId="5" borderId="22"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0" fillId="3" borderId="34" xfId="0" quotePrefix="1"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5" fillId="0" borderId="34" xfId="0" quotePrefix="1" applyFont="1" applyBorder="1" applyAlignment="1">
      <alignment horizontal="center" vertical="center" wrapText="1"/>
    </xf>
    <xf numFmtId="0" fontId="15" fillId="0" borderId="42" xfId="0" quotePrefix="1" applyFont="1" applyBorder="1" applyAlignment="1">
      <alignment horizontal="center" vertical="center" wrapText="1"/>
    </xf>
    <xf numFmtId="0" fontId="11" fillId="2" borderId="33"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0" fontId="15" fillId="2" borderId="33"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41" xfId="0" applyFont="1" applyFill="1" applyBorder="1" applyAlignment="1">
      <alignment horizontal="center" vertical="center" wrapText="1"/>
    </xf>
    <xf numFmtId="11" fontId="15" fillId="0" borderId="30" xfId="0" applyNumberFormat="1" applyFont="1" applyBorder="1" applyAlignment="1">
      <alignment horizontal="center" vertical="center" wrapText="1"/>
    </xf>
    <xf numFmtId="11" fontId="15" fillId="0" borderId="39" xfId="0" applyNumberFormat="1" applyFont="1" applyBorder="1" applyAlignment="1">
      <alignment horizontal="center" vertical="center" wrapText="1"/>
    </xf>
    <xf numFmtId="0" fontId="15" fillId="0" borderId="30" xfId="0" applyFont="1" applyBorder="1" applyAlignment="1">
      <alignment horizontal="center" vertical="center" wrapText="1"/>
    </xf>
    <xf numFmtId="0" fontId="11" fillId="5" borderId="23"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34" xfId="0" applyFont="1" applyBorder="1" applyAlignment="1">
      <alignment horizontal="center" vertical="center" wrapText="1"/>
    </xf>
    <xf numFmtId="0" fontId="11" fillId="2" borderId="48"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46" xfId="0" applyFont="1" applyBorder="1" applyAlignment="1">
      <alignment horizontal="center" vertical="center" wrapText="1"/>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2" fillId="3" borderId="47"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4" fillId="3" borderId="0" xfId="0" applyFont="1" applyFill="1" applyAlignment="1">
      <alignment horizontal="left" wrapText="1"/>
    </xf>
    <xf numFmtId="0" fontId="11" fillId="5" borderId="26"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168" fontId="9" fillId="2" borderId="23" xfId="0" applyNumberFormat="1" applyFont="1" applyFill="1" applyBorder="1" applyAlignment="1">
      <alignment horizontal="center" vertical="center" wrapText="1"/>
    </xf>
    <xf numFmtId="0" fontId="9" fillId="2" borderId="26" xfId="0" applyFont="1" applyFill="1" applyBorder="1" applyAlignment="1">
      <alignment horizontal="center" vertical="center"/>
    </xf>
    <xf numFmtId="0" fontId="11" fillId="16" borderId="15" xfId="0" applyFont="1" applyFill="1" applyBorder="1" applyAlignment="1">
      <alignment horizontal="center" vertical="center" wrapText="1"/>
    </xf>
    <xf numFmtId="0" fontId="11" fillId="16" borderId="22" xfId="0" applyFont="1" applyFill="1" applyBorder="1" applyAlignment="1">
      <alignment horizontal="center" vertical="center" wrapText="1"/>
    </xf>
    <xf numFmtId="0" fontId="15" fillId="2" borderId="35" xfId="0" quotePrefix="1" applyFont="1" applyFill="1" applyBorder="1" applyAlignment="1">
      <alignment horizontal="center" vertical="center" wrapText="1"/>
    </xf>
    <xf numFmtId="2" fontId="15" fillId="0" borderId="40" xfId="0" applyNumberFormat="1" applyFont="1" applyBorder="1" applyAlignment="1">
      <alignment horizontal="center" vertical="center" wrapText="1"/>
    </xf>
    <xf numFmtId="2" fontId="15" fillId="0" borderId="39" xfId="0" applyNumberFormat="1" applyFont="1" applyBorder="1" applyAlignment="1">
      <alignment horizontal="center" vertical="center" wrapText="1"/>
    </xf>
    <xf numFmtId="0" fontId="15" fillId="2" borderId="20" xfId="0" quotePrefix="1"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1" fillId="5" borderId="46" xfId="0" applyFont="1" applyFill="1" applyBorder="1" applyAlignment="1">
      <alignment horizontal="center" vertical="center"/>
    </xf>
    <xf numFmtId="11" fontId="15" fillId="0" borderId="40" xfId="0" applyNumberFormat="1" applyFont="1" applyBorder="1" applyAlignment="1">
      <alignment horizontal="center" vertical="center" wrapText="1"/>
    </xf>
    <xf numFmtId="11" fontId="9" fillId="0" borderId="6" xfId="0" quotePrefix="1" applyNumberFormat="1" applyFont="1" applyBorder="1" applyAlignment="1">
      <alignment horizontal="center" vertical="center" wrapText="1"/>
    </xf>
    <xf numFmtId="0" fontId="9" fillId="0" borderId="45" xfId="0" applyFont="1" applyBorder="1" applyAlignment="1">
      <alignment horizontal="center" vertical="center" wrapText="1"/>
    </xf>
    <xf numFmtId="0" fontId="11" fillId="5" borderId="39" xfId="0" applyFont="1" applyFill="1" applyBorder="1" applyAlignment="1">
      <alignment horizontal="center" vertical="center"/>
    </xf>
    <xf numFmtId="0" fontId="11" fillId="5" borderId="87" xfId="0" applyFont="1" applyFill="1" applyBorder="1" applyAlignment="1">
      <alignment horizontal="center" vertical="center" wrapText="1"/>
    </xf>
    <xf numFmtId="0" fontId="11" fillId="5" borderId="88" xfId="0" applyFont="1" applyFill="1" applyBorder="1" applyAlignment="1">
      <alignment horizontal="center" vertical="center" wrapText="1"/>
    </xf>
    <xf numFmtId="0" fontId="11" fillId="5" borderId="89"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65" xfId="0" applyFont="1" applyFill="1" applyBorder="1" applyAlignment="1">
      <alignment horizontal="center" vertical="center" wrapText="1"/>
    </xf>
    <xf numFmtId="0" fontId="15" fillId="3"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4" xfId="0" applyFont="1" applyBorder="1" applyAlignment="1">
      <alignment horizontal="center" vertical="center"/>
    </xf>
    <xf numFmtId="0" fontId="9" fillId="0" borderId="70" xfId="0" applyFont="1" applyBorder="1" applyAlignment="1">
      <alignment horizontal="center" vertical="center"/>
    </xf>
    <xf numFmtId="0" fontId="9" fillId="0" borderId="57" xfId="0" applyFont="1" applyBorder="1" applyAlignment="1">
      <alignment horizontal="center" vertical="center" wrapText="1"/>
    </xf>
    <xf numFmtId="0" fontId="9" fillId="0" borderId="57" xfId="0" applyFont="1" applyBorder="1" applyAlignment="1">
      <alignment horizontal="center" vertical="center"/>
    </xf>
    <xf numFmtId="0" fontId="9" fillId="0" borderId="66" xfId="0" applyFont="1" applyBorder="1" applyAlignment="1">
      <alignment horizontal="center" vertical="center"/>
    </xf>
    <xf numFmtId="0" fontId="9" fillId="0" borderId="61" xfId="0" applyFont="1" applyBorder="1" applyAlignment="1">
      <alignment horizontal="center" vertical="center"/>
    </xf>
    <xf numFmtId="0" fontId="9" fillId="0" borderId="65" xfId="0" applyFont="1" applyBorder="1" applyAlignment="1">
      <alignment horizontal="center" vertical="center"/>
    </xf>
    <xf numFmtId="0" fontId="9" fillId="0" borderId="78" xfId="0" applyFont="1" applyBorder="1" applyAlignment="1">
      <alignment horizontal="center" vertical="center"/>
    </xf>
    <xf numFmtId="0" fontId="10" fillId="9" borderId="56" xfId="0" applyFont="1" applyFill="1" applyBorder="1" applyAlignment="1">
      <alignment horizontal="center" vertical="center" wrapText="1"/>
    </xf>
    <xf numFmtId="0" fontId="10" fillId="9" borderId="73"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9"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91" xfId="0" applyFont="1" applyFill="1" applyBorder="1" applyAlignment="1">
      <alignment horizontal="center" vertical="center" wrapText="1"/>
    </xf>
    <xf numFmtId="0" fontId="3" fillId="15" borderId="92" xfId="0" applyFont="1" applyFill="1" applyBorder="1" applyAlignment="1">
      <alignment horizontal="center" vertical="center" wrapText="1"/>
    </xf>
    <xf numFmtId="0" fontId="1" fillId="14" borderId="81" xfId="0" applyFont="1" applyFill="1" applyBorder="1" applyAlignment="1">
      <alignment horizontal="center"/>
    </xf>
    <xf numFmtId="0" fontId="1" fillId="9" borderId="87" xfId="0" applyFont="1" applyFill="1" applyBorder="1" applyAlignment="1">
      <alignment horizontal="center"/>
    </xf>
    <xf numFmtId="0" fontId="1" fillId="9" borderId="88" xfId="0" applyFont="1" applyFill="1" applyBorder="1" applyAlignment="1">
      <alignment horizontal="center"/>
    </xf>
    <xf numFmtId="0" fontId="1" fillId="15" borderId="87" xfId="0" applyFont="1" applyFill="1" applyBorder="1" applyAlignment="1">
      <alignment horizontal="center"/>
    </xf>
    <xf numFmtId="0" fontId="1" fillId="15" borderId="88" xfId="0" applyFont="1" applyFill="1" applyBorder="1" applyAlignment="1">
      <alignment horizontal="center"/>
    </xf>
    <xf numFmtId="0" fontId="1" fillId="15" borderId="89" xfId="0" applyFont="1" applyFill="1" applyBorder="1" applyAlignment="1">
      <alignment horizontal="center"/>
    </xf>
    <xf numFmtId="0" fontId="34" fillId="9" borderId="40"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34" fillId="9" borderId="102" xfId="0" applyFont="1" applyFill="1" applyBorder="1" applyAlignment="1">
      <alignment horizontal="center" vertical="center" wrapText="1"/>
    </xf>
    <xf numFmtId="0" fontId="34" fillId="9" borderId="59" xfId="0" applyFont="1" applyFill="1" applyBorder="1" applyAlignment="1">
      <alignment horizontal="center" vertical="center" wrapText="1"/>
    </xf>
    <xf numFmtId="0" fontId="34" fillId="9" borderId="69"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4" fillId="9" borderId="19"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46"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3" fillId="15" borderId="102" xfId="0" applyFont="1" applyFill="1" applyBorder="1" applyAlignment="1">
      <alignment horizontal="center" vertical="center" wrapText="1"/>
    </xf>
    <xf numFmtId="0" fontId="3" fillId="15" borderId="10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10" fillId="2" borderId="96"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5" xfId="0" applyFill="1" applyBorder="1" applyAlignment="1">
      <alignment horizontal="left" wrapText="1"/>
    </xf>
    <xf numFmtId="0" fontId="0" fillId="3" borderId="0" xfId="0" applyFill="1" applyAlignment="1">
      <alignment horizontal="left" wrapText="1"/>
    </xf>
    <xf numFmtId="0" fontId="1" fillId="3" borderId="13" xfId="0" applyFont="1" applyFill="1" applyBorder="1" applyAlignment="1">
      <alignment horizontal="center"/>
    </xf>
    <xf numFmtId="0" fontId="0" fillId="3" borderId="56" xfId="0" applyFill="1" applyBorder="1" applyAlignment="1">
      <alignment horizontal="left" vertical="top" wrapText="1"/>
    </xf>
    <xf numFmtId="0" fontId="0" fillId="3" borderId="0" xfId="0" applyFill="1" applyAlignment="1">
      <alignment horizontal="left" vertical="top" wrapText="1"/>
    </xf>
    <xf numFmtId="0" fontId="26" fillId="0" borderId="81" xfId="0" applyFont="1" applyBorder="1" applyAlignment="1">
      <alignment horizontal="center"/>
    </xf>
  </cellXfs>
  <cellStyles count="61">
    <cellStyle name="Input" xfId="1" builtinId="20"/>
    <cellStyle name="Normal" xfId="0" builtinId="0"/>
    <cellStyle name="Normal 10" xfId="12" xr:uid="{FBC3B9DD-68A1-407A-81B5-7E72F3FFB410}"/>
    <cellStyle name="Normal 11" xfId="13" xr:uid="{C63BB847-EAEE-400B-8AB5-F550011AD56B}"/>
    <cellStyle name="Normal 12" xfId="14" xr:uid="{8B98F49E-6734-4684-AA10-4AF85E1A2471}"/>
    <cellStyle name="Normal 13" xfId="15" xr:uid="{B4A5B1F2-CFE5-45FA-9ED3-2BF195307563}"/>
    <cellStyle name="Normal 14" xfId="16" xr:uid="{16099FB4-FAFB-4D74-A6DF-F35D944C1AC7}"/>
    <cellStyle name="Normal 15" xfId="17" xr:uid="{F7C2AF4A-9BF4-4BE5-91AC-06EF0528BB71}"/>
    <cellStyle name="Normal 16" xfId="18" xr:uid="{4BEB981E-67AA-4F6A-B5E3-C088FF55374F}"/>
    <cellStyle name="Normal 17" xfId="19" xr:uid="{14EAA989-DE37-4AF5-ABAA-56ED51A18BDB}"/>
    <cellStyle name="Normal 19" xfId="20" xr:uid="{0360F982-7745-4902-A21D-F6907FB96B75}"/>
    <cellStyle name="Normal 2" xfId="3" xr:uid="{D1DBE927-6800-4285-9974-16FA3F18EB51}"/>
    <cellStyle name="Normal 2 2" xfId="5" xr:uid="{6CBA682B-6EAF-49F0-B0FD-0C3184AB605F}"/>
    <cellStyle name="Normal 2 3" xfId="59" xr:uid="{F17A95E8-EDB9-4F3A-93C4-360FEE3AEF41}"/>
    <cellStyle name="Normal 20" xfId="21" xr:uid="{8827A02D-18C2-4310-8D98-1E9DEB839560}"/>
    <cellStyle name="Normal 21" xfId="22" xr:uid="{9D79242B-0F9C-4B19-A6DC-E890554C06E6}"/>
    <cellStyle name="Normal 22" xfId="23" xr:uid="{C0D2F2B8-6EC0-42A6-A786-0DD8403DAD83}"/>
    <cellStyle name="Normal 23" xfId="24" xr:uid="{17240FBE-3F1B-4222-8E4D-E722EFB574F9}"/>
    <cellStyle name="Normal 24" xfId="25" xr:uid="{C0867056-C726-40AE-A294-42BCBE1B1467}"/>
    <cellStyle name="Normal 25" xfId="26" xr:uid="{DD170BC4-F172-4C31-A5D5-FE07DC78FF2B}"/>
    <cellStyle name="Normal 26" xfId="27" xr:uid="{CF8B3C11-C539-4282-B6B0-40521BCFA7EB}"/>
    <cellStyle name="Normal 28" xfId="28" xr:uid="{3DA1A628-E642-45C3-AD79-FCE76FBAB26A}"/>
    <cellStyle name="Normal 29" xfId="29" xr:uid="{F64C0C24-7EEA-495A-9E17-CB1C539D7C8A}"/>
    <cellStyle name="Normal 3" xfId="4" xr:uid="{48890FE7-830C-44E0-BF6A-586645712295}"/>
    <cellStyle name="Normal 3 2" xfId="60" xr:uid="{8E251C17-A592-4DC3-955B-1D11555C3336}"/>
    <cellStyle name="Normal 30" xfId="30" xr:uid="{3169CC09-7F75-4085-9B48-B70528573B53}"/>
    <cellStyle name="Normal 32" xfId="31" xr:uid="{3955A482-EBAE-4348-BA3D-A352778898C6}"/>
    <cellStyle name="Normal 33" xfId="32" xr:uid="{20A79C9C-C153-41AE-B08C-7118150F8704}"/>
    <cellStyle name="Normal 34" xfId="33" xr:uid="{A26F8449-F54D-4C4F-9966-32C8ED84D706}"/>
    <cellStyle name="Normal 35" xfId="34" xr:uid="{472256A1-3E51-49DD-8D56-ACB587E196FF}"/>
    <cellStyle name="Normal 36" xfId="35" xr:uid="{15B1C44B-76BD-41D0-AD51-5435374DA611}"/>
    <cellStyle name="Normal 38" xfId="36" xr:uid="{5D9A3750-DC44-4750-B990-F2173C5C4F2C}"/>
    <cellStyle name="Normal 39" xfId="39" xr:uid="{38B7E70B-8848-47F4-97B5-9B538F0D4189}"/>
    <cellStyle name="Normal 4" xfId="6" xr:uid="{64A4016A-2C16-4657-B864-637572D2DB94}"/>
    <cellStyle name="Normal 40" xfId="40" xr:uid="{4C264870-AFD1-4BE1-8D50-C91FFF0B06C7}"/>
    <cellStyle name="Normal 41" xfId="41" xr:uid="{AE66A39F-E9D8-483C-974A-EF6E0CB3E20D}"/>
    <cellStyle name="Normal 42" xfId="42" xr:uid="{0FB2CFD4-BA24-4F25-8871-A773E1B68555}"/>
    <cellStyle name="Normal 43" xfId="44" xr:uid="{581B8717-412F-414C-A15E-9B1A4490FCCB}"/>
    <cellStyle name="Normal 44" xfId="43" xr:uid="{63876544-C967-4FDF-87B6-C4209105B980}"/>
    <cellStyle name="Normal 45" xfId="45" xr:uid="{5FA3CF7B-3995-4C7B-8451-887F98F64718}"/>
    <cellStyle name="Normal 47" xfId="46" xr:uid="{0F80AA47-3077-464A-97F3-5955F6892226}"/>
    <cellStyle name="Normal 48" xfId="47" xr:uid="{EFC69C07-6F82-4050-9F45-19DBCA915CC0}"/>
    <cellStyle name="Normal 49" xfId="48" xr:uid="{64DA0E89-E848-4881-B636-26A4C7CAEB7B}"/>
    <cellStyle name="Normal 5" xfId="7" xr:uid="{B0167082-6F8B-4497-A4FF-4843DCA83D23}"/>
    <cellStyle name="Normal 50" xfId="49" xr:uid="{4FCAA4FA-0A54-4E9B-9BFD-E0D698055238}"/>
    <cellStyle name="Normal 51" xfId="50" xr:uid="{1721064C-7A38-4DBB-B59B-4BA3C09582EF}"/>
    <cellStyle name="Normal 52" xfId="51" xr:uid="{BDC08758-E835-4AD1-AD72-B629CCA0F828}"/>
    <cellStyle name="Normal 54" xfId="56" xr:uid="{C68AA669-9DC7-40EC-91B9-84DB995F51E3}"/>
    <cellStyle name="Normal 55" xfId="57" xr:uid="{BBA65535-9D03-48E3-92F7-49C160CABE2A}"/>
    <cellStyle name="Normal 56" xfId="58" xr:uid="{E5A78D10-FF49-4470-A299-B0B97CE8A0DF}"/>
    <cellStyle name="Normal 57" xfId="37" xr:uid="{2EA100AF-A3BD-461F-AA7F-14B348CD2910}"/>
    <cellStyle name="Normal 58" xfId="38" xr:uid="{5458CCE1-8D43-47F1-B3CF-60ECCEB8CF6C}"/>
    <cellStyle name="Normal 6" xfId="8" xr:uid="{87FFC083-2BA3-43DF-9C71-0201B4FB6325}"/>
    <cellStyle name="Normal 60" xfId="53" xr:uid="{3ECE7F3E-6D1A-4983-9E8E-9EC5FD7E92BF}"/>
    <cellStyle name="Normal 62" xfId="54" xr:uid="{305FBEA1-0353-4CCE-97B2-48C81B299768}"/>
    <cellStyle name="Normal 65" xfId="52" xr:uid="{912C021D-782E-44CE-8223-08CD61450581}"/>
    <cellStyle name="Normal 66" xfId="55" xr:uid="{C85B0BF4-8A04-4D24-B69A-708A81F3CE8D}"/>
    <cellStyle name="Normal 7" xfId="9" xr:uid="{0BAD035F-21F5-427A-A1A8-9962489465B3}"/>
    <cellStyle name="Normal 8" xfId="10" xr:uid="{469361D6-3451-449D-AB16-723471A0C36F}"/>
    <cellStyle name="Normal 9" xfId="11" xr:uid="{E451DBD4-8489-4D0B-896D-8FEEB53A2021}"/>
    <cellStyle name="Percent" xfId="2" builtinId="5"/>
  </cellStyles>
  <dxfs count="50">
    <dxf>
      <numFmt numFmtId="2" formatCode="0.00"/>
    </dxf>
    <dxf>
      <numFmt numFmtId="15" formatCode="0.00E+0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bgColor rgb="FFFFC7CE"/>
        </patternFill>
      </fill>
    </dxf>
    <dxf>
      <font>
        <color auto="1"/>
      </font>
      <fill>
        <patternFill patternType="lightUp">
          <fgColor theme="0" tint="-0.14996795556505021"/>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0" i="0" u="none" strike="noStrike" baseline="0">
                <a:effectLst/>
              </a:rPr>
              <a:t>8-hr TWA 95th Percentile Exposure Estimates</a:t>
            </a:r>
            <a:r>
              <a:rPr lang="en-US" sz="1400" b="0" i="0" u="none" strike="noStrike" baseline="0"/>
              <a:t> </a:t>
            </a:r>
            <a:endParaRPr lang="en-US"/>
          </a:p>
        </c:rich>
      </c:tx>
      <c:layout>
        <c:manualLayout>
          <c:xMode val="edge"/>
          <c:yMode val="edge"/>
          <c:x val="0.2048082139089781"/>
          <c:y val="3.41685889333025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9175719969358382"/>
          <c:w val="0.68005457340963504"/>
          <c:h val="0.50800186202830644"/>
        </c:manualLayout>
      </c:layout>
      <c:barChart>
        <c:barDir val="bar"/>
        <c:grouping val="stacked"/>
        <c:varyColors val="0"/>
        <c:ser>
          <c:idx val="0"/>
          <c:order val="0"/>
          <c:spPr>
            <a:solidFill>
              <a:schemeClr val="accent1"/>
            </a:solidFill>
            <a:ln>
              <a:noFill/>
            </a:ln>
            <a:effectLst/>
          </c:spPr>
          <c:invertIfNegative val="0"/>
          <c:cat>
            <c:strRef>
              <c:f>Dashboard!$C$83:$C$84</c:f>
              <c:strCache>
                <c:ptCount val="2"/>
                <c:pt idx="0">
                  <c:v>Occupational Non-user</c:v>
                </c:pt>
                <c:pt idx="1">
                  <c:v>Worker</c:v>
                </c:pt>
              </c:strCache>
            </c:strRef>
          </c:cat>
          <c:val>
            <c:numRef>
              <c:f>Dashboard!$D$83:$D$84</c:f>
              <c:numCache>
                <c:formatCode>0.00E+00</c:formatCode>
                <c:ptCount val="2"/>
                <c:pt idx="0">
                  <c:v>0</c:v>
                </c:pt>
                <c:pt idx="1">
                  <c:v>3.2571864086833406E-6</c:v>
                </c:pt>
              </c:numCache>
            </c:numRef>
          </c:val>
          <c:extLst>
            <c:ext xmlns:c16="http://schemas.microsoft.com/office/drawing/2014/chart" uri="{C3380CC4-5D6E-409C-BE32-E72D297353CC}">
              <c16:uniqueId val="{00000000-4A4B-4F3B-B249-21293BB6D553}"/>
            </c:ext>
          </c:extLst>
        </c:ser>
        <c:dLbls>
          <c:showLegendKey val="0"/>
          <c:showVal val="0"/>
          <c:showCatName val="0"/>
          <c:showSerName val="0"/>
          <c:showPercent val="0"/>
          <c:showBubbleSize val="0"/>
        </c:dLbls>
        <c:gapWidth val="182"/>
        <c:overlap val="100"/>
        <c:axId val="580062808"/>
        <c:axId val="580066744"/>
      </c:barChart>
      <c:scatterChart>
        <c:scatterStyle val="lineMarker"/>
        <c:varyColors val="0"/>
        <c:ser>
          <c:idx val="1"/>
          <c:order val="1"/>
          <c:tx>
            <c:v>1.00E-06</c:v>
          </c:tx>
          <c:spPr>
            <a:ln w="28575" cap="rnd">
              <a:solidFill>
                <a:srgbClr val="FF0000"/>
              </a:solidFill>
              <a:round/>
            </a:ln>
            <a:effectLst/>
          </c:spPr>
          <c:marker>
            <c:symbol val="none"/>
          </c:marker>
          <c:xVal>
            <c:numRef>
              <c:f>'Hazard Values'!$B$22:$B$27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1-4A4B-4F3B-B249-21293BB6D553}"/>
            </c:ext>
          </c:extLst>
        </c:ser>
        <c:ser>
          <c:idx val="2"/>
          <c:order val="2"/>
          <c:tx>
            <c:v>1.00E-05</c:v>
          </c:tx>
          <c:spPr>
            <a:ln w="28575" cap="rnd">
              <a:solidFill>
                <a:srgbClr val="FF0000"/>
              </a:solidFill>
              <a:round/>
            </a:ln>
            <a:effectLst/>
          </c:spPr>
          <c:marker>
            <c:symbol val="none"/>
          </c:marker>
          <c:xVal>
            <c:numRef>
              <c:f>'Hazard Values'!$C$22:$C$27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2-4A4B-4F3B-B249-21293BB6D553}"/>
            </c:ext>
          </c:extLst>
        </c:ser>
        <c:ser>
          <c:idx val="3"/>
          <c:order val="3"/>
          <c:tx>
            <c:v>1.00E-04</c:v>
          </c:tx>
          <c:spPr>
            <a:ln w="28575" cap="rnd">
              <a:solidFill>
                <a:srgbClr val="FF0000"/>
              </a:solidFill>
              <a:round/>
            </a:ln>
            <a:effectLst/>
          </c:spPr>
          <c:marker>
            <c:symbol val="none"/>
          </c:marker>
          <c:xVal>
            <c:numRef>
              <c:f>'Hazard Values'!$D$22:$D$27</c:f>
              <c:numCache>
                <c:formatCode>General</c:formatCode>
                <c:ptCount val="6"/>
                <c:pt idx="0">
                  <c:v>1E-4</c:v>
                </c:pt>
                <c:pt idx="1">
                  <c:v>1E-4</c:v>
                </c:pt>
                <c:pt idx="2">
                  <c:v>1E-4</c:v>
                </c:pt>
                <c:pt idx="3">
                  <c:v>1E-4</c:v>
                </c:pt>
                <c:pt idx="4">
                  <c:v>1E-4</c:v>
                </c:pt>
                <c:pt idx="5">
                  <c:v>1E-4</c:v>
                </c:pt>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3-4A4B-4F3B-B249-21293BB6D553}"/>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1"/>
        <c:axPos val="t"/>
        <c:numFmt formatCode="General" sourceLinked="1"/>
        <c:majorTickMark val="out"/>
        <c:minorTickMark val="none"/>
        <c:tickLblPos val="nextTo"/>
        <c:crossAx val="599814248"/>
        <c:crosses val="max"/>
        <c:crossBetween val="midCat"/>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0" i="0" u="none" strike="noStrike" baseline="0">
                <a:effectLst/>
              </a:rPr>
              <a:t>8-hr TWA 50th Percentile Exposure Estimates</a:t>
            </a:r>
            <a:r>
              <a:rPr lang="en-US" sz="1400" b="0" i="0" u="none" strike="noStrike" baseline="0"/>
              <a:t> </a:t>
            </a:r>
            <a:endParaRPr lang="en-US"/>
          </a:p>
        </c:rich>
      </c:tx>
      <c:layout>
        <c:manualLayout>
          <c:xMode val="edge"/>
          <c:yMode val="edge"/>
          <c:x val="0.2048082139089781"/>
          <c:y val="3.41685889333025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9175719969358382"/>
          <c:w val="0.68005457340963504"/>
          <c:h val="0.50800186202830644"/>
        </c:manualLayout>
      </c:layout>
      <c:barChart>
        <c:barDir val="bar"/>
        <c:grouping val="stacked"/>
        <c:varyColors val="0"/>
        <c:ser>
          <c:idx val="0"/>
          <c:order val="0"/>
          <c:spPr>
            <a:solidFill>
              <a:schemeClr val="accent1"/>
            </a:solidFill>
            <a:ln>
              <a:noFill/>
            </a:ln>
            <a:effectLst/>
          </c:spPr>
          <c:invertIfNegative val="0"/>
          <c:cat>
            <c:strRef>
              <c:f>Dashboard!$C$83:$C$84</c:f>
              <c:strCache>
                <c:ptCount val="2"/>
                <c:pt idx="0">
                  <c:v>Occupational Non-user</c:v>
                </c:pt>
                <c:pt idx="1">
                  <c:v>Worker</c:v>
                </c:pt>
              </c:strCache>
            </c:strRef>
          </c:cat>
          <c:val>
            <c:numRef>
              <c:f>Dashboard!$E$83:$E$84</c:f>
              <c:numCache>
                <c:formatCode>0.00E+00</c:formatCode>
                <c:ptCount val="2"/>
                <c:pt idx="0">
                  <c:v>0</c:v>
                </c:pt>
                <c:pt idx="1">
                  <c:v>2.000404105710241E-7</c:v>
                </c:pt>
              </c:numCache>
            </c:numRef>
          </c:val>
          <c:extLst>
            <c:ext xmlns:c16="http://schemas.microsoft.com/office/drawing/2014/chart" uri="{C3380CC4-5D6E-409C-BE32-E72D297353CC}">
              <c16:uniqueId val="{00000000-ACB6-4FD1-9932-BBC95FC964A0}"/>
            </c:ext>
          </c:extLst>
        </c:ser>
        <c:dLbls>
          <c:showLegendKey val="0"/>
          <c:showVal val="0"/>
          <c:showCatName val="0"/>
          <c:showSerName val="0"/>
          <c:showPercent val="0"/>
          <c:showBubbleSize val="0"/>
        </c:dLbls>
        <c:gapWidth val="182"/>
        <c:overlap val="100"/>
        <c:axId val="580062808"/>
        <c:axId val="580066744"/>
      </c:barChart>
      <c:scatterChart>
        <c:scatterStyle val="lineMarker"/>
        <c:varyColors val="0"/>
        <c:ser>
          <c:idx val="1"/>
          <c:order val="1"/>
          <c:tx>
            <c:v>1.00E-06</c:v>
          </c:tx>
          <c:spPr>
            <a:ln w="28575" cap="rnd">
              <a:solidFill>
                <a:srgbClr val="FF0000"/>
              </a:solidFill>
              <a:round/>
            </a:ln>
            <a:effectLst/>
          </c:spPr>
          <c:marker>
            <c:symbol val="none"/>
          </c:marker>
          <c:xVal>
            <c:numRef>
              <c:f>'Hazard Values'!$B$22:$B$27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1-ACB6-4FD1-9932-BBC95FC964A0}"/>
            </c:ext>
          </c:extLst>
        </c:ser>
        <c:ser>
          <c:idx val="2"/>
          <c:order val="2"/>
          <c:tx>
            <c:v>1.00E-05</c:v>
          </c:tx>
          <c:spPr>
            <a:ln w="28575" cap="rnd">
              <a:solidFill>
                <a:srgbClr val="FF0000"/>
              </a:solidFill>
              <a:round/>
            </a:ln>
            <a:effectLst/>
          </c:spPr>
          <c:marker>
            <c:symbol val="none"/>
          </c:marker>
          <c:xVal>
            <c:numRef>
              <c:f>'Hazard Values'!$C$22:$C$27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2-ACB6-4FD1-9932-BBC95FC964A0}"/>
            </c:ext>
          </c:extLst>
        </c:ser>
        <c:ser>
          <c:idx val="3"/>
          <c:order val="3"/>
          <c:tx>
            <c:v>1.00E-04</c:v>
          </c:tx>
          <c:spPr>
            <a:ln w="28575" cap="rnd">
              <a:solidFill>
                <a:srgbClr val="FF0000"/>
              </a:solidFill>
              <a:round/>
            </a:ln>
            <a:effectLst/>
          </c:spPr>
          <c:marker>
            <c:symbol val="none"/>
          </c:marker>
          <c:xVal>
            <c:numRef>
              <c:f>'Hazard Values'!$D$22:$D$27</c:f>
              <c:numCache>
                <c:formatCode>General</c:formatCode>
                <c:ptCount val="6"/>
                <c:pt idx="0">
                  <c:v>1E-4</c:v>
                </c:pt>
                <c:pt idx="1">
                  <c:v>1E-4</c:v>
                </c:pt>
                <c:pt idx="2">
                  <c:v>1E-4</c:v>
                </c:pt>
                <c:pt idx="3">
                  <c:v>1E-4</c:v>
                </c:pt>
                <c:pt idx="4">
                  <c:v>1E-4</c:v>
                </c:pt>
                <c:pt idx="5">
                  <c:v>1E-4</c:v>
                </c:pt>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3-ACB6-4FD1-9932-BBC95FC964A0}"/>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1"/>
        <c:axPos val="t"/>
        <c:numFmt formatCode="General" sourceLinked="1"/>
        <c:majorTickMark val="out"/>
        <c:minorTickMark val="none"/>
        <c:tickLblPos val="nextTo"/>
        <c:crossAx val="599814248"/>
        <c:crosses val="max"/>
        <c:crossBetween val="midCat"/>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0" i="0" u="none" strike="noStrike" baseline="0">
                <a:effectLst/>
              </a:rPr>
              <a:t>8-hr TWA 95th and 50th Percentile Exposure Estimates</a:t>
            </a:r>
            <a:r>
              <a:rPr lang="en-US" sz="1400" b="0" i="0" u="none" strike="noStrike" baseline="0"/>
              <a:t> </a:t>
            </a:r>
            <a:endParaRPr lang="en-US"/>
          </a:p>
        </c:rich>
      </c:tx>
      <c:layout>
        <c:manualLayout>
          <c:xMode val="edge"/>
          <c:yMode val="edge"/>
          <c:x val="0.2048082139089781"/>
          <c:y val="3.41685889333025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5468252220483917"/>
          <c:y val="0.29175719969358382"/>
          <c:w val="0.66460277232637677"/>
          <c:h val="0.50800186202830644"/>
        </c:manualLayout>
      </c:layout>
      <c:barChart>
        <c:barDir val="bar"/>
        <c:grouping val="stacked"/>
        <c:varyColors val="0"/>
        <c:ser>
          <c:idx val="0"/>
          <c:order val="0"/>
          <c:spPr>
            <a:solidFill>
              <a:schemeClr val="accent1"/>
            </a:solidFill>
            <a:ln>
              <a:noFill/>
            </a:ln>
            <a:effectLst/>
          </c:spPr>
          <c:invertIfNegative val="0"/>
          <c:cat>
            <c:strRef>
              <c:f>Dashboard!$S$82:$S$85</c:f>
              <c:strCache>
                <c:ptCount val="4"/>
                <c:pt idx="0">
                  <c:v>ONU Central Tendency</c:v>
                </c:pt>
                <c:pt idx="1">
                  <c:v>Worker Central Tendency</c:v>
                </c:pt>
                <c:pt idx="2">
                  <c:v>ONU High-End</c:v>
                </c:pt>
                <c:pt idx="3">
                  <c:v>Worker High-End</c:v>
                </c:pt>
              </c:strCache>
            </c:strRef>
          </c:cat>
          <c:val>
            <c:numRef>
              <c:f>Dashboard!$T$82:$T$85</c:f>
              <c:numCache>
                <c:formatCode>0.00E+00</c:formatCode>
                <c:ptCount val="4"/>
                <c:pt idx="0">
                  <c:v>0</c:v>
                </c:pt>
                <c:pt idx="1">
                  <c:v>2.000404105710241E-7</c:v>
                </c:pt>
                <c:pt idx="2">
                  <c:v>0</c:v>
                </c:pt>
                <c:pt idx="3">
                  <c:v>3.2571864086833406E-6</c:v>
                </c:pt>
              </c:numCache>
            </c:numRef>
          </c:val>
          <c:extLst>
            <c:ext xmlns:c16="http://schemas.microsoft.com/office/drawing/2014/chart" uri="{C3380CC4-5D6E-409C-BE32-E72D297353CC}">
              <c16:uniqueId val="{00000000-E105-4294-A621-99A010A96C83}"/>
            </c:ext>
          </c:extLst>
        </c:ser>
        <c:dLbls>
          <c:showLegendKey val="0"/>
          <c:showVal val="0"/>
          <c:showCatName val="0"/>
          <c:showSerName val="0"/>
          <c:showPercent val="0"/>
          <c:showBubbleSize val="0"/>
        </c:dLbls>
        <c:gapWidth val="182"/>
        <c:overlap val="100"/>
        <c:axId val="580062808"/>
        <c:axId val="580066744"/>
      </c:barChart>
      <c:scatterChart>
        <c:scatterStyle val="lineMarker"/>
        <c:varyColors val="0"/>
        <c:ser>
          <c:idx val="1"/>
          <c:order val="1"/>
          <c:tx>
            <c:v>1.00E-06</c:v>
          </c:tx>
          <c:spPr>
            <a:ln w="28575" cap="rnd">
              <a:solidFill>
                <a:srgbClr val="FF0000"/>
              </a:solidFill>
              <a:round/>
            </a:ln>
            <a:effectLst/>
          </c:spPr>
          <c:marker>
            <c:symbol val="none"/>
          </c:marker>
          <c:xVal>
            <c:numRef>
              <c:f>'Hazard Values'!$B$22:$B$27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1-E105-4294-A621-99A010A96C83}"/>
            </c:ext>
          </c:extLst>
        </c:ser>
        <c:ser>
          <c:idx val="2"/>
          <c:order val="2"/>
          <c:tx>
            <c:v>1.00E-05</c:v>
          </c:tx>
          <c:spPr>
            <a:ln w="28575" cap="rnd">
              <a:solidFill>
                <a:srgbClr val="FF0000"/>
              </a:solidFill>
              <a:round/>
            </a:ln>
            <a:effectLst/>
          </c:spPr>
          <c:marker>
            <c:symbol val="none"/>
          </c:marker>
          <c:xVal>
            <c:numRef>
              <c:f>'Hazard Values'!$C$22:$C$27</c:f>
              <c:numCache>
                <c:formatCode>General</c:formatCode>
                <c:ptCount val="6"/>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2-E105-4294-A621-99A010A96C83}"/>
            </c:ext>
          </c:extLst>
        </c:ser>
        <c:ser>
          <c:idx val="3"/>
          <c:order val="3"/>
          <c:tx>
            <c:v>1.00E-04</c:v>
          </c:tx>
          <c:spPr>
            <a:ln w="28575" cap="rnd">
              <a:solidFill>
                <a:srgbClr val="FF0000"/>
              </a:solidFill>
              <a:round/>
            </a:ln>
            <a:effectLst/>
          </c:spPr>
          <c:marker>
            <c:symbol val="none"/>
          </c:marker>
          <c:xVal>
            <c:numRef>
              <c:f>'Hazard Values'!$D$22:$D$27</c:f>
              <c:numCache>
                <c:formatCode>General</c:formatCode>
                <c:ptCount val="6"/>
                <c:pt idx="0">
                  <c:v>1E-4</c:v>
                </c:pt>
                <c:pt idx="1">
                  <c:v>1E-4</c:v>
                </c:pt>
                <c:pt idx="2">
                  <c:v>1E-4</c:v>
                </c:pt>
                <c:pt idx="3">
                  <c:v>1E-4</c:v>
                </c:pt>
                <c:pt idx="4">
                  <c:v>1E-4</c:v>
                </c:pt>
                <c:pt idx="5">
                  <c:v>1E-4</c:v>
                </c:pt>
              </c:numCache>
            </c:numRef>
          </c:xVal>
          <c:yVal>
            <c:numRef>
              <c:f>'Hazard Values'!$E$22:$E$27</c:f>
              <c:numCache>
                <c:formatCode>General</c:formatCode>
                <c:ptCount val="6"/>
                <c:pt idx="0">
                  <c:v>7</c:v>
                </c:pt>
                <c:pt idx="1">
                  <c:v>5</c:v>
                </c:pt>
                <c:pt idx="2">
                  <c:v>4</c:v>
                </c:pt>
                <c:pt idx="3">
                  <c:v>3</c:v>
                </c:pt>
                <c:pt idx="4">
                  <c:v>2</c:v>
                </c:pt>
                <c:pt idx="5">
                  <c:v>0</c:v>
                </c:pt>
              </c:numCache>
            </c:numRef>
          </c:yVal>
          <c:smooth val="0"/>
          <c:extLst>
            <c:ext xmlns:c16="http://schemas.microsoft.com/office/drawing/2014/chart" uri="{C3380CC4-5D6E-409C-BE32-E72D297353CC}">
              <c16:uniqueId val="{00000003-E105-4294-A621-99A010A96C83}"/>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 val="autoZero"/>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1"/>
        <c:axPos val="t"/>
        <c:numFmt formatCode="General" sourceLinked="1"/>
        <c:majorTickMark val="out"/>
        <c:minorTickMark val="none"/>
        <c:tickLblPos val="nextTo"/>
        <c:crossAx val="599814248"/>
        <c:crosses val="max"/>
        <c:crossBetween val="midCat"/>
      </c:valAx>
      <c:spPr>
        <a:noFill/>
        <a:ln>
          <a:solidFill>
            <a:schemeClr val="bg1">
              <a:lumMod val="8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"Dermal Cancer Risk Estimates"</c:f>
          <c:strCache>
            <c:ptCount val="1"/>
            <c:pt idx="0">
              <c:v>Dermal Cancer Risk Estimates</c:v>
            </c:pt>
          </c:strCache>
        </c:strRef>
      </c:tx>
      <c:layout>
        <c:manualLayout>
          <c:xMode val="edge"/>
          <c:yMode val="edge"/>
          <c:x val="0.36062458254174651"/>
          <c:y val="3.74142531318897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912091713930872"/>
          <c:y val="0.21054931230848406"/>
          <c:w val="0.68825402579311812"/>
          <c:h val="0.64409953815536147"/>
        </c:manualLayout>
      </c:layout>
      <c:barChart>
        <c:barDir val="bar"/>
        <c:grouping val="clustered"/>
        <c:varyColors val="0"/>
        <c:ser>
          <c:idx val="4"/>
          <c:order val="0"/>
          <c:tx>
            <c:strRef>
              <c:f>Dashboard!$AR$51</c:f>
              <c:strCache>
                <c:ptCount val="1"/>
                <c:pt idx="0">
                  <c:v>Central Tendency</c:v>
                </c:pt>
              </c:strCache>
            </c:strRef>
          </c:tx>
          <c:spPr>
            <a:solidFill>
              <a:schemeClr val="accent5"/>
            </a:solidFill>
            <a:ln>
              <a:noFill/>
            </a:ln>
            <a:effectLst/>
          </c:spPr>
          <c:invertIfNegative val="0"/>
          <c:cat>
            <c:strRef>
              <c:f>Dashboard!$AP$52:$AP$54</c:f>
              <c:strCache>
                <c:ptCount val="3"/>
                <c:pt idx="0">
                  <c:v>No Gloves</c:v>
                </c:pt>
                <c:pt idx="1">
                  <c:v>Gloves: </c:v>
                </c:pt>
                <c:pt idx="2">
                  <c:v>Occluded Exposure</c:v>
                </c:pt>
              </c:strCache>
            </c:strRef>
          </c:cat>
          <c:val>
            <c:numRef>
              <c:f>Dashboard!$AR$52:$AR$54</c:f>
              <c:numCache>
                <c:formatCode>0.00E+00</c:formatCode>
                <c:ptCount val="3"/>
                <c:pt idx="0">
                  <c:v>3.1488044464590796E-6</c:v>
                </c:pt>
                <c:pt idx="1">
                  <c:v>6.2976088929181597E-7</c:v>
                </c:pt>
                <c:pt idx="2">
                  <c:v>0</c:v>
                </c:pt>
              </c:numCache>
            </c:numRef>
          </c:val>
          <c:extLst>
            <c:ext xmlns:c16="http://schemas.microsoft.com/office/drawing/2014/chart" uri="{C3380CC4-5D6E-409C-BE32-E72D297353CC}">
              <c16:uniqueId val="{00000000-CF7A-438B-A9CB-31706E67AF0F}"/>
            </c:ext>
          </c:extLst>
        </c:ser>
        <c:ser>
          <c:idx val="0"/>
          <c:order val="1"/>
          <c:tx>
            <c:strRef>
              <c:f>Dashboard!$AQ$51</c:f>
              <c:strCache>
                <c:ptCount val="1"/>
                <c:pt idx="0">
                  <c:v>High-End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2-CF7A-438B-A9CB-31706E67AF0F}"/>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4-CF7A-438B-A9CB-31706E67AF0F}"/>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CF7A-438B-A9CB-31706E67AF0F}"/>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8-CF7A-438B-A9CB-31706E67AF0F}"/>
              </c:ext>
            </c:extLst>
          </c:dPt>
          <c:cat>
            <c:strRef>
              <c:f>Dashboard!$AP$52:$AP$54</c:f>
              <c:strCache>
                <c:ptCount val="3"/>
                <c:pt idx="0">
                  <c:v>No Gloves</c:v>
                </c:pt>
                <c:pt idx="1">
                  <c:v>Gloves: </c:v>
                </c:pt>
                <c:pt idx="2">
                  <c:v>Occluded Exposure</c:v>
                </c:pt>
              </c:strCache>
            </c:strRef>
          </c:cat>
          <c:val>
            <c:numRef>
              <c:f>Dashboard!$AQ$52:$AQ$54</c:f>
              <c:numCache>
                <c:formatCode>0.00E+00</c:formatCode>
                <c:ptCount val="3"/>
                <c:pt idx="0">
                  <c:v>1.2188920437906118E-5</c:v>
                </c:pt>
                <c:pt idx="1">
                  <c:v>2.4377840875812236E-6</c:v>
                </c:pt>
                <c:pt idx="2">
                  <c:v>0</c:v>
                </c:pt>
              </c:numCache>
            </c:numRef>
          </c:val>
          <c:extLst>
            <c:ext xmlns:c16="http://schemas.microsoft.com/office/drawing/2014/chart" uri="{C3380CC4-5D6E-409C-BE32-E72D297353CC}">
              <c16:uniqueId val="{00000009-CF7A-438B-A9CB-31706E67AF0F}"/>
            </c:ext>
          </c:extLst>
        </c:ser>
        <c:dLbls>
          <c:showLegendKey val="0"/>
          <c:showVal val="0"/>
          <c:showCatName val="0"/>
          <c:showSerName val="0"/>
          <c:showPercent val="0"/>
          <c:showBubbleSize val="0"/>
        </c:dLbls>
        <c:gapWidth val="150"/>
        <c:axId val="580062808"/>
        <c:axId val="580066744"/>
      </c:barChart>
      <c:scatterChart>
        <c:scatterStyle val="lineMarker"/>
        <c:varyColors val="0"/>
        <c:ser>
          <c:idx val="3"/>
          <c:order val="2"/>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C-CF7A-438B-A9CB-31706E67AF0F}"/>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At val="1.0000000000000005E-7"/>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000">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chemeClr val="tx1"/>
          </a:solidFill>
        </a:ln>
        <a:effectLst/>
      </c:spPr>
    </c:plotArea>
    <c:legend>
      <c:legendPos val="r"/>
      <c:legendEntry>
        <c:idx val="2"/>
        <c:delete val="1"/>
      </c:legendEntry>
      <c:layout>
        <c:manualLayout>
          <c:xMode val="edge"/>
          <c:yMode val="edge"/>
          <c:x val="0.84666892501423174"/>
          <c:y val="0.46328339630668497"/>
          <c:w val="0.14389088631019784"/>
          <c:h val="0.1223401570488091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Dermal Cancer Risk Estimates</a:t>
            </a:r>
          </a:p>
        </c:rich>
      </c:tx>
      <c:layout>
        <c:manualLayout>
          <c:xMode val="edge"/>
          <c:yMode val="edge"/>
          <c:x val="0.36062458254174651"/>
          <c:y val="3.74142531318897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150842647774607"/>
          <c:y val="0.21054931230848406"/>
          <c:w val="0.61536767478778098"/>
          <c:h val="0.63093447925324686"/>
        </c:manualLayout>
      </c:layout>
      <c:barChart>
        <c:barDir val="bar"/>
        <c:grouping val="clustered"/>
        <c:varyColors val="0"/>
        <c:ser>
          <c:idx val="4"/>
          <c:order val="0"/>
          <c:tx>
            <c:strRef>
              <c:f>RR!$R$38</c:f>
              <c:strCache>
                <c:ptCount val="1"/>
                <c:pt idx="0">
                  <c:v>Central Tendency</c:v>
                </c:pt>
              </c:strCache>
            </c:strRef>
          </c:tx>
          <c:spPr>
            <a:solidFill>
              <a:schemeClr val="accent5"/>
            </a:solidFill>
            <a:ln>
              <a:noFill/>
            </a:ln>
            <a:effectLst/>
          </c:spPr>
          <c:invertIfNegative val="0"/>
          <c:cat>
            <c:strRef>
              <c:f>RR!$P$39:$P$43</c:f>
              <c:strCache>
                <c:ptCount val="5"/>
                <c:pt idx="0">
                  <c:v>Occluded Exposure</c:v>
                </c:pt>
                <c:pt idx="1">
                  <c:v>No Gloves (PF = 1)</c:v>
                </c:pt>
                <c:pt idx="2">
                  <c:v>Protective Gloves (PF = 5)</c:v>
                </c:pt>
                <c:pt idx="3">
                  <c:v>Protective Gloves 
(Commercial uses, PF = 10)</c:v>
                </c:pt>
                <c:pt idx="4">
                  <c:v>Protective Gloves 
(Industrial uses, PF = 20)</c:v>
                </c:pt>
              </c:strCache>
            </c:strRef>
          </c:cat>
          <c:val>
            <c:numRef>
              <c:f>RR!$R$39:$R$43</c:f>
              <c:numCache>
                <c:formatCode>0.00E+00</c:formatCode>
                <c:ptCount val="5"/>
                <c:pt idx="0">
                  <c:v>0</c:v>
                </c:pt>
                <c:pt idx="1">
                  <c:v>3.1488044464590796E-6</c:v>
                </c:pt>
                <c:pt idx="2">
                  <c:v>6.2976088929181597E-7</c:v>
                </c:pt>
                <c:pt idx="3">
                  <c:v>3.1488044464590799E-7</c:v>
                </c:pt>
                <c:pt idx="4">
                  <c:v>1.5744022232295399E-7</c:v>
                </c:pt>
              </c:numCache>
            </c:numRef>
          </c:val>
          <c:extLst>
            <c:ext xmlns:c16="http://schemas.microsoft.com/office/drawing/2014/chart" uri="{C3380CC4-5D6E-409C-BE32-E72D297353CC}">
              <c16:uniqueId val="{00000000-F23B-4479-B717-9D371152F820}"/>
            </c:ext>
          </c:extLst>
        </c:ser>
        <c:ser>
          <c:idx val="0"/>
          <c:order val="1"/>
          <c:tx>
            <c:strRef>
              <c:f>RR!$Q$38</c:f>
              <c:strCache>
                <c:ptCount val="1"/>
                <c:pt idx="0">
                  <c:v>High-End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2-F23B-4479-B717-9D371152F820}"/>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4-F23B-4479-B717-9D371152F820}"/>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6-F23B-4479-B717-9D371152F820}"/>
              </c:ext>
            </c:extLst>
          </c:dPt>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08-F23B-4479-B717-9D371152F820}"/>
              </c:ext>
            </c:extLst>
          </c:dPt>
          <c:cat>
            <c:strRef>
              <c:f>RR!$P$39:$P$43</c:f>
              <c:strCache>
                <c:ptCount val="5"/>
                <c:pt idx="0">
                  <c:v>Occluded Exposure</c:v>
                </c:pt>
                <c:pt idx="1">
                  <c:v>No Gloves (PF = 1)</c:v>
                </c:pt>
                <c:pt idx="2">
                  <c:v>Protective Gloves (PF = 5)</c:v>
                </c:pt>
                <c:pt idx="3">
                  <c:v>Protective Gloves 
(Commercial uses, PF = 10)</c:v>
                </c:pt>
                <c:pt idx="4">
                  <c:v>Protective Gloves 
(Industrial uses, PF = 20)</c:v>
                </c:pt>
              </c:strCache>
            </c:strRef>
          </c:cat>
          <c:val>
            <c:numRef>
              <c:f>RR!$Q$39:$Q$43</c:f>
              <c:numCache>
                <c:formatCode>0.00E+00</c:formatCode>
                <c:ptCount val="5"/>
                <c:pt idx="0">
                  <c:v>0</c:v>
                </c:pt>
                <c:pt idx="1">
                  <c:v>1.2188920437906118E-5</c:v>
                </c:pt>
                <c:pt idx="2">
                  <c:v>2.4377840875812236E-6</c:v>
                </c:pt>
                <c:pt idx="3">
                  <c:v>1.2188920437906118E-6</c:v>
                </c:pt>
                <c:pt idx="4">
                  <c:v>6.094460218953059E-7</c:v>
                </c:pt>
              </c:numCache>
            </c:numRef>
          </c:val>
          <c:extLst>
            <c:ext xmlns:c16="http://schemas.microsoft.com/office/drawing/2014/chart" uri="{C3380CC4-5D6E-409C-BE32-E72D297353CC}">
              <c16:uniqueId val="{00000009-F23B-4479-B717-9D371152F820}"/>
            </c:ext>
          </c:extLst>
        </c:ser>
        <c:dLbls>
          <c:showLegendKey val="0"/>
          <c:showVal val="0"/>
          <c:showCatName val="0"/>
          <c:showSerName val="0"/>
          <c:showPercent val="0"/>
          <c:showBubbleSize val="0"/>
        </c:dLbls>
        <c:gapWidth val="100"/>
        <c:axId val="580062808"/>
        <c:axId val="580066744"/>
      </c:barChart>
      <c:scatterChart>
        <c:scatterStyle val="lineMarker"/>
        <c:varyColors val="0"/>
        <c:ser>
          <c:idx val="3"/>
          <c:order val="2"/>
          <c:tx>
            <c:v>1.00E-04</c:v>
          </c:tx>
          <c:spPr>
            <a:ln w="28575" cap="rnd">
              <a:solidFill>
                <a:srgbClr val="FF0000"/>
              </a:solidFill>
              <a:round/>
            </a:ln>
            <a:effectLst/>
          </c:spPr>
          <c:marker>
            <c:symbol val="none"/>
          </c:marker>
          <c:xVal>
            <c:numLit>
              <c:formatCode>General</c:formatCode>
              <c:ptCount val="6"/>
              <c:pt idx="0">
                <c:v>1E-4</c:v>
              </c:pt>
              <c:pt idx="1">
                <c:v>1E-4</c:v>
              </c:pt>
              <c:pt idx="2">
                <c:v>1E-4</c:v>
              </c:pt>
              <c:pt idx="3">
                <c:v>1E-4</c:v>
              </c:pt>
              <c:pt idx="4">
                <c:v>1E-4</c:v>
              </c:pt>
              <c:pt idx="5">
                <c:v>1E-4</c:v>
              </c:pt>
            </c:numLit>
          </c:xVal>
          <c:yVal>
            <c:numLit>
              <c:formatCode>General</c:formatCode>
              <c:ptCount val="6"/>
              <c:pt idx="0">
                <c:v>7</c:v>
              </c:pt>
              <c:pt idx="1">
                <c:v>5</c:v>
              </c:pt>
              <c:pt idx="2">
                <c:v>4</c:v>
              </c:pt>
              <c:pt idx="3">
                <c:v>3</c:v>
              </c:pt>
              <c:pt idx="4">
                <c:v>2</c:v>
              </c:pt>
              <c:pt idx="5">
                <c:v>0</c:v>
              </c:pt>
            </c:numLit>
          </c:yVal>
          <c:smooth val="0"/>
          <c:extLst>
            <c:ext xmlns:c16="http://schemas.microsoft.com/office/drawing/2014/chart" uri="{C3380CC4-5D6E-409C-BE32-E72D297353CC}">
              <c16:uniqueId val="{0000000C-F23B-4479-B717-9D371152F820}"/>
            </c:ext>
          </c:extLst>
        </c:ser>
        <c:dLbls>
          <c:showLegendKey val="0"/>
          <c:showVal val="0"/>
          <c:showCatName val="0"/>
          <c:showSerName val="0"/>
          <c:showPercent val="0"/>
          <c:showBubbleSize val="0"/>
        </c:dLbls>
        <c:axId val="599810312"/>
        <c:axId val="599814248"/>
      </c:scatterChart>
      <c:catAx>
        <c:axId val="580062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6744"/>
        <c:crossesAt val="1.0000000000000005E-7"/>
        <c:auto val="1"/>
        <c:lblAlgn val="ctr"/>
        <c:lblOffset val="100"/>
        <c:noMultiLvlLbl val="0"/>
      </c:catAx>
      <c:valAx>
        <c:axId val="580066744"/>
        <c:scaling>
          <c:logBase val="10"/>
          <c:orientation val="minMax"/>
          <c:min val="1.0000000000000005E-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Excess Cancer Risk</a:t>
                </a:r>
              </a:p>
            </c:rich>
          </c:tx>
          <c:layout>
            <c:manualLayout>
              <c:xMode val="edge"/>
              <c:yMode val="edge"/>
              <c:x val="0.36584643797039879"/>
              <c:y val="0.910330937964372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E+0" sourceLinked="0"/>
        <c:majorTickMark val="none"/>
        <c:minorTickMark val="none"/>
        <c:tickLblPos val="high"/>
        <c:spPr>
          <a:noFill/>
          <a:ln w="12700">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80062808"/>
        <c:crosses val="autoZero"/>
        <c:crossBetween val="between"/>
      </c:valAx>
      <c:valAx>
        <c:axId val="599814248"/>
        <c:scaling>
          <c:orientation val="minMax"/>
          <c:max val="7"/>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0312"/>
        <c:crosses val="autoZero"/>
        <c:crossBetween val="midCat"/>
      </c:valAx>
      <c:valAx>
        <c:axId val="599810312"/>
        <c:scaling>
          <c:logBase val="10"/>
          <c:orientation val="minMax"/>
          <c:max val="1"/>
          <c:min val="1.0000000000000005E-7"/>
        </c:scaling>
        <c:delete val="0"/>
        <c:axPos val="t"/>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99814248"/>
        <c:crosses val="max"/>
        <c:crossBetween val="midCat"/>
      </c:valAx>
      <c:spPr>
        <a:noFill/>
        <a:ln>
          <a:solidFill>
            <a:sysClr val="windowText" lastClr="000000"/>
          </a:solidFill>
        </a:ln>
        <a:effectLst/>
      </c:spPr>
    </c:plotArea>
    <c:legend>
      <c:legendPos val="r"/>
      <c:legendEntry>
        <c:idx val="2"/>
        <c:delete val="1"/>
      </c:legendEntry>
      <c:layout>
        <c:manualLayout>
          <c:xMode val="edge"/>
          <c:yMode val="edge"/>
          <c:x val="0.83664329828752293"/>
          <c:y val="0.43264170546451891"/>
          <c:w val="0.15639498764417403"/>
          <c:h val="0.134271614509564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224117</xdr:colOff>
      <xdr:row>63</xdr:row>
      <xdr:rowOff>0</xdr:rowOff>
    </xdr:from>
    <xdr:to>
      <xdr:col>6</xdr:col>
      <xdr:colOff>105598</xdr:colOff>
      <xdr:row>79</xdr:row>
      <xdr:rowOff>82419</xdr:rowOff>
    </xdr:to>
    <xdr:graphicFrame macro="">
      <xdr:nvGraphicFramePr>
        <xdr:cNvPr id="11" name="Chart 10">
          <a:extLst>
            <a:ext uri="{FF2B5EF4-FFF2-40B4-BE49-F238E27FC236}">
              <a16:creationId xmlns:a16="http://schemas.microsoft.com/office/drawing/2014/main" id="{7A294A65-57CF-4E56-97C7-322514CA5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1438551</xdr:colOff>
      <xdr:row>76</xdr:row>
      <xdr:rowOff>85990</xdr:rowOff>
    </xdr:from>
    <xdr:ext cx="4202906" cy="416719"/>
    <xdr:sp macro="" textlink="">
      <xdr:nvSpPr>
        <xdr:cNvPr id="12" name="TextBox 11">
          <a:extLst>
            <a:ext uri="{FF2B5EF4-FFF2-40B4-BE49-F238E27FC236}">
              <a16:creationId xmlns:a16="http://schemas.microsoft.com/office/drawing/2014/main" id="{495A76DD-4A9E-4738-8CA9-AEB47B209F7D}"/>
            </a:ext>
          </a:extLst>
        </xdr:cNvPr>
        <xdr:cNvSpPr txBox="1"/>
      </xdr:nvSpPr>
      <xdr:spPr>
        <a:xfrm>
          <a:off x="1617845" y="12390049"/>
          <a:ext cx="4202906" cy="416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0.1                                 10                               1,000                         100,000</a:t>
          </a:r>
          <a:r>
            <a:rPr lang="en-US" sz="1000" baseline="0"/>
            <a:t> </a:t>
          </a:r>
        </a:p>
        <a:p>
          <a:pPr algn="ctr"/>
          <a:r>
            <a:rPr lang="en-US" sz="1000" baseline="0"/>
            <a:t>excess risk per million</a:t>
          </a:r>
          <a:endParaRPr lang="en-US" sz="1000"/>
        </a:p>
      </xdr:txBody>
    </xdr:sp>
    <xdr:clientData/>
  </xdr:oneCellAnchor>
  <xdr:twoCellAnchor>
    <xdr:from>
      <xdr:col>6</xdr:col>
      <xdr:colOff>448235</xdr:colOff>
      <xdr:row>62</xdr:row>
      <xdr:rowOff>179294</xdr:rowOff>
    </xdr:from>
    <xdr:to>
      <xdr:col>14</xdr:col>
      <xdr:colOff>228863</xdr:colOff>
      <xdr:row>79</xdr:row>
      <xdr:rowOff>71213</xdr:rowOff>
    </xdr:to>
    <xdr:graphicFrame macro="">
      <xdr:nvGraphicFramePr>
        <xdr:cNvPr id="8" name="Chart 7">
          <a:extLst>
            <a:ext uri="{FF2B5EF4-FFF2-40B4-BE49-F238E27FC236}">
              <a16:creationId xmlns:a16="http://schemas.microsoft.com/office/drawing/2014/main" id="{F4CC3055-2C1B-4E13-B0FB-CDC207CDA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586904</xdr:colOff>
      <xdr:row>76</xdr:row>
      <xdr:rowOff>74784</xdr:rowOff>
    </xdr:from>
    <xdr:ext cx="4202906" cy="416719"/>
    <xdr:sp macro="" textlink="">
      <xdr:nvSpPr>
        <xdr:cNvPr id="9" name="TextBox 8">
          <a:extLst>
            <a:ext uri="{FF2B5EF4-FFF2-40B4-BE49-F238E27FC236}">
              <a16:creationId xmlns:a16="http://schemas.microsoft.com/office/drawing/2014/main" id="{6EB6D0C9-68E2-40E9-A496-E3D3F9D650FB}"/>
            </a:ext>
          </a:extLst>
        </xdr:cNvPr>
        <xdr:cNvSpPr txBox="1"/>
      </xdr:nvSpPr>
      <xdr:spPr>
        <a:xfrm>
          <a:off x="8520669" y="14676049"/>
          <a:ext cx="4202906" cy="416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0.1                                 10                               1,000                         100,000</a:t>
          </a:r>
          <a:r>
            <a:rPr lang="en-US" sz="1000" baseline="0"/>
            <a:t> </a:t>
          </a:r>
        </a:p>
        <a:p>
          <a:pPr algn="ctr"/>
          <a:r>
            <a:rPr lang="en-US" sz="1000" baseline="0"/>
            <a:t>excess risk per million</a:t>
          </a:r>
          <a:endParaRPr lang="en-US" sz="1000"/>
        </a:p>
      </xdr:txBody>
    </xdr:sp>
    <xdr:clientData/>
  </xdr:oneCellAnchor>
  <xdr:twoCellAnchor>
    <xdr:from>
      <xdr:col>15</xdr:col>
      <xdr:colOff>0</xdr:colOff>
      <xdr:row>63</xdr:row>
      <xdr:rowOff>0</xdr:rowOff>
    </xdr:from>
    <xdr:to>
      <xdr:col>23</xdr:col>
      <xdr:colOff>105599</xdr:colOff>
      <xdr:row>79</xdr:row>
      <xdr:rowOff>82419</xdr:rowOff>
    </xdr:to>
    <xdr:graphicFrame macro="">
      <xdr:nvGraphicFramePr>
        <xdr:cNvPr id="7" name="Chart 6">
          <a:extLst>
            <a:ext uri="{FF2B5EF4-FFF2-40B4-BE49-F238E27FC236}">
              <a16:creationId xmlns:a16="http://schemas.microsoft.com/office/drawing/2014/main" id="{9078E80E-5655-4A8C-8BCC-C8E4A6BDE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174624</xdr:colOff>
      <xdr:row>34</xdr:row>
      <xdr:rowOff>3176</xdr:rowOff>
    </xdr:from>
    <xdr:to>
      <xdr:col>47</xdr:col>
      <xdr:colOff>605118</xdr:colOff>
      <xdr:row>49</xdr:row>
      <xdr:rowOff>0</xdr:rowOff>
    </xdr:to>
    <xdr:graphicFrame macro="">
      <xdr:nvGraphicFramePr>
        <xdr:cNvPr id="10" name="Chart 9">
          <a:extLst>
            <a:ext uri="{FF2B5EF4-FFF2-40B4-BE49-F238E27FC236}">
              <a16:creationId xmlns:a16="http://schemas.microsoft.com/office/drawing/2014/main" id="{76FBEF95-609A-45EC-989B-382593307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0.21139</cdr:x>
      <cdr:y>0.81808</cdr:y>
    </cdr:from>
    <cdr:to>
      <cdr:x>0.9419</cdr:x>
      <cdr:y>0.95119</cdr:y>
    </cdr:to>
    <cdr:sp macro="" textlink="">
      <cdr:nvSpPr>
        <cdr:cNvPr id="2" name="TextBox 8">
          <a:extLst xmlns:a="http://schemas.openxmlformats.org/drawingml/2006/main">
            <a:ext uri="{FF2B5EF4-FFF2-40B4-BE49-F238E27FC236}">
              <a16:creationId xmlns:a16="http://schemas.microsoft.com/office/drawing/2014/main" id="{6EB6D0C9-68E2-40E9-A496-E3D3F9D650FB}"/>
            </a:ext>
          </a:extLst>
        </cdr:cNvPr>
        <cdr:cNvSpPr txBox="1"/>
      </cdr:nvSpPr>
      <cdr:spPr>
        <a:xfrm xmlns:a="http://schemas.openxmlformats.org/drawingml/2006/main">
          <a:off x="1216212" y="2560918"/>
          <a:ext cx="4202906" cy="4167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0.1                                 10                               1,000                         100,000</a:t>
          </a:r>
          <a:r>
            <a:rPr lang="en-US" sz="1000" baseline="0"/>
            <a:t> </a:t>
          </a:r>
        </a:p>
        <a:p xmlns:a="http://schemas.openxmlformats.org/drawingml/2006/main">
          <a:pPr algn="ctr"/>
          <a:r>
            <a:rPr lang="en-US" sz="1000" baseline="0"/>
            <a:t>excess risk per million</a:t>
          </a:r>
          <a:endParaRPr lang="en-US" sz="1000"/>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47624</xdr:colOff>
      <xdr:row>0</xdr:row>
      <xdr:rowOff>57150</xdr:rowOff>
    </xdr:from>
    <xdr:to>
      <xdr:col>4</xdr:col>
      <xdr:colOff>876299</xdr:colOff>
      <xdr:row>4</xdr:row>
      <xdr:rowOff>95250</xdr:rowOff>
    </xdr:to>
    <xdr:sp macro="" textlink="">
      <xdr:nvSpPr>
        <xdr:cNvPr id="2" name="TextBox 1">
          <a:extLst>
            <a:ext uri="{FF2B5EF4-FFF2-40B4-BE49-F238E27FC236}">
              <a16:creationId xmlns:a16="http://schemas.microsoft.com/office/drawing/2014/main" id="{2BCE850C-DE82-42A8-B780-B5501B26753E}"/>
            </a:ext>
          </a:extLst>
        </xdr:cNvPr>
        <xdr:cNvSpPr txBox="1"/>
      </xdr:nvSpPr>
      <xdr:spPr>
        <a:xfrm>
          <a:off x="2124074" y="57150"/>
          <a:ext cx="3076575" cy="9620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b="1"/>
            <a:t>Key</a:t>
          </a:r>
          <a:endParaRPr lang="en-US" sz="900"/>
        </a:p>
        <a:p>
          <a:r>
            <a:rPr lang="en-US" sz="900"/>
            <a:t>             =  </a:t>
          </a:r>
          <a:r>
            <a:rPr lang="en-US" sz="900">
              <a:solidFill>
                <a:srgbClr val="FF0000"/>
              </a:solidFill>
            </a:rPr>
            <a:t>Risk</a:t>
          </a:r>
          <a:r>
            <a:rPr lang="en-US" sz="900"/>
            <a:t>.  </a:t>
          </a:r>
          <a:r>
            <a:rPr lang="en-US" sz="900" baseline="0"/>
            <a:t>       </a:t>
          </a:r>
          <a:r>
            <a:rPr lang="en-US" sz="900" i="1"/>
            <a:t>MOE</a:t>
          </a:r>
          <a:r>
            <a:rPr lang="en-US" sz="900" i="1" baseline="-25000"/>
            <a:t>acute or chronic</a:t>
          </a:r>
          <a:r>
            <a:rPr lang="en-US" sz="900" i="1" baseline="0"/>
            <a:t> &lt; MOE</a:t>
          </a:r>
          <a:r>
            <a:rPr lang="en-US" sz="900" i="1" baseline="-25000"/>
            <a:t>benchmark</a:t>
          </a:r>
          <a:endParaRPr lang="en-US" sz="900" i="0" baseline="0"/>
        </a:p>
        <a:p>
          <a:r>
            <a:rPr lang="en-US" sz="900" i="0" baseline="0"/>
            <a:t>                                  </a:t>
          </a:r>
          <a:r>
            <a:rPr lang="en-US" sz="900" i="1" baseline="0"/>
            <a:t>Cancer Risk &gt; Benchmark Cancer Risk Level</a:t>
          </a:r>
        </a:p>
        <a:p>
          <a:endParaRPr lang="en-US" sz="900" i="1" baseline="0"/>
        </a:p>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latin typeface="+mn-lt"/>
              <a:ea typeface="+mn-ea"/>
              <a:cs typeface="+mn-cs"/>
            </a:rPr>
            <a:t>             =  </a:t>
          </a:r>
          <a:r>
            <a:rPr lang="en-US" sz="900">
              <a:solidFill>
                <a:srgbClr val="339933"/>
              </a:solidFill>
              <a:latin typeface="+mn-lt"/>
              <a:ea typeface="+mn-ea"/>
              <a:cs typeface="+mn-cs"/>
            </a:rPr>
            <a:t>No Risk</a:t>
          </a:r>
          <a:r>
            <a:rPr lang="en-US" sz="900">
              <a:solidFill>
                <a:schemeClr val="dk1"/>
              </a:solidFill>
              <a:latin typeface="+mn-lt"/>
              <a:ea typeface="+mn-ea"/>
              <a:cs typeface="+mn-cs"/>
            </a:rPr>
            <a:t>.   </a:t>
          </a:r>
          <a:r>
            <a:rPr lang="en-US" sz="900" i="1">
              <a:solidFill>
                <a:schemeClr val="dk1"/>
              </a:solidFill>
              <a:latin typeface="+mn-lt"/>
              <a:ea typeface="+mn-ea"/>
              <a:cs typeface="+mn-cs"/>
            </a:rPr>
            <a:t>MOE</a:t>
          </a:r>
          <a:r>
            <a:rPr lang="en-US" sz="900" i="1" baseline="-25000">
              <a:solidFill>
                <a:schemeClr val="dk1"/>
              </a:solidFill>
              <a:latin typeface="+mn-lt"/>
              <a:ea typeface="+mn-ea"/>
              <a:cs typeface="+mn-cs"/>
            </a:rPr>
            <a:t>acute or chronic</a:t>
          </a:r>
          <a:r>
            <a:rPr lang="en-US" sz="900" i="1" baseline="0">
              <a:solidFill>
                <a:schemeClr val="dk1"/>
              </a:solidFill>
              <a:latin typeface="+mn-lt"/>
              <a:ea typeface="+mn-ea"/>
              <a:cs typeface="+mn-cs"/>
            </a:rPr>
            <a:t> ≥ MOE</a:t>
          </a:r>
          <a:r>
            <a:rPr lang="en-US" sz="900" i="1" baseline="-25000">
              <a:solidFill>
                <a:schemeClr val="dk1"/>
              </a:solidFill>
              <a:latin typeface="+mn-lt"/>
              <a:ea typeface="+mn-ea"/>
              <a:cs typeface="+mn-cs"/>
            </a:rPr>
            <a:t>benchmark</a:t>
          </a:r>
          <a:endParaRPr lang="en-US" sz="90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900" i="0" baseline="0">
              <a:solidFill>
                <a:schemeClr val="dk1"/>
              </a:solidFill>
              <a:latin typeface="+mn-lt"/>
              <a:ea typeface="+mn-ea"/>
              <a:cs typeface="+mn-cs"/>
            </a:rPr>
            <a:t>                                  </a:t>
          </a:r>
          <a:r>
            <a:rPr lang="en-US" sz="900" i="1" baseline="0">
              <a:solidFill>
                <a:schemeClr val="dk1"/>
              </a:solidFill>
              <a:latin typeface="+mn-lt"/>
              <a:ea typeface="+mn-ea"/>
              <a:cs typeface="+mn-cs"/>
            </a:rPr>
            <a:t>Cancer Risk ≤ Benchmark Cancer Risk Level</a:t>
          </a:r>
          <a:endParaRPr lang="en-US" sz="900" i="1">
            <a:solidFill>
              <a:schemeClr val="dk1"/>
            </a:solidFill>
            <a:latin typeface="+mn-lt"/>
            <a:ea typeface="+mn-ea"/>
            <a:cs typeface="+mn-cs"/>
          </a:endParaRPr>
        </a:p>
      </xdr:txBody>
    </xdr:sp>
    <xdr:clientData/>
  </xdr:twoCellAnchor>
  <xdr:twoCellAnchor>
    <xdr:from>
      <xdr:col>2</xdr:col>
      <xdr:colOff>190499</xdr:colOff>
      <xdr:row>1</xdr:row>
      <xdr:rowOff>47625</xdr:rowOff>
    </xdr:from>
    <xdr:to>
      <xdr:col>2</xdr:col>
      <xdr:colOff>400049</xdr:colOff>
      <xdr:row>1</xdr:row>
      <xdr:rowOff>176212</xdr:rowOff>
    </xdr:to>
    <xdr:sp macro="" textlink="">
      <xdr:nvSpPr>
        <xdr:cNvPr id="3" name="Rectangle 2">
          <a:extLst>
            <a:ext uri="{FF2B5EF4-FFF2-40B4-BE49-F238E27FC236}">
              <a16:creationId xmlns:a16="http://schemas.microsoft.com/office/drawing/2014/main" id="{7F8A4324-EC64-4439-A56B-62A66FEA45A1}"/>
            </a:ext>
          </a:extLst>
        </xdr:cNvPr>
        <xdr:cNvSpPr/>
      </xdr:nvSpPr>
      <xdr:spPr>
        <a:xfrm>
          <a:off x="2266949" y="247650"/>
          <a:ext cx="209550" cy="128587"/>
        </a:xfrm>
        <a:prstGeom prst="rect">
          <a:avLst/>
        </a:prstGeom>
        <a:solidFill>
          <a:srgbClr val="FF9999"/>
        </a:solidFill>
        <a:ln w="1270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190499</xdr:colOff>
      <xdr:row>2</xdr:row>
      <xdr:rowOff>148590</xdr:rowOff>
    </xdr:from>
    <xdr:to>
      <xdr:col>2</xdr:col>
      <xdr:colOff>398387</xdr:colOff>
      <xdr:row>3</xdr:row>
      <xdr:rowOff>71438</xdr:rowOff>
    </xdr:to>
    <xdr:sp macro="" textlink="">
      <xdr:nvSpPr>
        <xdr:cNvPr id="4" name="Rectangle 3">
          <a:extLst>
            <a:ext uri="{FF2B5EF4-FFF2-40B4-BE49-F238E27FC236}">
              <a16:creationId xmlns:a16="http://schemas.microsoft.com/office/drawing/2014/main" id="{76CFD89D-0152-4A90-9361-E2339E139234}"/>
            </a:ext>
          </a:extLst>
        </xdr:cNvPr>
        <xdr:cNvSpPr/>
      </xdr:nvSpPr>
      <xdr:spPr>
        <a:xfrm>
          <a:off x="2266949" y="681990"/>
          <a:ext cx="207888" cy="122873"/>
        </a:xfrm>
        <a:prstGeom prst="rect">
          <a:avLst/>
        </a:prstGeom>
        <a:solidFill>
          <a:srgbClr val="CCFFCC"/>
        </a:solidFill>
        <a:ln w="12700">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15</xdr:col>
      <xdr:colOff>342900</xdr:colOff>
      <xdr:row>17</xdr:row>
      <xdr:rowOff>85725</xdr:rowOff>
    </xdr:from>
    <xdr:to>
      <xdr:col>21</xdr:col>
      <xdr:colOff>627062</xdr:colOff>
      <xdr:row>35</xdr:row>
      <xdr:rowOff>77448</xdr:rowOff>
    </xdr:to>
    <xdr:graphicFrame macro="">
      <xdr:nvGraphicFramePr>
        <xdr:cNvPr id="5" name="Chart 4">
          <a:extLst>
            <a:ext uri="{FF2B5EF4-FFF2-40B4-BE49-F238E27FC236}">
              <a16:creationId xmlns:a16="http://schemas.microsoft.com/office/drawing/2014/main" id="{5118A4B0-00BE-48C1-BAA8-7676386B1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Fiola/Desktop/PERC%20Risk%20Calc/PCE%20Exposure%20Data%20Summary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PERC/Risk%20Evaluation/Engineering%20Assessment/Calculation%20Spreadsheets/PCE%20Exposure%20Data%20Summary_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B/ExistingChems/Work%20Plan%20Chemicals/PERC/Risk%20Evaluation/Engineering%20Assessment/Calculation%20Spreadsheets/PCE%20Exposure%20Data%20Summary_wor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NBaylis\Carbon%20tet\CCl4%20Risk%20Calculator_4-24-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sepa-my.sharepoint.com/personal/brinkerhoff_chris_epa_gov/Documents/Documents/DCM/TCE%20Risk%20Calculator%20V.13.4_6.1.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ADC_LADC%20Exposure%20Calcs_2018.11.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B/ExistingChems/Work%20Plan%20Chemicals/CCl4/Risk%20Evaluation/Engineering%20Assessment/Calculation%20Spreadsheets/CCl4%20ADC_LADC%20Exposure%20Calcs_2018.11.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sepa-my.sharepoint.com/CEB/ExistingChems/Work%20Plan%20Chemicals/CCl4/Risk%20Evaluation/Engineering%20Assessment/Calculation%20Spreadsheets/CCl4%20Exposure%20Data%20Summary_12_4_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EB/ExistingChems/Work%20Plan%20Chemicals/CCl4/Risk%20Evaluation/Engineering%20Assessment/Calculation%20Spreadsheets/CCl4%20Exposure%20Data%20Summary_12_4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Intermediate"/>
      <sheetName val="Formulation"/>
      <sheetName val="Open-Top Degreasing"/>
      <sheetName val="Closed-Loop Degreasing"/>
      <sheetName val="Cold Cleaning"/>
      <sheetName val="Wipe Cleaning"/>
      <sheetName val="Degreasing (unspecified)"/>
      <sheetName val="Aerosol Degreasing"/>
      <sheetName val="Dry Cleaning"/>
      <sheetName val="Adhesive-Coatings"/>
      <sheetName val="Chemical Maskant"/>
      <sheetName val="MWF"/>
      <sheetName val="Other Spot Cleaning"/>
      <sheetName val="Printing"/>
      <sheetName val="Photocopying"/>
      <sheetName val="Photographic Film"/>
      <sheetName val="Misc. Cleaning"/>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
          <cell r="C3">
            <v>8</v>
          </cell>
        </row>
        <row r="6">
          <cell r="C6">
            <v>250</v>
          </cell>
        </row>
        <row r="7">
          <cell r="C7">
            <v>40</v>
          </cell>
        </row>
        <row r="8">
          <cell r="C8">
            <v>31</v>
          </cell>
        </row>
        <row r="10">
          <cell r="C10">
            <v>350400</v>
          </cell>
        </row>
        <row r="11">
          <cell r="C11">
            <v>271560</v>
          </cell>
        </row>
        <row r="16">
          <cell r="C16">
            <v>8</v>
          </cell>
        </row>
        <row r="17">
          <cell r="C17">
            <v>8</v>
          </cell>
        </row>
        <row r="18">
          <cell r="C18">
            <v>12</v>
          </cell>
        </row>
        <row r="19">
          <cell r="C19">
            <v>293</v>
          </cell>
        </row>
        <row r="20">
          <cell r="C20">
            <v>258</v>
          </cell>
        </row>
        <row r="21">
          <cell r="C21">
            <v>40</v>
          </cell>
        </row>
        <row r="22">
          <cell r="C22">
            <v>31</v>
          </cell>
        </row>
        <row r="24">
          <cell r="C24">
            <v>350400</v>
          </cell>
        </row>
        <row r="25">
          <cell r="C25">
            <v>271560</v>
          </cell>
        </row>
        <row r="26">
          <cell r="C26">
            <v>683280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Manufacture"/>
      <sheetName val="Formulation"/>
      <sheetName val="Open-Top Degreasing"/>
      <sheetName val="Closed-Loop Degreasing"/>
      <sheetName val="Cold Cleaning"/>
      <sheetName val="Degreasing (unspecified)"/>
      <sheetName val="Aerosol Degreasing"/>
      <sheetName val="Dry Cleaning"/>
      <sheetName val="Adhesive-Coatings"/>
      <sheetName val="Chemical Maskant"/>
      <sheetName val="MWF"/>
      <sheetName val="Wipe Cleaning"/>
      <sheetName val="Other Spot Cleaning"/>
      <sheetName val="Printing"/>
      <sheetName val="Photocopying"/>
      <sheetName val="Photographic Film"/>
      <sheetName val="Misc. Cleaning"/>
      <sheetName val="Constants"/>
      <sheetName val="Intermediate"/>
      <sheetName val="Other Cleaning"/>
      <sheetName val="Sources"/>
      <sheetName val="Version"/>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ow r="3">
          <cell r="C3">
            <v>8</v>
          </cell>
        </row>
        <row r="4">
          <cell r="C4">
            <v>8</v>
          </cell>
        </row>
        <row r="5">
          <cell r="C5">
            <v>8</v>
          </cell>
        </row>
        <row r="10">
          <cell r="C10">
            <v>350400</v>
          </cell>
        </row>
      </sheetData>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R"/>
      <sheetName val="Exposure Results"/>
      <sheetName val="Hazard Values"/>
      <sheetName val="ListValues"/>
    </sheetNames>
    <sheetDataSet>
      <sheetData sheetId="0">
        <row r="3">
          <cell r="C3" t="str">
            <v>Import/Repackaging</v>
          </cell>
        </row>
      </sheetData>
      <sheetData sheetId="1"/>
      <sheetData sheetId="2"/>
      <sheetData sheetId="3">
        <row r="6">
          <cell r="F6" t="str">
            <v>Tox01</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R"/>
      <sheetName val="Health Data"/>
      <sheetName val="Dermal Crosswalk"/>
      <sheetName val="Dermal Exposure"/>
      <sheetName val="Inhalation Exposure"/>
      <sheetName val="List Values"/>
      <sheetName val="Exposure Factors"/>
    </sheetNames>
    <sheetDataSet>
      <sheetData sheetId="0" refreshError="1"/>
      <sheetData sheetId="1">
        <row r="79">
          <cell r="R79" t="str">
            <v>Dermal Cancer Risk Estimates</v>
          </cell>
        </row>
      </sheetData>
      <sheetData sheetId="2" refreshError="1"/>
      <sheetData sheetId="3" refreshError="1"/>
      <sheetData sheetId="4" refreshError="1"/>
      <sheetData sheetId="5" refreshError="1"/>
      <sheetData sheetId="6">
        <row r="19">
          <cell r="H19">
            <v>31</v>
          </cell>
        </row>
        <row r="20">
          <cell r="H20">
            <v>40</v>
          </cell>
        </row>
        <row r="21">
          <cell r="H21">
            <v>78</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QC"/>
      <sheetName val="Constants"/>
      <sheetName val="1 - MFG"/>
      <sheetName val="Model"/>
      <sheetName val="NA"/>
      <sheetName val="Data comparison"/>
    </sheetNames>
    <sheetDataSet>
      <sheetData sheetId="0"/>
      <sheetData sheetId="1"/>
      <sheetData sheetId="2">
        <row r="4">
          <cell r="B4">
            <v>24.45</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
      <sheetName val="Summary"/>
      <sheetName val="Constants"/>
      <sheetName val="Manufacture"/>
      <sheetName val="Specialty Uses - Aerospace"/>
      <sheetName val="Intermediate_Processing"/>
      <sheetName val="Reactant"/>
    </sheetNames>
    <sheetDataSet>
      <sheetData sheetId="0" refreshError="1"/>
      <sheetData sheetId="1" refreshError="1"/>
      <sheetData sheetId="2" refreshError="1">
        <row r="3">
          <cell r="B3">
            <v>153.82</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394E-19BD-4E0F-93C0-17281061579B}">
  <sheetPr>
    <tabColor rgb="FF92D050"/>
  </sheetPr>
  <dimension ref="A3:A12"/>
  <sheetViews>
    <sheetView tabSelected="1" workbookViewId="0">
      <selection activeCell="E12" sqref="E12"/>
    </sheetView>
  </sheetViews>
  <sheetFormatPr defaultRowHeight="15" x14ac:dyDescent="0.25"/>
  <sheetData>
    <row r="3" spans="1:1" ht="20.25" x14ac:dyDescent="0.25">
      <c r="A3" s="479" t="s">
        <v>412</v>
      </c>
    </row>
    <row r="4" spans="1:1" ht="20.25" x14ac:dyDescent="0.25">
      <c r="A4" s="479" t="s">
        <v>413</v>
      </c>
    </row>
    <row r="6" spans="1:1" ht="20.25" x14ac:dyDescent="0.25">
      <c r="A6" s="479" t="s">
        <v>414</v>
      </c>
    </row>
    <row r="8" spans="1:1" ht="20.25" x14ac:dyDescent="0.25">
      <c r="A8" s="479" t="s">
        <v>415</v>
      </c>
    </row>
    <row r="10" spans="1:1" ht="20.25" x14ac:dyDescent="0.25">
      <c r="A10" s="479" t="s">
        <v>416</v>
      </c>
    </row>
    <row r="12" spans="1:1" ht="19.5" x14ac:dyDescent="0.35">
      <c r="A12" s="480" t="s">
        <v>417</v>
      </c>
    </row>
  </sheetData>
  <sheetProtection algorithmName="SHA-512" hashValue="ukTZ8tgAym6V1Xs3gvSwBs1l5aQ80vPkh6yLMJ1ux/Nmbz4Kx7ejRBqNEuBQxss1U6zKWUELGuVKlaq8t4JgOw==" saltValue="ncRRyZuNbQUlEFh3RfzxAA=="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24A21-213D-4631-A377-5208C5C9ABB2}">
  <sheetPr>
    <tabColor theme="1"/>
  </sheetPr>
  <dimension ref="B1:S30"/>
  <sheetViews>
    <sheetView workbookViewId="0">
      <selection sqref="A1:XFD1048576"/>
    </sheetView>
  </sheetViews>
  <sheetFormatPr defaultColWidth="9.140625" defaultRowHeight="12.75" x14ac:dyDescent="0.2"/>
  <cols>
    <col min="1" max="1" width="9.140625" style="28"/>
    <col min="2" max="2" width="22.42578125" style="28" customWidth="1"/>
    <col min="3" max="3" width="15.7109375" style="28" bestFit="1" customWidth="1"/>
    <col min="4" max="4" width="11.7109375" style="28" bestFit="1" customWidth="1"/>
    <col min="5" max="5" width="11.7109375" style="28" customWidth="1"/>
    <col min="6" max="6" width="15.42578125" style="28" customWidth="1"/>
    <col min="7" max="7" width="35.42578125" style="28" customWidth="1"/>
    <col min="8" max="8" width="15.140625" style="28" bestFit="1" customWidth="1"/>
    <col min="9" max="9" width="15.28515625" style="28" customWidth="1"/>
    <col min="10" max="14" width="15.7109375" style="28" customWidth="1"/>
    <col min="15" max="15" width="15.85546875" style="28" customWidth="1"/>
    <col min="16" max="16" width="110.42578125" style="28" customWidth="1"/>
    <col min="17" max="17" width="14.85546875" style="28" hidden="1" customWidth="1"/>
    <col min="18" max="18" width="6.28515625" style="28" customWidth="1"/>
    <col min="19" max="19" width="15.85546875" style="28" bestFit="1" customWidth="1"/>
    <col min="20" max="16384" width="9.140625" style="28"/>
  </cols>
  <sheetData>
    <row r="1" spans="2:19" x14ac:dyDescent="0.2">
      <c r="B1" s="188" t="s">
        <v>229</v>
      </c>
      <c r="R1" s="189"/>
      <c r="S1" s="28" t="s">
        <v>230</v>
      </c>
    </row>
    <row r="2" spans="2:19" x14ac:dyDescent="0.2">
      <c r="B2" s="190" t="s">
        <v>231</v>
      </c>
    </row>
    <row r="3" spans="2:19" ht="13.5" thickBot="1" x14ac:dyDescent="0.25">
      <c r="J3" s="637" t="s">
        <v>232</v>
      </c>
      <c r="K3" s="637"/>
      <c r="L3" s="637"/>
      <c r="M3" s="637"/>
      <c r="N3" s="637"/>
    </row>
    <row r="4" spans="2:19" s="199" customFormat="1" ht="38.25" x14ac:dyDescent="0.2">
      <c r="B4" s="191" t="s">
        <v>233</v>
      </c>
      <c r="C4" s="191" t="s">
        <v>234</v>
      </c>
      <c r="D4" s="191" t="s">
        <v>235</v>
      </c>
      <c r="E4" s="192"/>
      <c r="F4" s="193" t="s">
        <v>204</v>
      </c>
      <c r="G4" s="193" t="s">
        <v>236</v>
      </c>
      <c r="H4" s="193" t="s">
        <v>237</v>
      </c>
      <c r="I4" s="194" t="s">
        <v>238</v>
      </c>
      <c r="J4" s="195" t="s">
        <v>239</v>
      </c>
      <c r="K4" s="196" t="s">
        <v>240</v>
      </c>
      <c r="L4" s="196" t="s">
        <v>241</v>
      </c>
      <c r="M4" s="196" t="s">
        <v>242</v>
      </c>
      <c r="N4" s="197" t="s">
        <v>243</v>
      </c>
      <c r="O4" s="198" t="s">
        <v>244</v>
      </c>
    </row>
    <row r="5" spans="2:19" x14ac:dyDescent="0.2">
      <c r="B5" s="200" t="s">
        <v>245</v>
      </c>
      <c r="C5" s="201">
        <v>84.9</v>
      </c>
      <c r="D5" s="52" t="s">
        <v>246</v>
      </c>
      <c r="E5" s="202"/>
      <c r="F5" s="203">
        <v>1</v>
      </c>
      <c r="G5" s="213" t="s">
        <v>11</v>
      </c>
      <c r="H5" s="203" t="s">
        <v>247</v>
      </c>
      <c r="I5" s="204">
        <v>1</v>
      </c>
      <c r="J5" s="205">
        <f t="shared" ref="J5:J29" si="0">IFERROR($C$7*$C$8*$C$9*I5*O5, "")</f>
        <v>179.76</v>
      </c>
      <c r="K5" s="206">
        <f t="shared" ref="K5:K29" si="1">IFERROR(J5/5, "")</f>
        <v>35.951999999999998</v>
      </c>
      <c r="L5" s="206">
        <f t="shared" ref="L5:L29" si="2">IFERROR(J5/10, "")</f>
        <v>17.975999999999999</v>
      </c>
      <c r="M5" s="207">
        <f t="shared" ref="M5:M29" si="3">IFERROR(J5/20, "")</f>
        <v>8.9879999999999995</v>
      </c>
      <c r="N5" s="208">
        <f t="shared" ref="N5:N29" si="4">$C$7*$C$8*$C$9*I5</f>
        <v>2247</v>
      </c>
      <c r="O5" s="209">
        <f>IF(H5="Industrial", 0.08, 0.13)</f>
        <v>0.08</v>
      </c>
    </row>
    <row r="6" spans="2:19" x14ac:dyDescent="0.2">
      <c r="B6" s="200" t="s">
        <v>248</v>
      </c>
      <c r="C6" s="53">
        <v>435</v>
      </c>
      <c r="D6" s="52" t="s">
        <v>249</v>
      </c>
      <c r="E6" s="202"/>
      <c r="F6" s="203">
        <v>1</v>
      </c>
      <c r="G6" s="213" t="s">
        <v>182</v>
      </c>
      <c r="H6" s="203" t="s">
        <v>247</v>
      </c>
      <c r="I6" s="204">
        <v>1</v>
      </c>
      <c r="J6" s="205">
        <f t="shared" si="0"/>
        <v>179.76</v>
      </c>
      <c r="K6" s="206">
        <f t="shared" si="1"/>
        <v>35.951999999999998</v>
      </c>
      <c r="L6" s="206">
        <f t="shared" si="2"/>
        <v>17.975999999999999</v>
      </c>
      <c r="M6" s="207">
        <f t="shared" si="3"/>
        <v>8.9879999999999995</v>
      </c>
      <c r="N6" s="208">
        <f t="shared" si="4"/>
        <v>2247</v>
      </c>
      <c r="O6" s="209">
        <f t="shared" ref="O6:O29" si="5">IF(H6="Industrial", 0.08, 0.13)</f>
        <v>0.08</v>
      </c>
    </row>
    <row r="7" spans="2:19" ht="15" x14ac:dyDescent="0.2">
      <c r="B7" s="210" t="s">
        <v>250</v>
      </c>
      <c r="C7" s="52">
        <v>1070</v>
      </c>
      <c r="D7" s="52" t="s">
        <v>251</v>
      </c>
      <c r="E7" s="202"/>
      <c r="F7" s="203">
        <v>1</v>
      </c>
      <c r="G7" s="213" t="s">
        <v>180</v>
      </c>
      <c r="H7" s="203" t="s">
        <v>247</v>
      </c>
      <c r="I7" s="204">
        <v>1</v>
      </c>
      <c r="J7" s="205">
        <f t="shared" si="0"/>
        <v>179.76</v>
      </c>
      <c r="K7" s="206">
        <f t="shared" si="1"/>
        <v>35.951999999999998</v>
      </c>
      <c r="L7" s="206">
        <f t="shared" si="2"/>
        <v>17.975999999999999</v>
      </c>
      <c r="M7" s="207">
        <f t="shared" si="3"/>
        <v>8.9879999999999995</v>
      </c>
      <c r="N7" s="208">
        <f t="shared" si="4"/>
        <v>2247</v>
      </c>
      <c r="O7" s="209">
        <f t="shared" si="5"/>
        <v>0.08</v>
      </c>
    </row>
    <row r="8" spans="2:19" ht="27" x14ac:dyDescent="0.2">
      <c r="B8" s="210" t="s">
        <v>252</v>
      </c>
      <c r="C8" s="52">
        <v>2.1</v>
      </c>
      <c r="D8" s="52" t="s">
        <v>253</v>
      </c>
      <c r="E8" s="202"/>
      <c r="F8" s="203">
        <v>1</v>
      </c>
      <c r="G8" s="213" t="s">
        <v>181</v>
      </c>
      <c r="H8" s="203" t="s">
        <v>247</v>
      </c>
      <c r="I8" s="204">
        <v>1</v>
      </c>
      <c r="J8" s="205">
        <f t="shared" si="0"/>
        <v>179.76</v>
      </c>
      <c r="K8" s="206">
        <f t="shared" si="1"/>
        <v>35.951999999999998</v>
      </c>
      <c r="L8" s="206">
        <f t="shared" si="2"/>
        <v>17.975999999999999</v>
      </c>
      <c r="M8" s="207">
        <f t="shared" si="3"/>
        <v>8.9879999999999995</v>
      </c>
      <c r="N8" s="208">
        <f t="shared" si="4"/>
        <v>2247</v>
      </c>
      <c r="O8" s="209">
        <f t="shared" si="5"/>
        <v>0.08</v>
      </c>
    </row>
    <row r="9" spans="2:19" x14ac:dyDescent="0.2">
      <c r="B9" s="210" t="s">
        <v>254</v>
      </c>
      <c r="C9" s="52">
        <v>1</v>
      </c>
      <c r="D9" s="52" t="s">
        <v>255</v>
      </c>
      <c r="E9" s="202"/>
      <c r="F9" s="203">
        <v>1</v>
      </c>
      <c r="G9" s="213" t="s">
        <v>199</v>
      </c>
      <c r="H9" s="203" t="s">
        <v>247</v>
      </c>
      <c r="I9" s="204">
        <v>1</v>
      </c>
      <c r="J9" s="205">
        <f>IFERROR($C$7*$C$8*$C$9*I9*O9, "")</f>
        <v>179.76</v>
      </c>
      <c r="K9" s="206">
        <f>IFERROR(J9/5, "")</f>
        <v>35.951999999999998</v>
      </c>
      <c r="L9" s="206">
        <f>IFERROR(J9/10, "")</f>
        <v>17.975999999999999</v>
      </c>
      <c r="M9" s="207">
        <f>IFERROR(J9/20, "")</f>
        <v>8.9879999999999995</v>
      </c>
      <c r="N9" s="208">
        <f>$C$7*$C$8*$C$9*I9</f>
        <v>2247</v>
      </c>
      <c r="O9" s="209">
        <f t="shared" si="5"/>
        <v>0.08</v>
      </c>
    </row>
    <row r="10" spans="2:19" ht="63.75" x14ac:dyDescent="0.2">
      <c r="B10" s="212"/>
      <c r="C10" s="154"/>
      <c r="D10" s="154"/>
      <c r="E10" s="202"/>
      <c r="F10" s="203">
        <v>2</v>
      </c>
      <c r="G10" s="213" t="s">
        <v>187</v>
      </c>
      <c r="H10" s="203" t="s">
        <v>247</v>
      </c>
      <c r="I10" s="204">
        <v>1</v>
      </c>
      <c r="J10" s="205">
        <f t="shared" si="0"/>
        <v>179.76</v>
      </c>
      <c r="K10" s="206">
        <f t="shared" si="1"/>
        <v>35.951999999999998</v>
      </c>
      <c r="L10" s="206">
        <f t="shared" si="2"/>
        <v>17.975999999999999</v>
      </c>
      <c r="M10" s="207">
        <f t="shared" si="3"/>
        <v>8.9879999999999995</v>
      </c>
      <c r="N10" s="208">
        <f t="shared" si="4"/>
        <v>2247</v>
      </c>
      <c r="O10" s="209">
        <f t="shared" si="5"/>
        <v>0.08</v>
      </c>
      <c r="P10" s="27" t="s">
        <v>256</v>
      </c>
    </row>
    <row r="11" spans="2:19" x14ac:dyDescent="0.2">
      <c r="F11" s="203">
        <v>2</v>
      </c>
      <c r="G11" s="213" t="s">
        <v>188</v>
      </c>
      <c r="H11" s="203" t="s">
        <v>247</v>
      </c>
      <c r="I11" s="204">
        <v>1</v>
      </c>
      <c r="J11" s="205">
        <f>IFERROR($C$7*$C$8*$C$9*I11*O11, "")</f>
        <v>179.76</v>
      </c>
      <c r="K11" s="206">
        <f>IFERROR(J11/5, "")</f>
        <v>35.951999999999998</v>
      </c>
      <c r="L11" s="206">
        <f>IFERROR(J11/10, "")</f>
        <v>17.975999999999999</v>
      </c>
      <c r="M11" s="207">
        <f>IFERROR(J11/20, "")</f>
        <v>8.9879999999999995</v>
      </c>
      <c r="N11" s="208">
        <f>$C$7*$C$8*$C$9*I11</f>
        <v>2247</v>
      </c>
      <c r="O11" s="209">
        <f t="shared" si="5"/>
        <v>0.08</v>
      </c>
      <c r="P11" s="27"/>
    </row>
    <row r="12" spans="2:19" x14ac:dyDescent="0.2">
      <c r="F12" s="203">
        <v>2</v>
      </c>
      <c r="G12" s="213" t="s">
        <v>212</v>
      </c>
      <c r="H12" s="203" t="s">
        <v>247</v>
      </c>
      <c r="I12" s="204">
        <v>1</v>
      </c>
      <c r="J12" s="205">
        <f t="shared" si="0"/>
        <v>179.76</v>
      </c>
      <c r="K12" s="206">
        <f t="shared" si="1"/>
        <v>35.951999999999998</v>
      </c>
      <c r="L12" s="206">
        <f t="shared" si="2"/>
        <v>17.975999999999999</v>
      </c>
      <c r="M12" s="207">
        <f t="shared" si="3"/>
        <v>8.9879999999999995</v>
      </c>
      <c r="N12" s="208">
        <f t="shared" si="4"/>
        <v>2247</v>
      </c>
      <c r="O12" s="209">
        <f t="shared" si="5"/>
        <v>0.08</v>
      </c>
      <c r="P12" s="28" t="s">
        <v>257</v>
      </c>
    </row>
    <row r="13" spans="2:19" x14ac:dyDescent="0.2">
      <c r="F13" s="203">
        <v>2</v>
      </c>
      <c r="G13" s="213" t="s">
        <v>196</v>
      </c>
      <c r="H13" s="203" t="s">
        <v>247</v>
      </c>
      <c r="I13" s="204">
        <v>1</v>
      </c>
      <c r="J13" s="205">
        <f t="shared" si="0"/>
        <v>179.76</v>
      </c>
      <c r="K13" s="206">
        <f t="shared" si="1"/>
        <v>35.951999999999998</v>
      </c>
      <c r="L13" s="206">
        <f t="shared" si="2"/>
        <v>17.975999999999999</v>
      </c>
      <c r="M13" s="207">
        <f t="shared" si="3"/>
        <v>8.9879999999999995</v>
      </c>
      <c r="N13" s="208">
        <f t="shared" si="4"/>
        <v>2247</v>
      </c>
      <c r="O13" s="209">
        <f t="shared" si="5"/>
        <v>0.08</v>
      </c>
      <c r="P13" s="28" t="s">
        <v>258</v>
      </c>
    </row>
    <row r="14" spans="2:19" ht="25.5" x14ac:dyDescent="0.2">
      <c r="F14" s="203">
        <v>2</v>
      </c>
      <c r="G14" s="213" t="s">
        <v>183</v>
      </c>
      <c r="H14" s="203" t="s">
        <v>247</v>
      </c>
      <c r="I14" s="204">
        <v>1</v>
      </c>
      <c r="J14" s="205">
        <f t="shared" si="0"/>
        <v>179.76</v>
      </c>
      <c r="K14" s="206">
        <f t="shared" si="1"/>
        <v>35.951999999999998</v>
      </c>
      <c r="L14" s="206">
        <f t="shared" si="2"/>
        <v>17.975999999999999</v>
      </c>
      <c r="M14" s="207">
        <f t="shared" si="3"/>
        <v>8.9879999999999995</v>
      </c>
      <c r="N14" s="208">
        <f t="shared" si="4"/>
        <v>2247</v>
      </c>
      <c r="O14" s="209">
        <f t="shared" si="5"/>
        <v>0.08</v>
      </c>
    </row>
    <row r="15" spans="2:19" x14ac:dyDescent="0.2">
      <c r="F15" s="203">
        <v>2</v>
      </c>
      <c r="G15" s="213" t="s">
        <v>184</v>
      </c>
      <c r="H15" s="203" t="s">
        <v>247</v>
      </c>
      <c r="I15" s="204">
        <v>1</v>
      </c>
      <c r="J15" s="205">
        <f t="shared" si="0"/>
        <v>179.76</v>
      </c>
      <c r="K15" s="206">
        <f t="shared" si="1"/>
        <v>35.951999999999998</v>
      </c>
      <c r="L15" s="206">
        <f t="shared" si="2"/>
        <v>17.975999999999999</v>
      </c>
      <c r="M15" s="207">
        <f t="shared" si="3"/>
        <v>8.9879999999999995</v>
      </c>
      <c r="N15" s="208">
        <f t="shared" si="4"/>
        <v>2247</v>
      </c>
      <c r="O15" s="209">
        <f t="shared" si="5"/>
        <v>0.08</v>
      </c>
    </row>
    <row r="16" spans="2:19" x14ac:dyDescent="0.2">
      <c r="F16" s="203">
        <v>2</v>
      </c>
      <c r="G16" s="213" t="s">
        <v>185</v>
      </c>
      <c r="H16" s="203" t="s">
        <v>247</v>
      </c>
      <c r="I16" s="204">
        <v>1</v>
      </c>
      <c r="J16" s="205">
        <f t="shared" si="0"/>
        <v>179.76</v>
      </c>
      <c r="K16" s="206">
        <f t="shared" si="1"/>
        <v>35.951999999999998</v>
      </c>
      <c r="L16" s="206">
        <f t="shared" si="2"/>
        <v>17.975999999999999</v>
      </c>
      <c r="M16" s="207">
        <f t="shared" si="3"/>
        <v>8.9879999999999995</v>
      </c>
      <c r="N16" s="208">
        <f t="shared" si="4"/>
        <v>2247</v>
      </c>
      <c r="O16" s="209">
        <f t="shared" si="5"/>
        <v>0.08</v>
      </c>
    </row>
    <row r="17" spans="6:17" x14ac:dyDescent="0.2">
      <c r="F17" s="203">
        <v>2</v>
      </c>
      <c r="G17" s="213" t="s">
        <v>195</v>
      </c>
      <c r="H17" s="203" t="s">
        <v>247</v>
      </c>
      <c r="I17" s="204">
        <v>1</v>
      </c>
      <c r="J17" s="205">
        <f t="shared" si="0"/>
        <v>179.76</v>
      </c>
      <c r="K17" s="206">
        <f t="shared" si="1"/>
        <v>35.951999999999998</v>
      </c>
      <c r="L17" s="206">
        <f t="shared" si="2"/>
        <v>17.975999999999999</v>
      </c>
      <c r="M17" s="207">
        <f t="shared" si="3"/>
        <v>8.9879999999999995</v>
      </c>
      <c r="N17" s="208">
        <f t="shared" si="4"/>
        <v>2247</v>
      </c>
      <c r="O17" s="209">
        <f t="shared" si="5"/>
        <v>0.08</v>
      </c>
    </row>
    <row r="18" spans="6:17" x14ac:dyDescent="0.2">
      <c r="F18" s="203">
        <v>2</v>
      </c>
      <c r="G18" s="213" t="s">
        <v>198</v>
      </c>
      <c r="H18" s="203" t="s">
        <v>247</v>
      </c>
      <c r="I18" s="204">
        <v>1</v>
      </c>
      <c r="J18" s="205">
        <f t="shared" si="0"/>
        <v>179.76</v>
      </c>
      <c r="K18" s="206">
        <f t="shared" si="1"/>
        <v>35.951999999999998</v>
      </c>
      <c r="L18" s="206">
        <f t="shared" si="2"/>
        <v>17.975999999999999</v>
      </c>
      <c r="M18" s="207">
        <f t="shared" si="3"/>
        <v>8.9879999999999995</v>
      </c>
      <c r="N18" s="208">
        <f t="shared" si="4"/>
        <v>2247</v>
      </c>
      <c r="O18" s="209">
        <f t="shared" si="5"/>
        <v>0.08</v>
      </c>
    </row>
    <row r="19" spans="6:17" ht="25.5" x14ac:dyDescent="0.2">
      <c r="F19" s="203">
        <v>2</v>
      </c>
      <c r="G19" s="213" t="s">
        <v>202</v>
      </c>
      <c r="H19" s="203" t="s">
        <v>247</v>
      </c>
      <c r="I19" s="204">
        <v>1</v>
      </c>
      <c r="J19" s="205">
        <f>IFERROR($C$7*$C$8*$C$9*I19*O19, "")</f>
        <v>179.76</v>
      </c>
      <c r="K19" s="206">
        <f>IFERROR(J19/5, "")</f>
        <v>35.951999999999998</v>
      </c>
      <c r="L19" s="206">
        <f>IFERROR(J19/10, "")</f>
        <v>17.975999999999999</v>
      </c>
      <c r="M19" s="207">
        <f>IFERROR(J19/20, "")</f>
        <v>8.9879999999999995</v>
      </c>
      <c r="N19" s="208">
        <f>$C$7*$C$8*$C$9*I19</f>
        <v>2247</v>
      </c>
      <c r="O19" s="209">
        <f t="shared" si="5"/>
        <v>0.08</v>
      </c>
    </row>
    <row r="20" spans="6:17" ht="63.75" x14ac:dyDescent="0.2">
      <c r="F20" s="203">
        <v>3</v>
      </c>
      <c r="G20" s="213" t="s">
        <v>187</v>
      </c>
      <c r="H20" s="203" t="s">
        <v>259</v>
      </c>
      <c r="I20" s="204">
        <v>1</v>
      </c>
      <c r="J20" s="205">
        <f t="shared" si="0"/>
        <v>292.11</v>
      </c>
      <c r="K20" s="206">
        <f t="shared" si="1"/>
        <v>58.422000000000004</v>
      </c>
      <c r="L20" s="206">
        <f t="shared" si="2"/>
        <v>29.211000000000002</v>
      </c>
      <c r="M20" s="207">
        <f t="shared" si="3"/>
        <v>14.605500000000001</v>
      </c>
      <c r="N20" s="208">
        <f t="shared" si="4"/>
        <v>2247</v>
      </c>
      <c r="O20" s="209">
        <f t="shared" si="5"/>
        <v>0.13</v>
      </c>
      <c r="P20" s="27" t="s">
        <v>256</v>
      </c>
    </row>
    <row r="21" spans="6:17" x14ac:dyDescent="0.2">
      <c r="F21" s="203">
        <v>3</v>
      </c>
      <c r="G21" s="213" t="s">
        <v>188</v>
      </c>
      <c r="H21" s="203" t="s">
        <v>259</v>
      </c>
      <c r="I21" s="204">
        <v>1</v>
      </c>
      <c r="J21" s="205">
        <f>IFERROR($C$7*$C$8*$C$9*I21*O21, "")</f>
        <v>292.11</v>
      </c>
      <c r="K21" s="206">
        <f>IFERROR(J21/5, "")</f>
        <v>58.422000000000004</v>
      </c>
      <c r="L21" s="206">
        <f>IFERROR(J21/10, "")</f>
        <v>29.211000000000002</v>
      </c>
      <c r="M21" s="207">
        <f>IFERROR(J21/20, "")</f>
        <v>14.605500000000001</v>
      </c>
      <c r="N21" s="208">
        <f>$C$7*$C$8*$C$9*I21</f>
        <v>2247</v>
      </c>
      <c r="O21" s="209">
        <f t="shared" si="5"/>
        <v>0.13</v>
      </c>
      <c r="P21" s="27"/>
    </row>
    <row r="22" spans="6:17" x14ac:dyDescent="0.2">
      <c r="F22" s="203">
        <v>3</v>
      </c>
      <c r="G22" s="213" t="s">
        <v>212</v>
      </c>
      <c r="H22" s="203" t="s">
        <v>259</v>
      </c>
      <c r="I22" s="204">
        <v>1</v>
      </c>
      <c r="J22" s="205">
        <f t="shared" si="0"/>
        <v>292.11</v>
      </c>
      <c r="K22" s="206">
        <f t="shared" si="1"/>
        <v>58.422000000000004</v>
      </c>
      <c r="L22" s="206">
        <f t="shared" si="2"/>
        <v>29.211000000000002</v>
      </c>
      <c r="M22" s="207">
        <f t="shared" si="3"/>
        <v>14.605500000000001</v>
      </c>
      <c r="N22" s="208">
        <f t="shared" si="4"/>
        <v>2247</v>
      </c>
      <c r="O22" s="209">
        <f t="shared" si="5"/>
        <v>0.13</v>
      </c>
      <c r="P22" s="28" t="s">
        <v>257</v>
      </c>
    </row>
    <row r="23" spans="6:17" x14ac:dyDescent="0.2">
      <c r="F23" s="203">
        <v>3</v>
      </c>
      <c r="G23" s="213" t="s">
        <v>193</v>
      </c>
      <c r="H23" s="203" t="s">
        <v>259</v>
      </c>
      <c r="I23" s="204">
        <v>0.95</v>
      </c>
      <c r="J23" s="205">
        <f t="shared" si="0"/>
        <v>277.50450000000001</v>
      </c>
      <c r="K23" s="206">
        <f t="shared" si="1"/>
        <v>55.500900000000001</v>
      </c>
      <c r="L23" s="206">
        <f t="shared" si="2"/>
        <v>27.750450000000001</v>
      </c>
      <c r="M23" s="207">
        <f t="shared" si="3"/>
        <v>13.875225</v>
      </c>
      <c r="N23" s="208">
        <f t="shared" si="4"/>
        <v>2134.65</v>
      </c>
      <c r="O23" s="209">
        <f t="shared" si="5"/>
        <v>0.13</v>
      </c>
      <c r="P23" s="28" t="s">
        <v>260</v>
      </c>
    </row>
    <row r="24" spans="6:17" x14ac:dyDescent="0.2">
      <c r="F24" s="203">
        <v>3</v>
      </c>
      <c r="G24" s="213" t="s">
        <v>192</v>
      </c>
      <c r="H24" s="203" t="s">
        <v>259</v>
      </c>
      <c r="I24" s="204">
        <v>0.9</v>
      </c>
      <c r="J24" s="205">
        <f t="shared" si="0"/>
        <v>262.899</v>
      </c>
      <c r="K24" s="206">
        <f t="shared" si="1"/>
        <v>52.579799999999999</v>
      </c>
      <c r="L24" s="206">
        <f t="shared" si="2"/>
        <v>26.289899999999999</v>
      </c>
      <c r="M24" s="207">
        <f t="shared" si="3"/>
        <v>13.14495</v>
      </c>
      <c r="N24" s="208">
        <f t="shared" si="4"/>
        <v>2022.3</v>
      </c>
      <c r="O24" s="209">
        <f t="shared" si="5"/>
        <v>0.13</v>
      </c>
      <c r="P24" s="28" t="s">
        <v>261</v>
      </c>
    </row>
    <row r="25" spans="6:17" x14ac:dyDescent="0.2">
      <c r="F25" s="203">
        <v>3</v>
      </c>
      <c r="G25" s="213" t="s">
        <v>194</v>
      </c>
      <c r="H25" s="203" t="s">
        <v>259</v>
      </c>
      <c r="I25" s="204">
        <v>0.9</v>
      </c>
      <c r="J25" s="205">
        <f>IFERROR($C$7*$C$8*$C$9*I25*O25, "")</f>
        <v>262.899</v>
      </c>
      <c r="K25" s="206">
        <f>IFERROR(J25/5, "")</f>
        <v>52.579799999999999</v>
      </c>
      <c r="L25" s="206">
        <f>IFERROR(J25/10, "")</f>
        <v>26.289899999999999</v>
      </c>
      <c r="M25" s="207">
        <f>IFERROR(J25/20, "")</f>
        <v>13.14495</v>
      </c>
      <c r="N25" s="208">
        <f>$C$7*$C$8*$C$9*I25</f>
        <v>2022.3</v>
      </c>
      <c r="O25" s="209">
        <f t="shared" si="5"/>
        <v>0.13</v>
      </c>
      <c r="P25" s="28" t="s">
        <v>262</v>
      </c>
      <c r="Q25" s="28" t="s">
        <v>247</v>
      </c>
    </row>
    <row r="26" spans="6:17" x14ac:dyDescent="0.2">
      <c r="F26" s="203">
        <v>3</v>
      </c>
      <c r="G26" s="213" t="s">
        <v>200</v>
      </c>
      <c r="H26" s="203" t="s">
        <v>259</v>
      </c>
      <c r="I26" s="204">
        <v>0.88500000000000001</v>
      </c>
      <c r="J26" s="205">
        <f t="shared" si="0"/>
        <v>258.51735000000002</v>
      </c>
      <c r="K26" s="206">
        <f t="shared" si="1"/>
        <v>51.703470000000003</v>
      </c>
      <c r="L26" s="206">
        <f t="shared" si="2"/>
        <v>25.851735000000001</v>
      </c>
      <c r="M26" s="207">
        <f t="shared" si="3"/>
        <v>12.925867500000001</v>
      </c>
      <c r="N26" s="208">
        <f t="shared" si="4"/>
        <v>1988.595</v>
      </c>
      <c r="O26" s="209">
        <f t="shared" si="5"/>
        <v>0.13</v>
      </c>
      <c r="P26" s="28" t="s">
        <v>263</v>
      </c>
    </row>
    <row r="27" spans="6:17" x14ac:dyDescent="0.2">
      <c r="F27" s="203">
        <v>4</v>
      </c>
      <c r="G27" s="213" t="s">
        <v>197</v>
      </c>
      <c r="H27" s="203" t="s">
        <v>259</v>
      </c>
      <c r="I27" s="204">
        <v>1</v>
      </c>
      <c r="J27" s="205">
        <f t="shared" si="0"/>
        <v>292.11</v>
      </c>
      <c r="K27" s="206">
        <f t="shared" si="1"/>
        <v>58.422000000000004</v>
      </c>
      <c r="L27" s="206">
        <f t="shared" si="2"/>
        <v>29.211000000000002</v>
      </c>
      <c r="M27" s="207">
        <f t="shared" si="3"/>
        <v>14.605500000000001</v>
      </c>
      <c r="N27" s="208">
        <f t="shared" si="4"/>
        <v>2247</v>
      </c>
      <c r="O27" s="209">
        <f t="shared" si="5"/>
        <v>0.13</v>
      </c>
      <c r="P27" s="28" t="s">
        <v>264</v>
      </c>
    </row>
    <row r="28" spans="6:17" ht="25.5" x14ac:dyDescent="0.2">
      <c r="F28" s="203">
        <v>4</v>
      </c>
      <c r="G28" s="213" t="s">
        <v>201</v>
      </c>
      <c r="H28" s="203" t="s">
        <v>259</v>
      </c>
      <c r="I28" s="204">
        <v>1</v>
      </c>
      <c r="J28" s="205">
        <f t="shared" si="0"/>
        <v>292.11</v>
      </c>
      <c r="K28" s="206">
        <f t="shared" si="1"/>
        <v>58.422000000000004</v>
      </c>
      <c r="L28" s="206">
        <f t="shared" si="2"/>
        <v>29.211000000000002</v>
      </c>
      <c r="M28" s="207">
        <f t="shared" si="3"/>
        <v>14.605500000000001</v>
      </c>
      <c r="N28" s="208">
        <f t="shared" si="4"/>
        <v>2247</v>
      </c>
      <c r="O28" s="209">
        <f t="shared" si="5"/>
        <v>0.13</v>
      </c>
    </row>
    <row r="29" spans="6:17" x14ac:dyDescent="0.2">
      <c r="F29" s="203">
        <v>5</v>
      </c>
      <c r="G29" s="213" t="s">
        <v>186</v>
      </c>
      <c r="H29" s="203" t="s">
        <v>259</v>
      </c>
      <c r="I29" s="204">
        <v>1</v>
      </c>
      <c r="J29" s="205">
        <f t="shared" si="0"/>
        <v>292.11</v>
      </c>
      <c r="K29" s="206">
        <f t="shared" si="1"/>
        <v>58.422000000000004</v>
      </c>
      <c r="L29" s="206">
        <f t="shared" si="2"/>
        <v>29.211000000000002</v>
      </c>
      <c r="M29" s="207">
        <f t="shared" si="3"/>
        <v>14.605500000000001</v>
      </c>
      <c r="N29" s="208">
        <f t="shared" si="4"/>
        <v>2247</v>
      </c>
      <c r="O29" s="209">
        <f t="shared" si="5"/>
        <v>0.13</v>
      </c>
      <c r="P29" s="28" t="s">
        <v>265</v>
      </c>
      <c r="Q29" s="211" t="s">
        <v>266</v>
      </c>
    </row>
    <row r="30" spans="6:17" x14ac:dyDescent="0.2">
      <c r="Q30" s="211" t="s">
        <v>267</v>
      </c>
    </row>
  </sheetData>
  <sheetProtection algorithmName="SHA-512" hashValue="IGgJkQgpX2dGvikKHuq/9NGH4CZT5c1DccrpC8NxEXhppwysXOoX46RbDWXudBq4HuK/C2n903f4G/eHzTTbCg==" saltValue="F3NK0PIqSIVuMMmYECuwwA==" spinCount="100000" sheet="1" objects="1" scenarios="1"/>
  <autoFilter ref="F4:P4" xr:uid="{3542E0DD-6E21-4E61-AF90-669BF7A86396}">
    <sortState xmlns:xlrd2="http://schemas.microsoft.com/office/spreadsheetml/2017/richdata2" ref="F5:P32">
      <sortCondition ref="F4"/>
    </sortState>
  </autoFilter>
  <mergeCells count="1">
    <mergeCell ref="J3:N3"/>
  </mergeCells>
  <dataValidations count="2">
    <dataValidation type="list" allowBlank="1" showInputMessage="1" showErrorMessage="1" sqref="H5:H29" xr:uid="{3E908213-96D0-4E9A-99E1-F0676669091A}">
      <formula1>$Q$25:$Q$25</formula1>
    </dataValidation>
    <dataValidation type="list" allowBlank="1" showInputMessage="1" showErrorMessage="1" sqref="B2" xr:uid="{504EBE65-F350-4CDF-9686-101523B90F93}">
      <formula1>$Q$29:$Q$30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E2DC-4EE0-4CF0-B381-0DF510B873A9}">
  <sheetPr codeName="Sheet3">
    <tabColor theme="1"/>
  </sheetPr>
  <dimension ref="A1:G26"/>
  <sheetViews>
    <sheetView workbookViewId="0">
      <selection activeCell="F9" sqref="F9"/>
    </sheetView>
  </sheetViews>
  <sheetFormatPr defaultRowHeight="15" x14ac:dyDescent="0.25"/>
  <cols>
    <col min="2" max="2" width="57.85546875" bestFit="1" customWidth="1"/>
    <col min="4" max="4" width="39" bestFit="1" customWidth="1"/>
    <col min="6" max="6" width="37.42578125" customWidth="1"/>
    <col min="7" max="7" width="23.5703125" customWidth="1"/>
  </cols>
  <sheetData>
    <row r="1" spans="1:7" ht="16.5" thickBot="1" x14ac:dyDescent="0.3">
      <c r="A1" s="20"/>
      <c r="D1" s="23" t="s">
        <v>330</v>
      </c>
      <c r="F1" s="318" t="s">
        <v>331</v>
      </c>
      <c r="G1" s="321"/>
    </row>
    <row r="2" spans="1:7" ht="15.75" thickTop="1" x14ac:dyDescent="0.25">
      <c r="A2" s="20"/>
      <c r="B2" s="133" t="s">
        <v>11</v>
      </c>
      <c r="D2" s="23" t="s">
        <v>51</v>
      </c>
      <c r="F2" s="330">
        <v>5</v>
      </c>
      <c r="G2" s="331" t="s">
        <v>332</v>
      </c>
    </row>
    <row r="3" spans="1:7" ht="15.75" thickBot="1" x14ac:dyDescent="0.3">
      <c r="A3" s="20"/>
      <c r="B3" s="133" t="s">
        <v>180</v>
      </c>
      <c r="F3" s="324">
        <v>10</v>
      </c>
      <c r="G3" s="331" t="s">
        <v>333</v>
      </c>
    </row>
    <row r="4" spans="1:7" ht="30.75" thickBot="1" x14ac:dyDescent="0.3">
      <c r="A4" s="20"/>
      <c r="B4" s="133" t="s">
        <v>375</v>
      </c>
      <c r="D4" s="318" t="s">
        <v>132</v>
      </c>
      <c r="F4" s="325">
        <v>20</v>
      </c>
      <c r="G4" s="331" t="s">
        <v>334</v>
      </c>
    </row>
    <row r="5" spans="1:7" ht="15.75" thickTop="1" x14ac:dyDescent="0.25">
      <c r="A5" s="20"/>
      <c r="B5" s="133" t="s">
        <v>182</v>
      </c>
      <c r="D5" s="319" t="s">
        <v>12</v>
      </c>
    </row>
    <row r="6" spans="1:7" ht="15.75" thickBot="1" x14ac:dyDescent="0.3">
      <c r="A6" s="20"/>
      <c r="B6" s="133" t="s">
        <v>183</v>
      </c>
      <c r="D6" s="320" t="s">
        <v>269</v>
      </c>
    </row>
    <row r="7" spans="1:7" ht="15.75" thickBot="1" x14ac:dyDescent="0.3">
      <c r="A7" s="20"/>
      <c r="B7" s="133" t="s">
        <v>184</v>
      </c>
      <c r="D7" s="321"/>
    </row>
    <row r="8" spans="1:7" ht="16.5" thickBot="1" x14ac:dyDescent="0.3">
      <c r="A8" s="20"/>
      <c r="B8" s="133" t="s">
        <v>185</v>
      </c>
      <c r="D8" s="318" t="s">
        <v>335</v>
      </c>
    </row>
    <row r="9" spans="1:7" ht="30.75" thickTop="1" x14ac:dyDescent="0.25">
      <c r="A9" s="20"/>
      <c r="B9" s="133" t="s">
        <v>376</v>
      </c>
      <c r="D9" s="322">
        <v>0.5</v>
      </c>
    </row>
    <row r="10" spans="1:7" ht="30.75" thickBot="1" x14ac:dyDescent="0.3">
      <c r="A10" s="20"/>
      <c r="B10" s="133" t="s">
        <v>377</v>
      </c>
      <c r="D10" s="323">
        <v>0.99</v>
      </c>
    </row>
    <row r="11" spans="1:7" ht="15.75" thickBot="1" x14ac:dyDescent="0.3">
      <c r="A11" s="20"/>
      <c r="B11" s="127" t="s">
        <v>378</v>
      </c>
      <c r="D11" s="321"/>
    </row>
    <row r="12" spans="1:7" ht="16.5" thickBot="1" x14ac:dyDescent="0.3">
      <c r="A12" s="20"/>
      <c r="B12" s="127" t="s">
        <v>379</v>
      </c>
      <c r="D12" s="318" t="s">
        <v>336</v>
      </c>
    </row>
    <row r="13" spans="1:7" ht="15.75" thickTop="1" x14ac:dyDescent="0.25">
      <c r="A13" s="20"/>
      <c r="B13" s="127" t="s">
        <v>380</v>
      </c>
      <c r="D13" s="324"/>
    </row>
    <row r="14" spans="1:7" x14ac:dyDescent="0.25">
      <c r="A14" s="20"/>
      <c r="B14" s="132" t="s">
        <v>189</v>
      </c>
      <c r="D14" s="324"/>
    </row>
    <row r="15" spans="1:7" x14ac:dyDescent="0.25">
      <c r="A15" s="20"/>
      <c r="B15" s="133" t="s">
        <v>190</v>
      </c>
      <c r="D15" s="324"/>
    </row>
    <row r="16" spans="1:7" x14ac:dyDescent="0.25">
      <c r="B16" s="133" t="s">
        <v>191</v>
      </c>
      <c r="D16" s="324"/>
    </row>
    <row r="17" spans="1:4" ht="15.75" thickBot="1" x14ac:dyDescent="0.3">
      <c r="A17" s="20"/>
      <c r="B17" s="133" t="s">
        <v>192</v>
      </c>
      <c r="D17" s="325"/>
    </row>
    <row r="18" spans="1:4" x14ac:dyDescent="0.25">
      <c r="A18" s="20"/>
      <c r="B18" s="133" t="s">
        <v>193</v>
      </c>
    </row>
    <row r="19" spans="1:4" x14ac:dyDescent="0.25">
      <c r="A19" s="20"/>
      <c r="B19" s="127" t="s">
        <v>194</v>
      </c>
    </row>
    <row r="20" spans="1:4" x14ac:dyDescent="0.25">
      <c r="A20" s="20"/>
      <c r="B20" s="133" t="s">
        <v>381</v>
      </c>
    </row>
    <row r="21" spans="1:4" x14ac:dyDescent="0.25">
      <c r="A21" s="20"/>
      <c r="B21" s="133" t="s">
        <v>382</v>
      </c>
    </row>
    <row r="22" spans="1:4" x14ac:dyDescent="0.25">
      <c r="A22" s="20"/>
      <c r="B22" s="133" t="s">
        <v>197</v>
      </c>
    </row>
    <row r="23" spans="1:4" x14ac:dyDescent="0.25">
      <c r="B23" s="133" t="s">
        <v>198</v>
      </c>
    </row>
    <row r="24" spans="1:4" x14ac:dyDescent="0.25">
      <c r="B24" s="133" t="s">
        <v>383</v>
      </c>
    </row>
    <row r="25" spans="1:4" x14ac:dyDescent="0.25">
      <c r="B25" s="133" t="s">
        <v>384</v>
      </c>
    </row>
    <row r="26" spans="1:4" x14ac:dyDescent="0.25">
      <c r="B26" s="133" t="s">
        <v>202</v>
      </c>
    </row>
  </sheetData>
  <sheetProtection algorithmName="SHA-512" hashValue="qJ0V7Mq0Qm0djbxE3DWinDXc8Uf1RButXj3xjg1v8hzn8a9p0Yo0LD208IGZUQaPSnIjjNwZqpXO6N5mmDBnbA==" saltValue="zcT8keSilR9YUe8oiAZybg==" spinCount="100000" sheet="1" objects="1" scenarios="1"/>
  <sortState xmlns:xlrd2="http://schemas.microsoft.com/office/spreadsheetml/2017/richdata2" ref="A1:B16">
    <sortCondition ref="A1:A1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149D5-8004-4486-995C-18411A981C3A}">
  <sheetPr>
    <tabColor rgb="FF92D050"/>
  </sheetPr>
  <dimension ref="A1:B10"/>
  <sheetViews>
    <sheetView workbookViewId="0">
      <selection activeCell="B12" sqref="B12"/>
    </sheetView>
  </sheetViews>
  <sheetFormatPr defaultRowHeight="15" x14ac:dyDescent="0.25"/>
  <cols>
    <col min="1" max="1" width="16.42578125" customWidth="1"/>
    <col min="2" max="2" width="176.7109375" customWidth="1"/>
  </cols>
  <sheetData>
    <row r="1" spans="1:2" x14ac:dyDescent="0.25">
      <c r="A1" s="413" t="s">
        <v>0</v>
      </c>
      <c r="B1" s="412"/>
    </row>
    <row r="2" spans="1:2" ht="45" customHeight="1" x14ac:dyDescent="0.25">
      <c r="A2" s="482" t="s">
        <v>1</v>
      </c>
      <c r="B2" s="482"/>
    </row>
    <row r="3" spans="1:2" x14ac:dyDescent="0.25">
      <c r="A3" s="412"/>
      <c r="B3" s="412"/>
    </row>
    <row r="4" spans="1:2" x14ac:dyDescent="0.25">
      <c r="A4" s="411" t="s">
        <v>2</v>
      </c>
      <c r="B4" s="411" t="s">
        <v>3</v>
      </c>
    </row>
    <row r="5" spans="1:2" ht="120" x14ac:dyDescent="0.25">
      <c r="A5" s="411" t="s">
        <v>4</v>
      </c>
      <c r="B5" s="411" t="s">
        <v>367</v>
      </c>
    </row>
    <row r="6" spans="1:2" ht="60" x14ac:dyDescent="0.25">
      <c r="A6" s="411" t="s">
        <v>5</v>
      </c>
      <c r="B6" s="411" t="s">
        <v>362</v>
      </c>
    </row>
    <row r="7" spans="1:2" ht="149.25" customHeight="1" x14ac:dyDescent="0.25">
      <c r="A7" s="411" t="s">
        <v>6</v>
      </c>
      <c r="B7" s="411" t="s">
        <v>7</v>
      </c>
    </row>
    <row r="10" spans="1:2" x14ac:dyDescent="0.25">
      <c r="B10" s="481"/>
    </row>
  </sheetData>
  <sheetProtection algorithmName="SHA-512" hashValue="AwqQDmZdU4CTcIUNq75D9rizWHp0i0m75F4ymUHnqFKHJxBpaIaR8Pssho/epN55kz3xzjICLivaQv5m7QUdRg==" saltValue="tsp/y+lRS5QPxDFiv/nqkQ==" spinCount="100000" sheet="1" objects="1" scenarios="1"/>
  <mergeCells count="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B1:AW102"/>
  <sheetViews>
    <sheetView zoomScale="85" zoomScaleNormal="85" workbookViewId="0"/>
  </sheetViews>
  <sheetFormatPr defaultColWidth="8.85546875" defaultRowHeight="15" x14ac:dyDescent="0.25"/>
  <cols>
    <col min="1" max="1" width="9.7109375" style="19" customWidth="1"/>
    <col min="2" max="2" width="12.7109375" style="19" customWidth="1"/>
    <col min="3" max="3" width="39.7109375" style="19" customWidth="1"/>
    <col min="4" max="4" width="16.140625" style="18" customWidth="1"/>
    <col min="5" max="7" width="16.140625" style="19" customWidth="1"/>
    <col min="8" max="8" width="11.5703125" style="19" customWidth="1"/>
    <col min="9" max="9" width="17" style="19" customWidth="1"/>
    <col min="10" max="10" width="15.140625" style="19" bestFit="1" customWidth="1"/>
    <col min="11" max="11" width="14.85546875" style="19" customWidth="1"/>
    <col min="12" max="12" width="13.42578125" style="19" customWidth="1"/>
    <col min="13" max="13" width="14.5703125" style="19" customWidth="1"/>
    <col min="14" max="14" width="10.85546875" style="19" customWidth="1"/>
    <col min="15" max="15" width="8" style="19" customWidth="1"/>
    <col min="16" max="16" width="10.28515625" style="19" customWidth="1"/>
    <col min="17" max="17" width="12.7109375" style="19" customWidth="1"/>
    <col min="18" max="18" width="15.140625" style="19" bestFit="1" customWidth="1"/>
    <col min="19" max="19" width="15.5703125" style="19" customWidth="1"/>
    <col min="20" max="20" width="13.5703125" style="19" bestFit="1" customWidth="1"/>
    <col min="21" max="21" width="16.85546875" style="19" customWidth="1"/>
    <col min="22" max="22" width="10.140625" style="19" customWidth="1"/>
    <col min="23" max="23" width="11.5703125" style="19" customWidth="1"/>
    <col min="24" max="24" width="9.7109375" style="19" customWidth="1"/>
    <col min="25" max="25" width="13" style="19" customWidth="1"/>
    <col min="26" max="26" width="6" style="19" customWidth="1"/>
    <col min="27" max="27" width="22.42578125" style="19" customWidth="1"/>
    <col min="28" max="28" width="12.85546875" style="19" customWidth="1"/>
    <col min="29" max="29" width="14.5703125" style="19" customWidth="1"/>
    <col min="30" max="30" width="16.85546875" style="19" customWidth="1"/>
    <col min="31" max="31" width="17.7109375" style="19" customWidth="1"/>
    <col min="32" max="32" width="11.5703125" style="19" customWidth="1"/>
    <col min="33" max="33" width="1.5703125" style="19" customWidth="1"/>
    <col min="34" max="34" width="9.28515625" style="19" customWidth="1"/>
    <col min="35" max="35" width="12.5703125" style="19" customWidth="1"/>
    <col min="36" max="36" width="14.5703125" style="19" customWidth="1"/>
    <col min="37" max="37" width="14.140625" style="19" customWidth="1"/>
    <col min="38" max="39" width="8.85546875" style="19"/>
    <col min="40" max="40" width="10.140625" style="19" customWidth="1"/>
    <col min="41" max="41" width="8.85546875" style="19"/>
    <col min="42" max="42" width="34.7109375" style="19" customWidth="1"/>
    <col min="43" max="43" width="17.28515625" style="19" customWidth="1"/>
    <col min="44" max="44" width="17.42578125" style="19" customWidth="1"/>
    <col min="45" max="45" width="18.42578125" style="19" customWidth="1"/>
    <col min="46" max="46" width="31.85546875" style="19" customWidth="1"/>
    <col min="47" max="47" width="22.5703125" style="19" customWidth="1"/>
    <col min="48" max="48" width="16.5703125" style="19" customWidth="1"/>
    <col min="49" max="49" width="8.85546875" style="19" customWidth="1"/>
    <col min="50" max="16384" width="8.85546875" style="19"/>
  </cols>
  <sheetData>
    <row r="1" spans="3:48" ht="15.75" thickBot="1" x14ac:dyDescent="0.3"/>
    <row r="2" spans="3:48" ht="15" customHeight="1" thickBot="1" x14ac:dyDescent="0.3">
      <c r="C2" s="118" t="s">
        <v>363</v>
      </c>
      <c r="D2" s="19"/>
      <c r="AP2" s="332" t="s">
        <v>8</v>
      </c>
      <c r="AQ2" s="353"/>
      <c r="AR2" s="22"/>
      <c r="AS2" s="22"/>
      <c r="AT2" s="22"/>
    </row>
    <row r="3" spans="3:48" ht="25.5" x14ac:dyDescent="0.25">
      <c r="C3" s="119" t="s">
        <v>364</v>
      </c>
      <c r="D3" s="19"/>
      <c r="AP3" s="326" t="s">
        <v>9</v>
      </c>
      <c r="AQ3" s="327" t="s">
        <v>10</v>
      </c>
      <c r="AR3" s="22"/>
      <c r="AS3" s="22"/>
      <c r="AT3" s="22"/>
    </row>
    <row r="4" spans="3:48" ht="15.75" thickBot="1" x14ac:dyDescent="0.3">
      <c r="C4" s="120" t="s">
        <v>11</v>
      </c>
      <c r="D4" s="19"/>
      <c r="AP4" s="328" t="s">
        <v>12</v>
      </c>
      <c r="AQ4" s="329">
        <v>5</v>
      </c>
      <c r="AR4" s="22"/>
      <c r="AS4" s="22"/>
      <c r="AT4" s="22"/>
    </row>
    <row r="5" spans="3:48" s="21" customFormat="1" ht="21" x14ac:dyDescent="0.25">
      <c r="AP5" s="22"/>
      <c r="AQ5" s="22"/>
      <c r="AR5" s="22"/>
      <c r="AS5" s="22"/>
      <c r="AT5" s="22"/>
      <c r="AU5" s="22"/>
      <c r="AV5" s="22"/>
    </row>
    <row r="6" spans="3:48" s="21" customFormat="1" ht="21" x14ac:dyDescent="0.25">
      <c r="C6" s="38"/>
      <c r="D6" s="39"/>
      <c r="M6" s="38"/>
      <c r="AP6" s="22"/>
      <c r="AQ6" s="22"/>
      <c r="AR6" s="22"/>
      <c r="AS6" s="22"/>
      <c r="AT6" s="22"/>
      <c r="AU6" s="22"/>
      <c r="AV6" s="22"/>
    </row>
    <row r="7" spans="3:48" ht="21" x14ac:dyDescent="0.25">
      <c r="C7" s="483" t="s">
        <v>368</v>
      </c>
      <c r="D7" s="483"/>
      <c r="E7" s="483"/>
      <c r="F7" s="483"/>
      <c r="G7" s="483"/>
      <c r="H7" s="440"/>
      <c r="I7" s="440"/>
      <c r="J7" s="457" t="s">
        <v>13</v>
      </c>
      <c r="K7" s="457"/>
      <c r="L7" s="457"/>
      <c r="M7" s="457"/>
      <c r="N7" s="457"/>
      <c r="O7" s="422"/>
      <c r="P7" s="422"/>
      <c r="R7" s="422" t="s">
        <v>14</v>
      </c>
      <c r="S7" s="422"/>
      <c r="T7" s="422"/>
      <c r="U7" s="422"/>
      <c r="V7" s="422"/>
      <c r="W7" s="422" t="s">
        <v>15</v>
      </c>
      <c r="X7" s="422"/>
      <c r="Y7" s="422"/>
      <c r="AA7" s="422"/>
      <c r="AB7" s="422"/>
      <c r="AC7" s="422" t="s">
        <v>16</v>
      </c>
      <c r="AD7" s="422"/>
      <c r="AF7" s="422"/>
      <c r="AH7" s="422"/>
      <c r="AI7" s="422" t="s">
        <v>17</v>
      </c>
      <c r="AP7" s="283"/>
      <c r="AQ7" s="283"/>
      <c r="AR7" s="22"/>
      <c r="AS7" s="282"/>
      <c r="AT7" s="283"/>
      <c r="AU7" s="284"/>
      <c r="AV7" s="22"/>
    </row>
    <row r="8" spans="3:48" ht="21" x14ac:dyDescent="0.25">
      <c r="K8" s="18"/>
      <c r="R8" s="19" t="s">
        <v>18</v>
      </c>
      <c r="AP8" s="284" t="s">
        <v>8</v>
      </c>
      <c r="AS8" s="282"/>
      <c r="AT8" s="283"/>
      <c r="AV8" s="22"/>
    </row>
    <row r="9" spans="3:48" ht="21.75" thickBot="1" x14ac:dyDescent="0.3">
      <c r="C9" s="21" t="s">
        <v>19</v>
      </c>
      <c r="J9" s="21" t="s">
        <v>19</v>
      </c>
      <c r="K9" s="18"/>
      <c r="R9" s="36" t="s">
        <v>20</v>
      </c>
      <c r="W9" s="36" t="s">
        <v>20</v>
      </c>
      <c r="AC9" s="36" t="s">
        <v>20</v>
      </c>
      <c r="AI9" s="36" t="s">
        <v>20</v>
      </c>
      <c r="AP9" s="21" t="s">
        <v>20</v>
      </c>
      <c r="AS9" s="282"/>
      <c r="AT9" s="283"/>
    </row>
    <row r="10" spans="3:48" ht="36" customHeight="1" x14ac:dyDescent="0.25">
      <c r="C10" s="484" t="s">
        <v>21</v>
      </c>
      <c r="D10" s="486" t="s">
        <v>22</v>
      </c>
      <c r="E10" s="439" t="s">
        <v>23</v>
      </c>
      <c r="F10" s="439" t="s">
        <v>24</v>
      </c>
      <c r="G10" s="439" t="s">
        <v>25</v>
      </c>
      <c r="H10" s="437" t="s">
        <v>26</v>
      </c>
      <c r="I10" s="78"/>
      <c r="J10" s="484" t="s">
        <v>21</v>
      </c>
      <c r="K10" s="486" t="s">
        <v>22</v>
      </c>
      <c r="L10" s="418" t="s">
        <v>23</v>
      </c>
      <c r="M10" s="418" t="s">
        <v>24</v>
      </c>
      <c r="N10" s="418" t="s">
        <v>25</v>
      </c>
      <c r="O10" s="415" t="s">
        <v>26</v>
      </c>
      <c r="P10" s="78"/>
      <c r="Q10" s="78"/>
      <c r="R10" s="528" t="s">
        <v>21</v>
      </c>
      <c r="S10" s="486" t="s">
        <v>22</v>
      </c>
      <c r="T10" s="415" t="s">
        <v>27</v>
      </c>
      <c r="U10" s="78"/>
      <c r="V10" s="78"/>
      <c r="W10" s="528" t="s">
        <v>21</v>
      </c>
      <c r="X10" s="486" t="s">
        <v>22</v>
      </c>
      <c r="Y10" s="415" t="s">
        <v>28</v>
      </c>
      <c r="Z10" s="78"/>
      <c r="AA10" s="78"/>
      <c r="AB10" s="78"/>
      <c r="AC10" s="528" t="s">
        <v>21</v>
      </c>
      <c r="AD10" s="486" t="s">
        <v>22</v>
      </c>
      <c r="AE10" s="415" t="s">
        <v>29</v>
      </c>
      <c r="AF10" s="78"/>
      <c r="AG10" s="78"/>
      <c r="AH10" s="78"/>
      <c r="AI10" s="528" t="s">
        <v>21</v>
      </c>
      <c r="AJ10" s="415" t="s">
        <v>30</v>
      </c>
      <c r="AK10" s="78"/>
      <c r="AL10" s="78"/>
      <c r="AM10" s="78"/>
      <c r="AP10" s="484" t="s">
        <v>21</v>
      </c>
      <c r="AQ10" s="535" t="s">
        <v>22</v>
      </c>
      <c r="AR10" s="418" t="s">
        <v>31</v>
      </c>
      <c r="AS10" s="418" t="s">
        <v>32</v>
      </c>
      <c r="AT10" s="418" t="s">
        <v>33</v>
      </c>
      <c r="AU10" s="415" t="s">
        <v>34</v>
      </c>
    </row>
    <row r="11" spans="3:48" ht="28.5" customHeight="1" thickBot="1" x14ac:dyDescent="0.3">
      <c r="C11" s="485"/>
      <c r="D11" s="487"/>
      <c r="E11" s="441" t="s">
        <v>35</v>
      </c>
      <c r="F11" s="441" t="s">
        <v>36</v>
      </c>
      <c r="G11" s="441" t="s">
        <v>37</v>
      </c>
      <c r="H11" s="438" t="s">
        <v>38</v>
      </c>
      <c r="I11" s="78"/>
      <c r="J11" s="485"/>
      <c r="K11" s="487"/>
      <c r="L11" s="423" t="s">
        <v>35</v>
      </c>
      <c r="M11" s="423" t="s">
        <v>36</v>
      </c>
      <c r="N11" s="423" t="s">
        <v>37</v>
      </c>
      <c r="O11" s="416" t="s">
        <v>38</v>
      </c>
      <c r="P11" s="78"/>
      <c r="Q11" s="78"/>
      <c r="R11" s="529"/>
      <c r="S11" s="487"/>
      <c r="T11" s="416" t="s">
        <v>39</v>
      </c>
      <c r="U11" s="78"/>
      <c r="V11" s="78"/>
      <c r="W11" s="529"/>
      <c r="X11" s="487"/>
      <c r="Y11" s="416" t="s">
        <v>40</v>
      </c>
      <c r="Z11" s="78"/>
      <c r="AA11" s="78"/>
      <c r="AB11" s="78"/>
      <c r="AC11" s="529"/>
      <c r="AD11" s="487"/>
      <c r="AE11" s="416" t="s">
        <v>41</v>
      </c>
      <c r="AF11" s="78"/>
      <c r="AG11" s="78"/>
      <c r="AH11" s="78"/>
      <c r="AI11" s="529"/>
      <c r="AJ11" s="416" t="s">
        <v>42</v>
      </c>
      <c r="AK11" s="78"/>
      <c r="AL11" s="78"/>
      <c r="AM11" s="78"/>
      <c r="AP11" s="534"/>
      <c r="AQ11" s="536"/>
      <c r="AR11" s="285" t="s">
        <v>43</v>
      </c>
      <c r="AS11" s="285" t="s">
        <v>44</v>
      </c>
      <c r="AT11" s="285" t="s">
        <v>45</v>
      </c>
      <c r="AU11" s="286" t="s">
        <v>46</v>
      </c>
    </row>
    <row r="12" spans="3:48" x14ac:dyDescent="0.25">
      <c r="C12" s="443" t="s">
        <v>47</v>
      </c>
      <c r="D12" s="488" t="s">
        <v>48</v>
      </c>
      <c r="E12" s="148">
        <f>SUMIFS('Exposure Results'!$H:$H, 'Exposure Results'!$D:$D, C12, 'Exposure Results'!$B:$B, $C$4, 'Exposure Results'!$C:$C,C$7)</f>
        <v>12.032618404907966</v>
      </c>
      <c r="F12" s="40">
        <f>SUMIFS('Exposure Results'!$J:$J, 'Exposure Results'!$D:$D, C12, 'Exposure Results'!$B:$B, $C$4, 'Exposure Results'!$C:$C, C$7)</f>
        <v>18.04892760736195</v>
      </c>
      <c r="G12" s="40">
        <f>SUMIFS('Exposure Results'!$L:$L, 'Exposure Results'!$D:$D, C12, 'Exposure Results'!$B:$B, $C$4, 'Exposure Results'!$C:$C, C$7)</f>
        <v>4.120759727708208</v>
      </c>
      <c r="H12" s="85">
        <f>SUMIFS('Exposure Results'!$N:$N, 'Exposure Results'!$D:$D, C12, 'Exposure Results'!$B:$B, $C$4, 'Exposure Results'!$C:$C, C$7)</f>
        <v>9.2558603114676679</v>
      </c>
      <c r="I12" s="75"/>
      <c r="J12" s="425" t="s">
        <v>47</v>
      </c>
      <c r="K12" s="488" t="s">
        <v>48</v>
      </c>
      <c r="L12" s="148">
        <f>SUMIFS('Exposure Results'!$H:$H, 'Exposure Results'!$D:$D, J12, 'Exposure Results'!$B:$B, $C$4, 'Exposure Results'!$C:$C,J$7)</f>
        <v>4.6025460122699391</v>
      </c>
      <c r="M12" s="40">
        <f>SUMIFS('Exposure Results'!$J:$J, 'Exposure Results'!$D:$D, J12, 'Exposure Results'!$B:$B, $C$4, 'Exposure Results'!$C:$C, J$7)</f>
        <v>4.6025460122699391</v>
      </c>
      <c r="N12" s="40">
        <f>SUMIFS('Exposure Results'!$L:$L, 'Exposure Results'!$D:$D, J12, 'Exposure Results'!$B:$B, $C$4, 'Exposure Results'!$C:$C, J$7)</f>
        <v>1.0508095918424516</v>
      </c>
      <c r="O12" s="85">
        <f>SUMIFS('Exposure Results'!$N:$N, 'Exposure Results'!D:D, J12, 'Exposure Results'!$B:$B, $C$4, 'Exposure Results'!$C:$C, J$7)</f>
        <v>2.360280006292276</v>
      </c>
      <c r="P12" s="75"/>
      <c r="Q12" s="75"/>
      <c r="R12" s="425" t="s">
        <v>47</v>
      </c>
      <c r="S12" s="488" t="s">
        <v>48</v>
      </c>
      <c r="T12" s="90">
        <f>SUMIFS('Exposure Results'!$H:$H, 'Exposure Results'!$D:$D, R12, 'Exposure Results'!$B:$B, $C$4, 'Exposure Results'!$C:$C,R$7)</f>
        <v>184.10184049079757</v>
      </c>
      <c r="U12" s="89"/>
      <c r="V12" s="75"/>
      <c r="W12" s="425" t="s">
        <v>47</v>
      </c>
      <c r="X12" s="488" t="s">
        <v>48</v>
      </c>
      <c r="Y12" s="90">
        <f>SUMIFS('Exposure Results'!$H:$H, 'Exposure Results'!$D:$D, W12, 'Exposure Results'!$B:$B, $C$4, 'Exposure Results'!$C:$C,W$7)</f>
        <v>2.6052147239263808</v>
      </c>
      <c r="Z12" s="89"/>
      <c r="AA12" s="89"/>
      <c r="AB12" s="75"/>
      <c r="AC12" s="425" t="s">
        <v>47</v>
      </c>
      <c r="AD12" s="488" t="s">
        <v>48</v>
      </c>
      <c r="AE12" s="90">
        <f>SUMIFS('Exposure Results'!$H:$H, 'Exposure Results'!$D:$D, AC12, 'Exposure Results'!$B:$B, $C$4, 'Exposure Results'!$C:$C,AC$7)</f>
        <v>15.978650306748465</v>
      </c>
      <c r="AF12" s="89"/>
      <c r="AG12" s="89"/>
      <c r="AH12" s="75"/>
      <c r="AI12" s="425" t="s">
        <v>47</v>
      </c>
      <c r="AJ12" s="90">
        <f>SUMIFS('Exposure Results'!$H:$H, 'Exposure Results'!$D:$D, AI12, 'Exposure Results'!$B:$B, $C$4, 'Exposure Results'!$C:$C,AI$7)</f>
        <v>0</v>
      </c>
      <c r="AK12" s="89"/>
      <c r="AL12" s="89"/>
      <c r="AM12" s="89"/>
      <c r="AP12" s="537" t="s">
        <v>49</v>
      </c>
      <c r="AQ12" s="287" t="s">
        <v>48</v>
      </c>
      <c r="AR12" s="288">
        <f>'Dermal Exposure'!O5</f>
        <v>180.26938434659075</v>
      </c>
      <c r="AS12" s="288">
        <f>'Dermal Exposure'!P5</f>
        <v>2.2533673043323845</v>
      </c>
      <c r="AT12" s="288">
        <f>'Dermal Exposure'!Q5</f>
        <v>2.160763168537903</v>
      </c>
      <c r="AU12" s="289">
        <f>'Dermal Exposure'!R5</f>
        <v>1.1080836761732835</v>
      </c>
    </row>
    <row r="13" spans="3:48" ht="15.75" thickBot="1" x14ac:dyDescent="0.3">
      <c r="C13" s="140" t="s">
        <v>50</v>
      </c>
      <c r="D13" s="489"/>
      <c r="E13" s="141">
        <f>SUMIFS('Exposure Results'!$H:$H, 'Exposure Results'!$D:$D, C13, 'Exposure Results'!$B:$B, $C$4, 'Exposure Results'!$C:$C,C$7)</f>
        <v>0</v>
      </c>
      <c r="F13" s="142">
        <f>SUMIFS('Exposure Results'!$J:$J, 'Exposure Results'!$D:$D, C13, 'Exposure Results'!$B:$B, $C$4, 'Exposure Results'!$C:$C, C$7)</f>
        <v>0</v>
      </c>
      <c r="G13" s="142">
        <f>SUMIFS('Exposure Results'!$L:$L, 'Exposure Results'!$D:$D, C13, 'Exposure Results'!$B:$B, $C$4, 'Exposure Results'!$C:$C, C$7)</f>
        <v>0</v>
      </c>
      <c r="H13" s="143">
        <f>SUMIFS('Exposure Results'!$N:$N, 'Exposure Results'!$D:$D, C13, 'Exposure Results'!$B:$B, $C$4, 'Exposure Results'!$C:$C, C$7)</f>
        <v>0</v>
      </c>
      <c r="I13" s="75"/>
      <c r="J13" s="140" t="s">
        <v>50</v>
      </c>
      <c r="K13" s="489"/>
      <c r="L13" s="141">
        <f>SUMIFS('Exposure Results'!$H:$H, 'Exposure Results'!$D:$D, J13, 'Exposure Results'!$B:$B, $C$4, 'Exposure Results'!$C:$C,J$7)</f>
        <v>0</v>
      </c>
      <c r="M13" s="142">
        <f>SUMIFS('Exposure Results'!$J:$J, 'Exposure Results'!$D:$D, J13, 'Exposure Results'!$B:$B, $C$4, 'Exposure Results'!$C:$C, J$7)</f>
        <v>0</v>
      </c>
      <c r="N13" s="142">
        <f>SUMIFS('Exposure Results'!$L:$L, 'Exposure Results'!$D:$D, J13, 'Exposure Results'!$B:$B, $C$4, 'Exposure Results'!$C:$C, J$7)</f>
        <v>0</v>
      </c>
      <c r="O13" s="143">
        <f>SUMIFS('Exposure Results'!$N:$N, 'Exposure Results'!D:D, J13, 'Exposure Results'!$B:$B, $C$4, 'Exposure Results'!$C:$C, J$7)</f>
        <v>0</v>
      </c>
      <c r="P13" s="75"/>
      <c r="Q13" s="75"/>
      <c r="R13" s="426" t="s">
        <v>50</v>
      </c>
      <c r="S13" s="491"/>
      <c r="T13" s="91">
        <f>SUMIFS('Exposure Results'!$H:$H, 'Exposure Results'!$D:$D, R13, 'Exposure Results'!$B:$B, $C$4, 'Exposure Results'!$C:$C,R$7)</f>
        <v>0</v>
      </c>
      <c r="U13" s="89"/>
      <c r="V13" s="75"/>
      <c r="W13" s="426" t="s">
        <v>50</v>
      </c>
      <c r="X13" s="491"/>
      <c r="Y13" s="91">
        <f>SUMIFS('Exposure Results'!$H:$H, 'Exposure Results'!$D:$D, W13, 'Exposure Results'!$B:$B, $C$4, 'Exposure Results'!$C:$C,W$7)</f>
        <v>0</v>
      </c>
      <c r="Z13" s="89"/>
      <c r="AA13" s="89"/>
      <c r="AB13" s="75"/>
      <c r="AC13" s="426" t="s">
        <v>50</v>
      </c>
      <c r="AD13" s="491"/>
      <c r="AE13" s="91">
        <f>SUMIFS('Exposure Results'!$H:$H, 'Exposure Results'!$D:$D, AC13, 'Exposure Results'!$B:$B, $C$4, 'Exposure Results'!$C:$C,AC$7)</f>
        <v>0</v>
      </c>
      <c r="AF13" s="89"/>
      <c r="AG13" s="89"/>
      <c r="AH13" s="75"/>
      <c r="AI13" s="426" t="s">
        <v>50</v>
      </c>
      <c r="AJ13" s="91">
        <f>SUMIFS('Exposure Results'!$H:$H, 'Exposure Results'!$D:$D, AI13, 'Exposure Results'!$B:$B, $C$4, 'Exposure Results'!$C:$C,AI$7)</f>
        <v>0</v>
      </c>
      <c r="AK13" s="89"/>
      <c r="AL13" s="89"/>
      <c r="AM13" s="89"/>
      <c r="AP13" s="538"/>
      <c r="AQ13" s="290" t="s">
        <v>51</v>
      </c>
      <c r="AR13" s="291">
        <f>'Dermal Exposure'!O6</f>
        <v>60.089794782196911</v>
      </c>
      <c r="AS13" s="291">
        <f>'Dermal Exposure'!P6</f>
        <v>0.75112243477746143</v>
      </c>
      <c r="AT13" s="291">
        <f>'Dermal Exposure'!Q6</f>
        <v>0.7202543895126341</v>
      </c>
      <c r="AU13" s="292">
        <f>'Dermal Exposure'!R6</f>
        <v>0.28625494967809817</v>
      </c>
    </row>
    <row r="14" spans="3:48" x14ac:dyDescent="0.25">
      <c r="C14" s="442" t="s">
        <v>47</v>
      </c>
      <c r="D14" s="490" t="s">
        <v>51</v>
      </c>
      <c r="E14" s="144">
        <f>SUMIFS('Exposure Results'!$H:$H, 'Exposure Results'!$D:$D, C14, 'Exposure Results'!$B:$B, $C$4, 'Exposure Results'!$C:$C,C$7)</f>
        <v>12.032618404907966</v>
      </c>
      <c r="F14" s="145">
        <f>SUMIFS('Exposure Results'!$I:$I, 'Exposure Results'!$D:$D, C14, 'Exposure Results'!$B:$B, $C$4, 'Exposure Results'!$C:$C, C$7)</f>
        <v>0.67735582822085905</v>
      </c>
      <c r="G14" s="145">
        <f>SUMIFS('Exposure Results'!$K:$K, 'Exposure Results'!$D:$D, C14, 'Exposure Results'!$B:$B, $C$4, 'Exposure Results'!$C:$C, C$7)</f>
        <v>0.15464744936549293</v>
      </c>
      <c r="H14" s="146">
        <f>SUMIFS('Exposure Results'!$M:$M,'Exposure Results'!$D:$D,C14,'Exposure Results'!$B:$B,$C$4,'Exposure Results'!$C:$C,C$7)</f>
        <v>0.26920552147239274</v>
      </c>
      <c r="I14" s="75"/>
      <c r="J14" s="424" t="s">
        <v>47</v>
      </c>
      <c r="K14" s="490" t="s">
        <v>51</v>
      </c>
      <c r="L14" s="144">
        <f>SUMIFS('Exposure Results'!$G:$G, 'Exposure Results'!$D:$D, J14, 'Exposure Results'!$B:$B, $C$4, 'Exposure Results'!$C:$C,J$7)</f>
        <v>0.36473006134969332</v>
      </c>
      <c r="M14" s="145">
        <f>SUMIFS('Exposure Results'!$I:$I, 'Exposure Results'!$D:$D, J14, 'Exposure Results'!$B:$B, $C$4, 'Exposure Results'!$C:$C, J$7)</f>
        <v>0.36473006134969332</v>
      </c>
      <c r="N14" s="145">
        <f>SUMIFS('Exposure Results'!$K:$K, 'Exposure Results'!$D:$D, J14, 'Exposure Results'!$B:$B, $C$4, 'Exposure Results'!$C:$C, J$7)</f>
        <v>8.3271703504496183E-2</v>
      </c>
      <c r="O14" s="146">
        <f>SUMIFS('Exposure Results'!$M:$M,'Exposure Results'!$D:$D,J14,'Exposure Results'!$B:$B,$C$4,'Exposure Results'!$C:$C,J$7)</f>
        <v>0.14495681925436529</v>
      </c>
      <c r="P14" s="75"/>
      <c r="Q14" s="75"/>
      <c r="R14" s="425" t="s">
        <v>47</v>
      </c>
      <c r="S14" s="490" t="s">
        <v>51</v>
      </c>
      <c r="T14" s="110">
        <f>SUMIFS('Exposure Results'!$G:$G, 'Exposure Results'!$D:$D, R14, 'Exposure Results'!$B:$B, $C$4, 'Exposure Results'!$C:$C, R$7)</f>
        <v>9.5524539877300612</v>
      </c>
      <c r="U14" s="89"/>
      <c r="V14" s="75"/>
      <c r="W14" s="425" t="s">
        <v>47</v>
      </c>
      <c r="X14" s="490" t="s">
        <v>51</v>
      </c>
      <c r="Y14" s="90">
        <f>SUMIFS('Exposure Results'!$G:$G, 'Exposure Results'!$D:$D, W14, 'Exposure Results'!$B:$B, $C$4, 'Exposure Results'!$C:$C, W$7)</f>
        <v>2.6052147239263808</v>
      </c>
      <c r="Z14" s="89"/>
      <c r="AA14" s="89"/>
      <c r="AB14" s="75"/>
      <c r="AC14" s="425" t="s">
        <v>47</v>
      </c>
      <c r="AD14" s="490" t="s">
        <v>51</v>
      </c>
      <c r="AE14" s="90">
        <f>SUMIFS('Exposure Results'!$G:$G, 'Exposure Results'!$D:$D, AC14, 'Exposure Results'!$B:$B, $C$4, 'Exposure Results'!$C:$C, AC$7)</f>
        <v>4.2551840490797552</v>
      </c>
      <c r="AF14" s="89"/>
      <c r="AG14" s="89"/>
      <c r="AH14" s="75"/>
      <c r="AI14" s="425" t="s">
        <v>47</v>
      </c>
      <c r="AJ14" s="90">
        <f>SUMIFS('Exposure Results'!$G:$G, 'Exposure Results'!$D:$D, AI14, 'Exposure Results'!$B:$B, $C$4, 'Exposure Results'!$C:$C, AI$7)</f>
        <v>0</v>
      </c>
      <c r="AK14" s="89"/>
      <c r="AL14" s="89"/>
      <c r="AM14" s="89"/>
      <c r="AP14" s="539" t="str">
        <f>_xlfn.CONCAT("Worker with Gloves; 
PF = ",AQ4)</f>
        <v>Worker with Gloves; 
PF = 5</v>
      </c>
      <c r="AQ14" s="290" t="s">
        <v>48</v>
      </c>
      <c r="AR14" s="291">
        <f>AR12/$AQ$4</f>
        <v>36.053876869318152</v>
      </c>
      <c r="AS14" s="291">
        <f t="shared" ref="AS14:AU14" si="0">AS12/$AQ$4</f>
        <v>0.45067346086647692</v>
      </c>
      <c r="AT14" s="291">
        <f t="shared" si="0"/>
        <v>0.43215263370758061</v>
      </c>
      <c r="AU14" s="292">
        <f t="shared" si="0"/>
        <v>0.22161673523465669</v>
      </c>
    </row>
    <row r="15" spans="3:48" ht="15.75" thickBot="1" x14ac:dyDescent="0.3">
      <c r="C15" s="444" t="s">
        <v>50</v>
      </c>
      <c r="D15" s="491"/>
      <c r="E15" s="92">
        <f>SUMIFS('Exposure Results'!$H:$H, 'Exposure Results'!$D:$D, C15, 'Exposure Results'!$B:$B, $C$4, 'Exposure Results'!$C:$C,C$7)</f>
        <v>0</v>
      </c>
      <c r="F15" s="68">
        <f>SUMIFS('Exposure Results'!$I:$I, 'Exposure Results'!$D:$D, C15, 'Exposure Results'!$B:$B, $C$4, 'Exposure Results'!$C:$C, C$7)</f>
        <v>0</v>
      </c>
      <c r="G15" s="68">
        <f>SUMIFS('Exposure Results'!$K:$K, 'Exposure Results'!$D:$D, C15, 'Exposure Results'!$B:$B, $C$4, 'Exposure Results'!$C:$C, C$7)</f>
        <v>0</v>
      </c>
      <c r="H15" s="86">
        <f>SUMIFS('Exposure Results'!$M:$M,'Exposure Results'!$D:$D,C15,'Exposure Results'!$B:$B,$C$4,'Exposure Results'!$C:$C,C$7)</f>
        <v>0</v>
      </c>
      <c r="I15" s="75"/>
      <c r="J15" s="426" t="s">
        <v>50</v>
      </c>
      <c r="K15" s="491"/>
      <c r="L15" s="92">
        <f>SUMIFS('Exposure Results'!$G:$G, 'Exposure Results'!$D:$D, J15, 'Exposure Results'!$B:$B, $C$4, 'Exposure Results'!$C:$C,J$7)</f>
        <v>0</v>
      </c>
      <c r="M15" s="68">
        <f>SUMIFS('Exposure Results'!$I:$I, 'Exposure Results'!$D:$D, J15, 'Exposure Results'!$B:$B, $C$4, 'Exposure Results'!$C:$C, J$7)</f>
        <v>0</v>
      </c>
      <c r="N15" s="68">
        <f>SUMIFS('Exposure Results'!$K:$K, 'Exposure Results'!$D:$D, J15, 'Exposure Results'!$B:$B, $C$4, 'Exposure Results'!$C:$C, J$7)</f>
        <v>0</v>
      </c>
      <c r="O15" s="86">
        <f>SUMIFS('Exposure Results'!$M:$M,'Exposure Results'!$D:$D,J15,'Exposure Results'!$B:$B,$C$4,'Exposure Results'!$C:$C,J$7)</f>
        <v>0</v>
      </c>
      <c r="P15" s="75"/>
      <c r="Q15" s="75"/>
      <c r="R15" s="426" t="s">
        <v>50</v>
      </c>
      <c r="S15" s="491"/>
      <c r="T15" s="91">
        <f>SUMIFS('Exposure Results'!$G:$G, 'Exposure Results'!$D:$D, R15, 'Exposure Results'!$B:$B, $C$4, 'Exposure Results'!$C:$C, R$7)</f>
        <v>0</v>
      </c>
      <c r="U15" s="89"/>
      <c r="V15" s="75"/>
      <c r="W15" s="426" t="s">
        <v>50</v>
      </c>
      <c r="X15" s="491"/>
      <c r="Y15" s="91">
        <f>SUMIFS('Exposure Results'!$G:$G, 'Exposure Results'!$D:$D, W15, 'Exposure Results'!$B:$B, $C$4, 'Exposure Results'!$C:$C, W$7)</f>
        <v>0</v>
      </c>
      <c r="Z15" s="89"/>
      <c r="AA15" s="89"/>
      <c r="AB15" s="75"/>
      <c r="AC15" s="426" t="s">
        <v>50</v>
      </c>
      <c r="AD15" s="491"/>
      <c r="AE15" s="91">
        <f>SUMIFS('Exposure Results'!$G:$G, 'Exposure Results'!$D:$D, AC15, 'Exposure Results'!$B:$B, $C$4, 'Exposure Results'!$C:$C, AC$7)</f>
        <v>0</v>
      </c>
      <c r="AF15" s="89"/>
      <c r="AG15" s="89"/>
      <c r="AH15" s="75"/>
      <c r="AI15" s="426" t="s">
        <v>50</v>
      </c>
      <c r="AJ15" s="91">
        <f>SUMIFS('Exposure Results'!$G:$G, 'Exposure Results'!$D:$D, AI15, 'Exposure Results'!$B:$B, $C$4, 'Exposure Results'!$C:$C, AI$7)</f>
        <v>0</v>
      </c>
      <c r="AK15" s="89"/>
      <c r="AL15" s="89"/>
      <c r="AM15" s="89"/>
      <c r="AP15" s="539"/>
      <c r="AQ15" s="290" t="s">
        <v>51</v>
      </c>
      <c r="AR15" s="291">
        <f t="shared" ref="AR15:AU15" si="1">AR13/$AQ$4</f>
        <v>12.017958956439383</v>
      </c>
      <c r="AS15" s="291">
        <f t="shared" si="1"/>
        <v>0.15022448695549229</v>
      </c>
      <c r="AT15" s="291">
        <f t="shared" si="1"/>
        <v>0.14405087790252682</v>
      </c>
      <c r="AU15" s="292">
        <f t="shared" si="1"/>
        <v>5.7250989935619633E-2</v>
      </c>
    </row>
    <row r="16" spans="3:48" x14ac:dyDescent="0.25">
      <c r="AP16" s="538" t="s">
        <v>52</v>
      </c>
      <c r="AQ16" s="290" t="s">
        <v>48</v>
      </c>
      <c r="AR16" s="291" t="str">
        <f>'Dermal Exposure'!O13</f>
        <v>Not Assessed</v>
      </c>
      <c r="AS16" s="291" t="str">
        <f>'Dermal Exposure'!P13</f>
        <v>Not Assessed</v>
      </c>
      <c r="AT16" s="291" t="str">
        <f>'Dermal Exposure'!Q13</f>
        <v>Not Assessed</v>
      </c>
      <c r="AU16" s="292" t="str">
        <f>'Dermal Exposure'!R13</f>
        <v>Not Assessed</v>
      </c>
    </row>
    <row r="17" spans="2:48" ht="21.75" thickBot="1" x14ac:dyDescent="0.3">
      <c r="C17" s="36" t="s">
        <v>53</v>
      </c>
      <c r="K17" s="36" t="s">
        <v>54</v>
      </c>
      <c r="R17" s="18"/>
      <c r="S17" s="36" t="s">
        <v>54</v>
      </c>
      <c r="Y17" s="18"/>
      <c r="AA17" s="36" t="s">
        <v>54</v>
      </c>
      <c r="AB17" s="36"/>
      <c r="AG17" s="18"/>
      <c r="AI17" s="36" t="s">
        <v>54</v>
      </c>
      <c r="AP17" s="540"/>
      <c r="AQ17" s="293" t="s">
        <v>51</v>
      </c>
      <c r="AR17" s="294" t="str">
        <f>'Dermal Exposure'!O14</f>
        <v>Not Assessed</v>
      </c>
      <c r="AS17" s="294" t="str">
        <f>'Dermal Exposure'!P14</f>
        <v>Not Assessed</v>
      </c>
      <c r="AT17" s="294" t="str">
        <f>'Dermal Exposure'!Q14</f>
        <v>Not Assessed</v>
      </c>
      <c r="AU17" s="295" t="str">
        <f>'Dermal Exposure'!R14</f>
        <v>Not Assessed</v>
      </c>
    </row>
    <row r="18" spans="2:48" s="35" customFormat="1" ht="27" customHeight="1" x14ac:dyDescent="0.25">
      <c r="B18" s="22"/>
      <c r="C18" s="505" t="s">
        <v>55</v>
      </c>
      <c r="D18" s="507" t="s">
        <v>56</v>
      </c>
      <c r="E18" s="507" t="s">
        <v>22</v>
      </c>
      <c r="F18" s="509" t="s">
        <v>57</v>
      </c>
      <c r="G18" s="510"/>
      <c r="H18" s="498" t="s">
        <v>58</v>
      </c>
      <c r="I18" s="78"/>
      <c r="J18" s="22"/>
      <c r="K18" s="505" t="s">
        <v>55</v>
      </c>
      <c r="L18" s="507" t="s">
        <v>56</v>
      </c>
      <c r="M18" s="507" t="s">
        <v>22</v>
      </c>
      <c r="N18" s="507" t="s">
        <v>57</v>
      </c>
      <c r="O18" s="507"/>
      <c r="P18" s="498" t="s">
        <v>58</v>
      </c>
      <c r="R18" s="22"/>
      <c r="S18" s="505" t="s">
        <v>55</v>
      </c>
      <c r="T18" s="507" t="s">
        <v>56</v>
      </c>
      <c r="U18" s="507" t="s">
        <v>22</v>
      </c>
      <c r="V18" s="507" t="s">
        <v>57</v>
      </c>
      <c r="W18" s="507"/>
      <c r="X18" s="498" t="s">
        <v>58</v>
      </c>
      <c r="Y18" s="19"/>
      <c r="Z18" s="22"/>
      <c r="AA18" s="505" t="s">
        <v>55</v>
      </c>
      <c r="AB18" s="507" t="s">
        <v>56</v>
      </c>
      <c r="AC18" s="507" t="s">
        <v>22</v>
      </c>
      <c r="AD18" s="507" t="s">
        <v>57</v>
      </c>
      <c r="AE18" s="507"/>
      <c r="AF18" s="498" t="s">
        <v>58</v>
      </c>
      <c r="AH18" s="22"/>
      <c r="AI18" s="505" t="s">
        <v>55</v>
      </c>
      <c r="AJ18" s="507" t="s">
        <v>56</v>
      </c>
      <c r="AK18" s="507" t="s">
        <v>22</v>
      </c>
      <c r="AL18" s="507" t="s">
        <v>57</v>
      </c>
      <c r="AM18" s="507"/>
      <c r="AN18" s="498" t="s">
        <v>58</v>
      </c>
      <c r="AP18" s="340"/>
      <c r="AQ18" s="340"/>
      <c r="AR18" s="341"/>
      <c r="AS18" s="341"/>
      <c r="AT18" s="341"/>
      <c r="AU18" s="341"/>
      <c r="AV18" s="19"/>
    </row>
    <row r="19" spans="2:48" ht="26.25" thickBot="1" x14ac:dyDescent="0.4">
      <c r="B19" s="18" t="s">
        <v>59</v>
      </c>
      <c r="C19" s="506"/>
      <c r="D19" s="508"/>
      <c r="E19" s="508"/>
      <c r="F19" s="419" t="s">
        <v>60</v>
      </c>
      <c r="G19" s="419" t="s">
        <v>61</v>
      </c>
      <c r="H19" s="511"/>
      <c r="I19" s="78"/>
      <c r="J19" s="18" t="s">
        <v>59</v>
      </c>
      <c r="K19" s="506"/>
      <c r="L19" s="508"/>
      <c r="M19" s="508"/>
      <c r="N19" s="419" t="s">
        <v>60</v>
      </c>
      <c r="O19" s="419" t="s">
        <v>61</v>
      </c>
      <c r="P19" s="511"/>
      <c r="R19" s="18" t="s">
        <v>59</v>
      </c>
      <c r="S19" s="506"/>
      <c r="T19" s="508"/>
      <c r="U19" s="508"/>
      <c r="V19" s="419" t="s">
        <v>60</v>
      </c>
      <c r="W19" s="419" t="s">
        <v>61</v>
      </c>
      <c r="X19" s="499"/>
      <c r="Z19" s="18" t="s">
        <v>59</v>
      </c>
      <c r="AA19" s="521"/>
      <c r="AB19" s="531"/>
      <c r="AC19" s="508"/>
      <c r="AD19" s="423" t="s">
        <v>60</v>
      </c>
      <c r="AE19" s="423" t="s">
        <v>61</v>
      </c>
      <c r="AF19" s="511"/>
      <c r="AH19" s="18" t="s">
        <v>59</v>
      </c>
      <c r="AI19" s="521"/>
      <c r="AJ19" s="531"/>
      <c r="AK19" s="531"/>
      <c r="AL19" s="423" t="s">
        <v>60</v>
      </c>
      <c r="AM19" s="423" t="s">
        <v>61</v>
      </c>
      <c r="AN19" s="499"/>
      <c r="AP19" s="533" t="s">
        <v>62</v>
      </c>
      <c r="AQ19" s="533"/>
      <c r="AR19" s="533"/>
      <c r="AS19" s="533"/>
      <c r="AT19" s="22"/>
      <c r="AU19" s="22"/>
      <c r="AV19" s="22"/>
    </row>
    <row r="20" spans="2:48" s="22" customFormat="1" ht="46.5" customHeight="1" x14ac:dyDescent="0.25">
      <c r="B20" s="530" t="s">
        <v>63</v>
      </c>
      <c r="C20" s="492" t="s">
        <v>64</v>
      </c>
      <c r="D20" s="520">
        <f>VLOOKUP(B20,'Hazard Values'!$G$6:$J$19, 2)</f>
        <v>290</v>
      </c>
      <c r="E20" s="42" t="s">
        <v>48</v>
      </c>
      <c r="F20" s="81">
        <f>IFERROR(D20/$M$12, "")</f>
        <v>63.008604200129291</v>
      </c>
      <c r="G20" s="82" t="str">
        <f>IFERROR(D20/$M$13, "")</f>
        <v/>
      </c>
      <c r="H20" s="523">
        <f>VLOOKUP($B20,'Hazard Values'!$G$6:$J$19, 3)</f>
        <v>30</v>
      </c>
      <c r="I20" s="78"/>
      <c r="J20" s="34" t="s">
        <v>65</v>
      </c>
      <c r="K20" s="504" t="s">
        <v>66</v>
      </c>
      <c r="L20" s="520">
        <f>VLOOKUP(J20,'Hazard Values'!$G$6:$J$19, 2)</f>
        <v>3000</v>
      </c>
      <c r="M20" s="42" t="s">
        <v>48</v>
      </c>
      <c r="N20" s="81">
        <f>IFERROR(L20/$T$12, "")</f>
        <v>16.29532867244723</v>
      </c>
      <c r="O20" s="82" t="str">
        <f>IFERROR(L20/$T$13, "")</f>
        <v/>
      </c>
      <c r="P20" s="523">
        <f>VLOOKUP(J20,'Hazard Values'!$G$6:$J$19, 3)</f>
        <v>3</v>
      </c>
      <c r="R20" s="34" t="s">
        <v>67</v>
      </c>
      <c r="S20" s="504" t="s">
        <v>68</v>
      </c>
      <c r="T20" s="520">
        <f>VLOOKUP(R20,'Hazard Values'!$G$6:$J$19, 2)</f>
        <v>2400</v>
      </c>
      <c r="U20" s="42" t="s">
        <v>48</v>
      </c>
      <c r="V20" s="101">
        <f>IFERROR(T20/$Y$12, "")</f>
        <v>921.22924761568333</v>
      </c>
      <c r="W20" s="101" t="str">
        <f>IFERROR(T20/$Y$13, "")</f>
        <v/>
      </c>
      <c r="X20" s="523">
        <f>VLOOKUP(R20,'Hazard Values'!$G$6:$J$19, 3)</f>
        <v>3</v>
      </c>
      <c r="Z20" s="34" t="s">
        <v>69</v>
      </c>
      <c r="AA20" s="504" t="s">
        <v>70</v>
      </c>
      <c r="AB20" s="520">
        <f>VLOOKUP(Z20,'Hazard Values'!$G$6:$J$19, 2)</f>
        <v>350</v>
      </c>
      <c r="AC20" s="42" t="s">
        <v>48</v>
      </c>
      <c r="AD20" s="106">
        <f>IFERROR(AB20/$AE$12, "")</f>
        <v>21.904228034340303</v>
      </c>
      <c r="AE20" s="106" t="str">
        <f>IFERROR(AB20/$AE$13, "")</f>
        <v/>
      </c>
      <c r="AF20" s="523">
        <f>VLOOKUP(Z20,'Hazard Values'!$G$6:$J$19, 3)</f>
        <v>10</v>
      </c>
      <c r="AH20" s="34" t="s">
        <v>71</v>
      </c>
      <c r="AI20" s="524" t="s">
        <v>72</v>
      </c>
      <c r="AJ20" s="525">
        <f>VLOOKUP(AH20,'Hazard Values'!$G$6:$J$19, 2)</f>
        <v>350</v>
      </c>
      <c r="AK20" s="100" t="s">
        <v>48</v>
      </c>
      <c r="AL20" s="106" t="str">
        <f>IFERROR(AJ20/AJ12, "")</f>
        <v/>
      </c>
      <c r="AM20" s="107" t="str">
        <f>IFERROR(AJ20/AJ13, "")</f>
        <v/>
      </c>
      <c r="AN20" s="522">
        <f>VLOOKUP(AH20,'Hazard Values'!$G$6:$J$19, 3)</f>
        <v>1</v>
      </c>
      <c r="AP20" s="505" t="s">
        <v>55</v>
      </c>
      <c r="AQ20" s="507" t="s">
        <v>73</v>
      </c>
      <c r="AR20" s="486" t="s">
        <v>22</v>
      </c>
      <c r="AS20" s="509" t="s">
        <v>58</v>
      </c>
      <c r="AT20" s="418" t="s">
        <v>57</v>
      </c>
      <c r="AU20" s="541" t="s">
        <v>74</v>
      </c>
      <c r="AV20" s="542"/>
    </row>
    <row r="21" spans="2:48" s="22" customFormat="1" ht="45.75" customHeight="1" thickBot="1" x14ac:dyDescent="0.3">
      <c r="B21" s="530"/>
      <c r="C21" s="493"/>
      <c r="D21" s="495"/>
      <c r="E21" s="93" t="s">
        <v>51</v>
      </c>
      <c r="F21" s="81">
        <f>IFERROR(D20/$M$14, "")</f>
        <v>795.10857681115522</v>
      </c>
      <c r="G21" s="139" t="str">
        <f>IFERROR(D20/$M$15, "")</f>
        <v/>
      </c>
      <c r="H21" s="497"/>
      <c r="I21" s="78"/>
      <c r="K21" s="493"/>
      <c r="L21" s="495"/>
      <c r="M21" s="93" t="s">
        <v>51</v>
      </c>
      <c r="N21" s="104">
        <f>IFERROR(L20/$T$14, "")</f>
        <v>314.05542532352848</v>
      </c>
      <c r="O21" s="102" t="str">
        <f>IFERROR(L20/$T$15, "")</f>
        <v/>
      </c>
      <c r="P21" s="497"/>
      <c r="S21" s="493"/>
      <c r="T21" s="495"/>
      <c r="U21" s="93" t="s">
        <v>51</v>
      </c>
      <c r="V21" s="102">
        <f>IFERROR(T20/$Y$14, "")</f>
        <v>921.22924761568333</v>
      </c>
      <c r="W21" s="102" t="str">
        <f>IFERROR(T20/$Y$15, "")</f>
        <v/>
      </c>
      <c r="X21" s="497"/>
      <c r="AA21" s="493"/>
      <c r="AB21" s="495"/>
      <c r="AC21" s="93" t="s">
        <v>51</v>
      </c>
      <c r="AD21" s="138">
        <f>IFERROR(AB20/$AE$14, "")</f>
        <v>82.252611394257443</v>
      </c>
      <c r="AE21" s="138" t="str">
        <f>IFERROR(AB20/$AE$15, "")</f>
        <v/>
      </c>
      <c r="AF21" s="497"/>
      <c r="AI21" s="493"/>
      <c r="AJ21" s="526"/>
      <c r="AK21" s="414" t="s">
        <v>51</v>
      </c>
      <c r="AL21" s="111" t="str">
        <f>IFERROR(AJ20/AJ14, "")</f>
        <v/>
      </c>
      <c r="AM21" s="99" t="str">
        <f>IFERROR(AJ20/AJ15, "")</f>
        <v/>
      </c>
      <c r="AN21" s="497"/>
      <c r="AP21" s="506"/>
      <c r="AQ21" s="508"/>
      <c r="AR21" s="548"/>
      <c r="AS21" s="532"/>
      <c r="AT21" s="419" t="s">
        <v>75</v>
      </c>
      <c r="AU21" s="342" t="str">
        <f>_xlfn.CONCAT("Worker MOE with Gloves: ",$I$4)</f>
        <v xml:space="preserve">Worker MOE with Gloves: </v>
      </c>
      <c r="AV21" s="421" t="s">
        <v>76</v>
      </c>
    </row>
    <row r="22" spans="2:48" s="22" customFormat="1" ht="30" x14ac:dyDescent="0.25">
      <c r="B22" s="530" t="s">
        <v>77</v>
      </c>
      <c r="C22" s="492" t="s">
        <v>78</v>
      </c>
      <c r="D22" s="527">
        <f>VLOOKUP(B22,'Hazard Values'!$G$6:$J$19, 2)</f>
        <v>210</v>
      </c>
      <c r="E22" s="100" t="s">
        <v>48</v>
      </c>
      <c r="F22" s="97">
        <f>IFERROR(D22/$M$12, "")</f>
        <v>45.626920282852247</v>
      </c>
      <c r="G22" s="98" t="str">
        <f>IFERROR(D22/$M$13, "")</f>
        <v/>
      </c>
      <c r="H22" s="496">
        <f>VLOOKUP($B22,'Hazard Values'!$G$6:$J$19, 3)</f>
        <v>1</v>
      </c>
      <c r="I22" s="34"/>
      <c r="J22" s="34" t="s">
        <v>79</v>
      </c>
      <c r="K22" s="492" t="s">
        <v>80</v>
      </c>
      <c r="L22" s="494">
        <f>VLOOKUP(J22,'Hazard Values'!$G$6:$J$19, 2)</f>
        <v>6000</v>
      </c>
      <c r="M22" s="96" t="s">
        <v>48</v>
      </c>
      <c r="N22" s="97">
        <f>IFERROR(L22/$T$12, "")</f>
        <v>32.59065734489446</v>
      </c>
      <c r="O22" s="103" t="str">
        <f>IFERROR(L22/$T$13, "")</f>
        <v/>
      </c>
      <c r="P22" s="496">
        <f>VLOOKUP(J22,'Hazard Values'!$G$6:$J$19, 3)</f>
        <v>1</v>
      </c>
      <c r="Q22" s="34"/>
      <c r="R22" s="34" t="s">
        <v>81</v>
      </c>
      <c r="S22" s="524" t="s">
        <v>82</v>
      </c>
      <c r="T22" s="494">
        <f>VLOOKUP(R22,'Hazard Values'!$G$6:$J$19, 2)</f>
        <v>4200</v>
      </c>
      <c r="U22" s="100" t="s">
        <v>48</v>
      </c>
      <c r="V22" s="106">
        <f>IFERROR(T22/$Y$12, "")</f>
        <v>1612.1511833274458</v>
      </c>
      <c r="W22" s="108" t="str">
        <f>IFERROR(T22/$Y$13, "")</f>
        <v/>
      </c>
      <c r="X22" s="496">
        <f>VLOOKUP(R22,'Hazard Values'!$G$6:$J$19, 3)</f>
        <v>1</v>
      </c>
      <c r="Z22" s="34" t="s">
        <v>83</v>
      </c>
      <c r="AA22" s="492" t="s">
        <v>84</v>
      </c>
      <c r="AB22" s="494">
        <f>VLOOKUP(Z22,'Hazard Values'!$G$6:$J$19, 2)</f>
        <v>840</v>
      </c>
      <c r="AC22" s="42" t="s">
        <v>48</v>
      </c>
      <c r="AD22" s="97">
        <f>IFERROR(AB22/$AE$12, "")</f>
        <v>52.570147282416727</v>
      </c>
      <c r="AE22" s="97" t="str">
        <f>IFERROR(AB22/$AE$13, "")</f>
        <v/>
      </c>
      <c r="AF22" s="496">
        <f>VLOOKUP(Z22,'Hazard Values'!$G$6:$J$19, 3)</f>
        <v>30</v>
      </c>
      <c r="AO22" s="22" t="s">
        <v>85</v>
      </c>
      <c r="AP22" s="546" t="s">
        <v>86</v>
      </c>
      <c r="AQ22" s="544">
        <f>VLOOKUP(AO22,'Hazard Values'!$G$43:$H$45,2,FALSE)</f>
        <v>16</v>
      </c>
      <c r="AR22" s="287" t="s">
        <v>48</v>
      </c>
      <c r="AS22" s="296">
        <f>VLOOKUP(AO22,'Hazard Values'!$G$43:$I$45, 3, FALSE)</f>
        <v>30</v>
      </c>
      <c r="AT22" s="297">
        <f>IFERROR($AQ$22/AS12, "")</f>
        <v>7.1004846698707178</v>
      </c>
      <c r="AU22" s="343">
        <f>IFERROR($AQ$22/AS14, "")</f>
        <v>35.502423349353585</v>
      </c>
      <c r="AV22" s="306" t="str">
        <f>IFERROR($AQ$22/AS16, "")</f>
        <v/>
      </c>
    </row>
    <row r="23" spans="2:48" s="22" customFormat="1" ht="15.75" thickBot="1" x14ac:dyDescent="0.3">
      <c r="B23" s="530"/>
      <c r="C23" s="493"/>
      <c r="D23" s="495"/>
      <c r="E23" s="93" t="s">
        <v>51</v>
      </c>
      <c r="F23" s="427">
        <f>IFERROR(D22/$M$14, "")</f>
        <v>575.76827975980211</v>
      </c>
      <c r="G23" s="139" t="str">
        <f>IFERROR(D22/$M$15, "")</f>
        <v/>
      </c>
      <c r="H23" s="497"/>
      <c r="I23" s="34"/>
      <c r="J23" s="31"/>
      <c r="K23" s="493"/>
      <c r="L23" s="495"/>
      <c r="M23" s="93" t="s">
        <v>51</v>
      </c>
      <c r="N23" s="105">
        <f>IFERROR(L22/$T$14, "")</f>
        <v>628.11085064705696</v>
      </c>
      <c r="O23" s="99" t="str">
        <f>IFERROR(L22/$T$15, "")</f>
        <v/>
      </c>
      <c r="P23" s="497"/>
      <c r="Q23" s="34"/>
      <c r="S23" s="493"/>
      <c r="T23" s="495"/>
      <c r="U23" s="93" t="s">
        <v>51</v>
      </c>
      <c r="V23" s="94">
        <f>IFERROR(T22/$Y$14, "")</f>
        <v>1612.1511833274458</v>
      </c>
      <c r="W23" s="109" t="str">
        <f>IFERROR(T22/$Y$15, "")</f>
        <v/>
      </c>
      <c r="X23" s="497"/>
      <c r="AA23" s="493"/>
      <c r="AB23" s="495"/>
      <c r="AC23" s="93" t="s">
        <v>51</v>
      </c>
      <c r="AD23" s="99">
        <f>IFERROR(AB22/$AE$14, "")</f>
        <v>197.40626734621787</v>
      </c>
      <c r="AE23" s="99" t="str">
        <f>IFERROR(AB22/$AE$15, "")</f>
        <v/>
      </c>
      <c r="AF23" s="497"/>
      <c r="AO23" s="22" t="s">
        <v>85</v>
      </c>
      <c r="AP23" s="547"/>
      <c r="AQ23" s="545"/>
      <c r="AR23" s="293" t="s">
        <v>51</v>
      </c>
      <c r="AS23" s="298">
        <f>VLOOKUP(AO23,'Hazard Values'!$G$43:$I$45, 3, FALSE)</f>
        <v>30</v>
      </c>
      <c r="AT23" s="299">
        <f>IFERROR($AQ$22/AS13, "")</f>
        <v>21.301454009612154</v>
      </c>
      <c r="AU23" s="344">
        <f>IFERROR($AQ$22/AS15, "")</f>
        <v>106.50727004806078</v>
      </c>
      <c r="AV23" s="307" t="str">
        <f>IFERROR($AQ$22/AS17, "")</f>
        <v/>
      </c>
    </row>
    <row r="24" spans="2:48" s="22" customFormat="1" ht="46.5" customHeight="1" thickBot="1" x14ac:dyDescent="0.3">
      <c r="B24" s="34"/>
      <c r="C24" s="31"/>
      <c r="D24" s="34"/>
      <c r="E24" s="37"/>
      <c r="G24" s="34"/>
      <c r="H24" s="78"/>
      <c r="I24" s="34"/>
      <c r="J24" s="34" t="s">
        <v>87</v>
      </c>
      <c r="K24" s="492" t="s">
        <v>88</v>
      </c>
      <c r="L24" s="494">
        <f>VLOOKUP(J24,'Hazard Values'!$G$6:$J$19, 2, FALSE)</f>
        <v>1706</v>
      </c>
      <c r="M24" s="96" t="s">
        <v>48</v>
      </c>
      <c r="N24" s="97">
        <f>IFERROR(L24/$T$12, "")</f>
        <v>9.2666102383983251</v>
      </c>
      <c r="O24" s="103" t="str">
        <f>IFERROR(L24/$T$13, "")</f>
        <v/>
      </c>
      <c r="P24" s="496">
        <f>VLOOKUP(J24,'Hazard Values'!$G$6:$J$19, 3,FALSE)</f>
        <v>30</v>
      </c>
      <c r="X24" s="34"/>
      <c r="Z24" s="34" t="s">
        <v>89</v>
      </c>
      <c r="AA24" s="492" t="s">
        <v>90</v>
      </c>
      <c r="AB24" s="494">
        <f>VLOOKUP(Z24,'Hazard Values'!$G$6:$J$19, 2)</f>
        <v>2130</v>
      </c>
      <c r="AC24" s="42" t="s">
        <v>48</v>
      </c>
      <c r="AD24" s="106">
        <f>IFERROR(AB24/$AE$12, "")</f>
        <v>133.30287346612812</v>
      </c>
      <c r="AE24" s="106" t="str">
        <f>IFERROR(AB24/$AE$13, "")</f>
        <v/>
      </c>
      <c r="AF24" s="496">
        <f>VLOOKUP(Z24,'Hazard Values'!$G$6:$J$19, 3)</f>
        <v>3</v>
      </c>
      <c r="AP24" s="302" t="s">
        <v>91</v>
      </c>
      <c r="AQ24" s="302"/>
      <c r="AR24" s="303"/>
      <c r="AS24" s="304"/>
      <c r="AT24" s="36"/>
      <c r="AU24" s="36"/>
      <c r="AV24" s="301"/>
    </row>
    <row r="25" spans="2:48" s="22" customFormat="1" ht="41.25" customHeight="1" thickBot="1" x14ac:dyDescent="0.3">
      <c r="C25" s="36" t="s">
        <v>92</v>
      </c>
      <c r="D25" s="34"/>
      <c r="E25" s="17"/>
      <c r="F25" s="17"/>
      <c r="G25" s="34"/>
      <c r="H25" s="34"/>
      <c r="I25" s="34"/>
      <c r="J25" s="19"/>
      <c r="K25" s="493"/>
      <c r="L25" s="495"/>
      <c r="M25" s="93" t="s">
        <v>51</v>
      </c>
      <c r="N25" s="105">
        <f>IFERROR(L24/$T$14, "")</f>
        <v>178.59285186731319</v>
      </c>
      <c r="O25" s="99" t="str">
        <f>IFERROR(L24/$T$15, "")</f>
        <v/>
      </c>
      <c r="P25" s="497"/>
      <c r="AA25" s="493"/>
      <c r="AB25" s="495"/>
      <c r="AC25" s="93" t="s">
        <v>51</v>
      </c>
      <c r="AD25" s="94">
        <f>IFERROR(AB24/$AE$14, "")</f>
        <v>500.56589219933818</v>
      </c>
      <c r="AE25" s="94" t="str">
        <f>IFERROR(AB24/$AE$15, "")</f>
        <v/>
      </c>
      <c r="AF25" s="497"/>
      <c r="AG25" s="41"/>
      <c r="AH25" s="41"/>
      <c r="AI25" s="41"/>
      <c r="AJ25" s="41"/>
      <c r="AK25" s="41"/>
      <c r="AP25" s="505" t="s">
        <v>55</v>
      </c>
      <c r="AQ25" s="507" t="s">
        <v>93</v>
      </c>
      <c r="AR25" s="486" t="s">
        <v>22</v>
      </c>
      <c r="AS25" s="509" t="s">
        <v>58</v>
      </c>
      <c r="AT25" s="418" t="s">
        <v>94</v>
      </c>
      <c r="AU25" s="541" t="s">
        <v>74</v>
      </c>
      <c r="AV25" s="542"/>
    </row>
    <row r="26" spans="2:48" s="22" customFormat="1" ht="42" customHeight="1" thickBot="1" x14ac:dyDescent="0.3">
      <c r="B26" s="41"/>
      <c r="C26" s="505" t="s">
        <v>55</v>
      </c>
      <c r="D26" s="507" t="s">
        <v>56</v>
      </c>
      <c r="E26" s="507" t="s">
        <v>22</v>
      </c>
      <c r="F26" s="509" t="s">
        <v>94</v>
      </c>
      <c r="G26" s="510"/>
      <c r="H26" s="498" t="s">
        <v>58</v>
      </c>
      <c r="I26" s="34"/>
      <c r="J26" s="78"/>
      <c r="K26" s="19"/>
      <c r="L26" s="34"/>
      <c r="M26" s="34"/>
      <c r="N26" s="33"/>
      <c r="O26" s="34"/>
      <c r="Q26" s="34"/>
      <c r="R26" s="41"/>
      <c r="S26" s="41"/>
      <c r="Z26" s="34" t="s">
        <v>95</v>
      </c>
      <c r="AA26" s="492" t="s">
        <v>96</v>
      </c>
      <c r="AB26" s="494">
        <f>VLOOKUP(Z26,'Hazard Values'!$G$6:$J$19, 2)</f>
        <v>2000</v>
      </c>
      <c r="AC26" s="42" t="s">
        <v>48</v>
      </c>
      <c r="AD26" s="97">
        <f>IFERROR(AB26/$AE$12, "")</f>
        <v>125.16701733908744</v>
      </c>
      <c r="AE26" s="97" t="str">
        <f>IFERROR(AB26/$AE$13, "")</f>
        <v/>
      </c>
      <c r="AF26" s="522">
        <f>VLOOKUP(Z26,'Hazard Values'!$G$6:$J$19, 3)</f>
        <v>1</v>
      </c>
      <c r="AG26" s="41"/>
      <c r="AH26" s="41"/>
      <c r="AI26" s="41"/>
      <c r="AJ26" s="41"/>
      <c r="AP26" s="506"/>
      <c r="AQ26" s="508"/>
      <c r="AR26" s="552"/>
      <c r="AS26" s="532"/>
      <c r="AT26" s="419" t="s">
        <v>75</v>
      </c>
      <c r="AU26" s="305" t="str">
        <f>_xlfn.CONCAT("Worker MOE with Gloves: ",$I$4)</f>
        <v xml:space="preserve">Worker MOE with Gloves: </v>
      </c>
      <c r="AV26" s="421" t="s">
        <v>76</v>
      </c>
    </row>
    <row r="27" spans="2:48" s="22" customFormat="1" ht="15.75" thickBot="1" x14ac:dyDescent="0.3">
      <c r="B27" s="41"/>
      <c r="C27" s="521"/>
      <c r="D27" s="508"/>
      <c r="E27" s="508"/>
      <c r="F27" s="423" t="s">
        <v>60</v>
      </c>
      <c r="G27" s="423" t="s">
        <v>61</v>
      </c>
      <c r="H27" s="499"/>
      <c r="I27" s="78"/>
      <c r="J27" s="78"/>
      <c r="K27" s="19"/>
      <c r="L27" s="19"/>
      <c r="M27" s="19"/>
      <c r="N27" s="19"/>
      <c r="O27" s="19"/>
      <c r="Q27" s="34"/>
      <c r="R27" s="41"/>
      <c r="S27" s="41"/>
      <c r="Y27" s="41"/>
      <c r="Z27" s="41"/>
      <c r="AA27" s="493"/>
      <c r="AB27" s="495"/>
      <c r="AC27" s="93" t="s">
        <v>51</v>
      </c>
      <c r="AD27" s="99">
        <f>IFERROR(AB26/$AE$14, "")</f>
        <v>470.01492225289968</v>
      </c>
      <c r="AE27" s="99" t="str">
        <f>IFERROR(AB26/$AE$15, "")</f>
        <v/>
      </c>
      <c r="AF27" s="497"/>
      <c r="AG27" s="41"/>
      <c r="AH27" s="41"/>
      <c r="AI27" s="41"/>
      <c r="AJ27" s="41"/>
      <c r="AO27" s="22" t="s">
        <v>97</v>
      </c>
      <c r="AP27" s="543" t="s">
        <v>98</v>
      </c>
      <c r="AQ27" s="544">
        <f>VLOOKUP(AO27,'Hazard Values'!$G$43:$H$45,2,FALSE)</f>
        <v>2.15</v>
      </c>
      <c r="AR27" s="287" t="s">
        <v>48</v>
      </c>
      <c r="AS27" s="296">
        <f>VLOOKUP(AO27,'Hazard Values'!$G$43:$I$45, 3, FALSE)</f>
        <v>10</v>
      </c>
      <c r="AT27" s="297">
        <f>IFERROR($AQ$27/AT12, "")</f>
        <v>0.99501881155018668</v>
      </c>
      <c r="AU27" s="343">
        <f>IFERROR(AQ27/AT14, "")</f>
        <v>4.9750940577509333</v>
      </c>
      <c r="AV27" s="306" t="str">
        <f>IFERROR(AQ27/AT16, "")</f>
        <v/>
      </c>
    </row>
    <row r="28" spans="2:48" s="22" customFormat="1" ht="15.75" thickBot="1" x14ac:dyDescent="0.3">
      <c r="B28" s="512" t="s">
        <v>99</v>
      </c>
      <c r="C28" s="514" t="s">
        <v>100</v>
      </c>
      <c r="D28" s="520">
        <f>VLOOKUP(B28,'Hazard Values'!$G$6:$J$19, 2)</f>
        <v>17.2</v>
      </c>
      <c r="E28" s="42" t="s">
        <v>48</v>
      </c>
      <c r="F28" s="82">
        <f>IFERROR(D28/$N$12, "")</f>
        <v>16.368331744899798</v>
      </c>
      <c r="G28" s="113" t="str">
        <f>IFERROR(D28/$N$13, "")</f>
        <v/>
      </c>
      <c r="H28" s="502">
        <f>VLOOKUP(B28,'Hazard Values'!G6:J19, 3)</f>
        <v>10</v>
      </c>
      <c r="I28" s="78"/>
      <c r="J28" s="78"/>
      <c r="K28" s="19"/>
      <c r="L28" s="19"/>
      <c r="M28" s="19"/>
      <c r="N28" s="19"/>
      <c r="O28" s="19"/>
      <c r="Q28" s="34"/>
      <c r="R28" s="41"/>
      <c r="S28" s="41"/>
      <c r="T28" s="41"/>
      <c r="U28" s="41"/>
      <c r="V28" s="41"/>
      <c r="Y28" s="41"/>
      <c r="Z28" s="41"/>
      <c r="AA28" s="41"/>
      <c r="AO28" s="22" t="s">
        <v>97</v>
      </c>
      <c r="AP28" s="515"/>
      <c r="AQ28" s="545"/>
      <c r="AR28" s="293" t="s">
        <v>51</v>
      </c>
      <c r="AS28" s="298">
        <f>VLOOKUP(AO28,'Hazard Values'!$G$43:$I$45, 3, FALSE)</f>
        <v>10</v>
      </c>
      <c r="AT28" s="299">
        <f>IFERROR($AQ$27/AT13,"")</f>
        <v>2.985056434650561</v>
      </c>
      <c r="AU28" s="344">
        <f>IFERROR(AQ27/AT15,"")</f>
        <v>14.925282173252803</v>
      </c>
      <c r="AV28" s="307" t="str">
        <f>IFERROR(AQ27/AT17,"")</f>
        <v/>
      </c>
    </row>
    <row r="29" spans="2:48" s="22" customFormat="1" ht="24" customHeight="1" thickBot="1" x14ac:dyDescent="0.3">
      <c r="B29" s="512"/>
      <c r="C29" s="515"/>
      <c r="D29" s="495"/>
      <c r="E29" s="93" t="s">
        <v>51</v>
      </c>
      <c r="F29" s="92">
        <f>IFERROR(D28/$N$14, "")</f>
        <v>206.55275773325928</v>
      </c>
      <c r="G29" s="112" t="str">
        <f>IFERROR(D28/$N$15, "")</f>
        <v/>
      </c>
      <c r="H29" s="503"/>
      <c r="I29" s="78"/>
      <c r="J29" s="17"/>
      <c r="K29" s="19"/>
      <c r="L29" s="19"/>
      <c r="M29" s="19"/>
      <c r="N29" s="19"/>
      <c r="O29" s="19"/>
      <c r="Q29" s="34"/>
      <c r="T29" s="41"/>
      <c r="U29" s="41"/>
      <c r="V29" s="41"/>
      <c r="Y29" s="41"/>
      <c r="Z29" s="41"/>
      <c r="AA29" s="41"/>
      <c r="AF29" s="41"/>
      <c r="AP29" s="300"/>
      <c r="AQ29" s="300"/>
      <c r="AR29" s="300"/>
      <c r="AS29" s="308"/>
      <c r="AT29" s="19"/>
      <c r="AU29" s="19"/>
      <c r="AV29" s="301"/>
    </row>
    <row r="30" spans="2:48" s="22" customFormat="1" ht="21.75" thickBot="1" x14ac:dyDescent="0.3">
      <c r="B30" s="19"/>
      <c r="C30" s="17"/>
      <c r="D30" s="31"/>
      <c r="E30" s="17"/>
      <c r="F30" s="17"/>
      <c r="G30" s="17"/>
      <c r="H30" s="17"/>
      <c r="I30" s="17"/>
      <c r="J30" s="19"/>
      <c r="K30" s="19"/>
      <c r="L30" s="19"/>
      <c r="M30" s="19"/>
      <c r="N30" s="19"/>
      <c r="P30" s="34"/>
      <c r="S30" s="41"/>
      <c r="T30" s="41"/>
      <c r="U30" s="41"/>
      <c r="W30" s="41"/>
      <c r="X30" s="41"/>
      <c r="AD30" s="41"/>
      <c r="AE30" s="41"/>
      <c r="AP30" s="36" t="s">
        <v>101</v>
      </c>
      <c r="AQ30" s="36"/>
      <c r="AR30" s="41"/>
      <c r="AS30" s="17"/>
      <c r="AT30" s="420" t="s">
        <v>102</v>
      </c>
      <c r="AU30" s="541" t="s">
        <v>74</v>
      </c>
      <c r="AV30" s="542"/>
    </row>
    <row r="31" spans="2:48" s="22" customFormat="1" ht="24" customHeight="1" thickBot="1" x14ac:dyDescent="0.3">
      <c r="B31" s="19"/>
      <c r="C31" s="17"/>
      <c r="D31" s="31"/>
      <c r="E31" s="17"/>
      <c r="F31" s="17"/>
      <c r="G31" s="17"/>
      <c r="H31" s="17"/>
      <c r="I31" s="17"/>
      <c r="J31" s="19"/>
      <c r="K31" s="19"/>
      <c r="L31" s="19"/>
      <c r="M31" s="19"/>
      <c r="N31" s="19"/>
      <c r="W31" s="41"/>
      <c r="AA31" s="41"/>
      <c r="AB31" s="41"/>
      <c r="AD31" s="41"/>
      <c r="AE31" s="41"/>
      <c r="AF31" s="41"/>
      <c r="AG31" s="41"/>
      <c r="AH31" s="41"/>
      <c r="AI31" s="41"/>
      <c r="AP31" s="309" t="s">
        <v>103</v>
      </c>
      <c r="AQ31" s="310" t="s">
        <v>104</v>
      </c>
      <c r="AR31" s="311" t="s">
        <v>22</v>
      </c>
      <c r="AS31" s="312" t="s">
        <v>105</v>
      </c>
      <c r="AT31" s="406" t="s">
        <v>106</v>
      </c>
      <c r="AU31" s="313" t="str">
        <f>_xlfn.CONCAT("Gloves: ",$I$4)</f>
        <v xml:space="preserve">Gloves: </v>
      </c>
      <c r="AV31" s="416" t="s">
        <v>107</v>
      </c>
    </row>
    <row r="32" spans="2:48" s="22" customFormat="1" ht="21.75" thickBot="1" x14ac:dyDescent="0.3">
      <c r="B32" s="43"/>
      <c r="C32" s="36" t="s">
        <v>101</v>
      </c>
      <c r="D32" s="31"/>
      <c r="E32" s="17"/>
      <c r="F32" s="17"/>
      <c r="G32" s="17"/>
      <c r="H32" s="17"/>
      <c r="I32" s="79"/>
      <c r="J32" s="19"/>
      <c r="K32" s="19"/>
      <c r="L32" s="19"/>
      <c r="M32" s="19"/>
      <c r="N32" s="19"/>
      <c r="Q32" s="41"/>
      <c r="R32" s="41"/>
      <c r="W32" s="41"/>
      <c r="AA32" s="41"/>
      <c r="AB32" s="41"/>
      <c r="AF32" s="41"/>
      <c r="AG32" s="41"/>
      <c r="AH32" s="41"/>
      <c r="AI32" s="41"/>
      <c r="AO32" s="22" t="s">
        <v>108</v>
      </c>
      <c r="AP32" s="543" t="s">
        <v>109</v>
      </c>
      <c r="AQ32" s="549">
        <f>VLOOKUP(AO32,'Hazard Values'!$G$43:$J$45,4,FALSE)</f>
        <v>1.1E-5</v>
      </c>
      <c r="AR32" s="287" t="s">
        <v>48</v>
      </c>
      <c r="AS32" s="550">
        <v>1E-4</v>
      </c>
      <c r="AT32" s="407">
        <f>IFERROR(AU12*AQ32, "")</f>
        <v>1.2188920437906118E-5</v>
      </c>
      <c r="AU32" s="355">
        <f>IFERROR(AU14*AQ32, "")</f>
        <v>2.4377840875812236E-6</v>
      </c>
      <c r="AV32" s="357" t="str">
        <f>IFERROR(AU16*AQ32, "")</f>
        <v/>
      </c>
    </row>
    <row r="33" spans="2:49" s="22" customFormat="1" ht="15.75" thickBot="1" x14ac:dyDescent="0.25">
      <c r="C33" s="420" t="s">
        <v>103</v>
      </c>
      <c r="D33" s="44" t="s">
        <v>110</v>
      </c>
      <c r="E33" s="44" t="s">
        <v>22</v>
      </c>
      <c r="F33" s="418" t="s">
        <v>111</v>
      </c>
      <c r="G33" s="418" t="s">
        <v>112</v>
      </c>
      <c r="H33" s="45" t="s">
        <v>105</v>
      </c>
      <c r="I33" s="79"/>
      <c r="J33" s="80"/>
      <c r="K33" s="19"/>
      <c r="L33" s="19"/>
      <c r="M33" s="19"/>
      <c r="N33" s="19"/>
      <c r="O33" s="19"/>
      <c r="Q33" s="41"/>
      <c r="R33" s="41"/>
      <c r="S33" s="41"/>
      <c r="Z33" s="41"/>
      <c r="AA33" s="41"/>
      <c r="AB33" s="41"/>
      <c r="AC33" s="41"/>
      <c r="AO33" s="22" t="s">
        <v>108</v>
      </c>
      <c r="AP33" s="515"/>
      <c r="AQ33" s="519"/>
      <c r="AR33" s="293" t="s">
        <v>51</v>
      </c>
      <c r="AS33" s="551"/>
      <c r="AT33" s="408">
        <f>IFERROR(AU13*AQ32, "")</f>
        <v>3.1488044464590796E-6</v>
      </c>
      <c r="AU33" s="356">
        <f>IFERROR(AU15*AQ32, "")</f>
        <v>6.2976088929181597E-7</v>
      </c>
      <c r="AV33" s="358" t="str">
        <f>IFERROR(AU17*AQ32, "")</f>
        <v/>
      </c>
      <c r="AW33" s="41"/>
    </row>
    <row r="34" spans="2:49" s="22" customFormat="1" ht="20.25" customHeight="1" x14ac:dyDescent="0.25">
      <c r="B34" s="513" t="s">
        <v>113</v>
      </c>
      <c r="C34" s="516" t="s">
        <v>114</v>
      </c>
      <c r="D34" s="518">
        <f>VLOOKUP(B34,'Hazard Values'!$G$6:$J$19, 4)</f>
        <v>1.3799999999999999E-6</v>
      </c>
      <c r="E34" s="114" t="s">
        <v>48</v>
      </c>
      <c r="F34" s="115">
        <f>IFERROR(O12*D34, "")</f>
        <v>3.2571864086833406E-6</v>
      </c>
      <c r="G34" s="116" t="str">
        <f>IF(O13=0,"",O13*D34)</f>
        <v/>
      </c>
      <c r="H34" s="500" t="s">
        <v>115</v>
      </c>
      <c r="I34" s="80"/>
      <c r="J34" s="13"/>
      <c r="K34" s="19"/>
      <c r="L34" s="19"/>
      <c r="M34" s="19"/>
      <c r="N34" s="19"/>
      <c r="O34" s="19"/>
      <c r="Q34" s="41"/>
      <c r="T34" s="41"/>
      <c r="U34" s="41"/>
      <c r="V34" s="41"/>
      <c r="Y34" s="41"/>
      <c r="Z34" s="41"/>
      <c r="AA34" s="41"/>
      <c r="AO34" s="41"/>
      <c r="AP34" s="19"/>
      <c r="AQ34" s="19"/>
      <c r="AR34" s="19"/>
      <c r="AS34" s="19"/>
      <c r="AT34" s="19"/>
      <c r="AV34" s="41"/>
      <c r="AW34" s="41"/>
    </row>
    <row r="35" spans="2:49" s="41" customFormat="1" ht="29.25" customHeight="1" thickBot="1" x14ac:dyDescent="0.3">
      <c r="B35" s="513"/>
      <c r="C35" s="517"/>
      <c r="D35" s="519"/>
      <c r="E35" s="417" t="s">
        <v>51</v>
      </c>
      <c r="F35" s="117">
        <f>IFERROR(O14*D34, "")</f>
        <v>2.000404105710241E-7</v>
      </c>
      <c r="G35" s="46" t="str">
        <f>IF(O15=0,"",O15*D34)</f>
        <v/>
      </c>
      <c r="H35" s="501"/>
      <c r="I35" s="13"/>
      <c r="J35" s="13"/>
      <c r="K35" s="19"/>
      <c r="L35" s="19"/>
      <c r="M35" s="19"/>
      <c r="N35" s="19"/>
      <c r="O35" s="19"/>
      <c r="P35" s="22"/>
      <c r="R35" s="22"/>
      <c r="S35" s="22"/>
      <c r="W35" s="22"/>
      <c r="X35" s="22"/>
      <c r="Z35" s="22"/>
      <c r="AA35" s="22"/>
      <c r="AB35" s="22"/>
      <c r="AC35" s="22"/>
      <c r="AG35" s="19"/>
      <c r="AH35" s="19"/>
      <c r="AI35" s="19"/>
      <c r="AJ35" s="19"/>
      <c r="AP35" s="19"/>
      <c r="AQ35" s="19"/>
      <c r="AR35" s="19"/>
      <c r="AS35" s="19"/>
      <c r="AT35" s="22"/>
    </row>
    <row r="36" spans="2:49" s="41" customFormat="1" x14ac:dyDescent="0.25">
      <c r="B36" s="19"/>
      <c r="C36" s="17"/>
      <c r="D36" s="32"/>
      <c r="E36" s="13"/>
      <c r="F36" s="13"/>
      <c r="G36" s="13"/>
      <c r="H36" s="13"/>
      <c r="I36" s="19"/>
      <c r="J36" s="19"/>
      <c r="K36" s="19"/>
      <c r="L36" s="19"/>
      <c r="M36" s="19"/>
      <c r="N36" s="19"/>
      <c r="O36" s="19"/>
      <c r="P36" s="22"/>
      <c r="Q36" s="19"/>
      <c r="R36" s="19"/>
      <c r="S36" s="22"/>
      <c r="T36" s="22"/>
      <c r="U36" s="22"/>
      <c r="V36" s="22"/>
      <c r="X36" s="22"/>
      <c r="Y36" s="22"/>
      <c r="Z36" s="22"/>
      <c r="AA36" s="22"/>
      <c r="AB36" s="22"/>
      <c r="AF36" s="19"/>
      <c r="AG36" s="19"/>
      <c r="AH36" s="19"/>
      <c r="AI36" s="19"/>
      <c r="AP36" s="19"/>
      <c r="AQ36" s="19"/>
      <c r="AR36" s="19"/>
      <c r="AS36" s="19"/>
      <c r="AT36" s="19"/>
      <c r="AU36" s="22"/>
      <c r="AV36" s="22"/>
    </row>
    <row r="37" spans="2:49" s="41" customFormat="1" ht="21" x14ac:dyDescent="0.25">
      <c r="B37" s="19"/>
      <c r="C37" s="483" t="s">
        <v>116</v>
      </c>
      <c r="D37" s="483"/>
      <c r="E37" s="483"/>
      <c r="F37" s="483"/>
      <c r="G37" s="483"/>
      <c r="H37" s="13"/>
      <c r="I37" s="19"/>
      <c r="J37" s="19"/>
      <c r="K37" s="19"/>
      <c r="L37" s="19"/>
      <c r="M37" s="19"/>
      <c r="N37" s="19"/>
      <c r="O37" s="19"/>
      <c r="P37" s="22"/>
      <c r="Q37" s="19"/>
      <c r="R37" s="19"/>
      <c r="S37" s="22"/>
      <c r="T37" s="22"/>
      <c r="U37" s="22"/>
      <c r="V37" s="22"/>
      <c r="X37" s="22"/>
      <c r="Y37" s="22"/>
      <c r="Z37" s="22"/>
      <c r="AA37" s="22"/>
      <c r="AB37" s="22"/>
      <c r="AF37" s="19"/>
      <c r="AG37" s="19"/>
      <c r="AH37" s="19"/>
      <c r="AI37" s="19"/>
      <c r="AO37" s="19"/>
      <c r="AP37" s="19"/>
      <c r="AQ37" s="19"/>
      <c r="AR37" s="19"/>
      <c r="AS37" s="19"/>
      <c r="AT37" s="19"/>
      <c r="AU37" s="22"/>
      <c r="AV37" s="22"/>
    </row>
    <row r="38" spans="2:49" s="41" customFormat="1" ht="21" x14ac:dyDescent="0.25">
      <c r="B38" s="19"/>
      <c r="C38" s="483" t="s">
        <v>117</v>
      </c>
      <c r="D38" s="483"/>
      <c r="E38" s="483"/>
      <c r="F38" s="483"/>
      <c r="G38" s="483"/>
      <c r="H38" s="13"/>
      <c r="I38" s="19"/>
      <c r="J38" s="19"/>
      <c r="K38" s="19"/>
      <c r="L38" s="19"/>
      <c r="M38" s="19"/>
      <c r="N38" s="19"/>
      <c r="O38" s="19"/>
      <c r="P38" s="22"/>
      <c r="Q38" s="19"/>
      <c r="R38" s="19"/>
      <c r="S38" s="22"/>
      <c r="T38" s="22"/>
      <c r="U38" s="22"/>
      <c r="V38" s="22"/>
      <c r="X38" s="22"/>
      <c r="Y38" s="22"/>
      <c r="Z38" s="22"/>
      <c r="AA38" s="22"/>
      <c r="AB38" s="22"/>
      <c r="AF38" s="19"/>
      <c r="AG38" s="19"/>
      <c r="AH38" s="19"/>
      <c r="AI38" s="19"/>
      <c r="AO38" s="19"/>
      <c r="AP38" s="19"/>
      <c r="AQ38" s="19"/>
      <c r="AR38" s="19"/>
      <c r="AS38" s="19"/>
      <c r="AT38" s="19"/>
      <c r="AU38" s="19"/>
      <c r="AV38" s="19"/>
      <c r="AW38" s="19"/>
    </row>
    <row r="39" spans="2:49" s="41" customFormat="1" ht="21" x14ac:dyDescent="0.25">
      <c r="B39" s="19"/>
      <c r="C39" s="149" t="s">
        <v>118</v>
      </c>
      <c r="D39" s="19">
        <v>25</v>
      </c>
      <c r="E39" s="422"/>
      <c r="F39" s="422"/>
      <c r="G39" s="422"/>
      <c r="H39" s="13"/>
      <c r="I39" s="19"/>
      <c r="J39" s="19"/>
      <c r="K39" s="19"/>
      <c r="L39" s="19"/>
      <c r="M39" s="19"/>
      <c r="N39" s="19"/>
      <c r="O39" s="19"/>
      <c r="P39" s="22"/>
      <c r="Q39" s="19"/>
      <c r="R39" s="19"/>
      <c r="S39" s="22"/>
      <c r="T39" s="22"/>
      <c r="U39" s="22"/>
      <c r="V39" s="22"/>
      <c r="X39" s="22"/>
      <c r="Y39" s="22"/>
      <c r="Z39" s="22"/>
      <c r="AA39" s="22"/>
      <c r="AB39" s="22"/>
      <c r="AF39" s="19"/>
      <c r="AG39" s="19"/>
      <c r="AH39" s="19"/>
      <c r="AI39" s="19"/>
      <c r="AO39" s="19"/>
      <c r="AP39" s="19"/>
      <c r="AQ39" s="19"/>
      <c r="AR39" s="19"/>
      <c r="AS39" s="19"/>
      <c r="AT39" s="19"/>
      <c r="AU39" s="19"/>
      <c r="AV39" s="19"/>
      <c r="AW39" s="19"/>
    </row>
    <row r="40" spans="2:49" ht="21" x14ac:dyDescent="0.25">
      <c r="C40" s="483" t="s">
        <v>13</v>
      </c>
      <c r="D40" s="483"/>
      <c r="E40" s="483"/>
      <c r="F40" s="483"/>
      <c r="G40" s="483"/>
      <c r="H40" s="422"/>
      <c r="I40" s="422"/>
      <c r="K40" s="422" t="s">
        <v>14</v>
      </c>
      <c r="L40" s="422"/>
      <c r="M40" s="422"/>
      <c r="N40" s="422"/>
      <c r="P40" s="422"/>
      <c r="R40" s="422"/>
      <c r="S40" s="422" t="s">
        <v>15</v>
      </c>
      <c r="T40" s="422"/>
      <c r="U40" s="422"/>
      <c r="W40" s="422"/>
      <c r="Y40" s="422"/>
      <c r="Z40" s="422"/>
      <c r="AA40" s="422" t="s">
        <v>16</v>
      </c>
      <c r="AB40" s="422"/>
      <c r="AD40" s="422"/>
      <c r="AF40" s="422"/>
      <c r="AG40" s="422"/>
      <c r="AH40" s="422"/>
      <c r="AI40" s="422" t="s">
        <v>17</v>
      </c>
      <c r="AO40" s="35"/>
    </row>
    <row r="41" spans="2:49" x14ac:dyDescent="0.25">
      <c r="K41" s="19" t="s">
        <v>18</v>
      </c>
      <c r="AW41" s="35"/>
    </row>
    <row r="42" spans="2:49" ht="21.75" thickBot="1" x14ac:dyDescent="0.3">
      <c r="C42" s="36" t="s">
        <v>53</v>
      </c>
      <c r="K42" s="36" t="s">
        <v>54</v>
      </c>
      <c r="R42" s="18"/>
      <c r="S42" s="36" t="s">
        <v>54</v>
      </c>
      <c r="Y42" s="18"/>
      <c r="AA42" s="36" t="s">
        <v>54</v>
      </c>
      <c r="AB42" s="36"/>
      <c r="AG42" s="18"/>
      <c r="AI42" s="36" t="s">
        <v>54</v>
      </c>
      <c r="AO42" s="22"/>
    </row>
    <row r="43" spans="2:49" s="35" customFormat="1" ht="27" customHeight="1" x14ac:dyDescent="0.25">
      <c r="B43" s="22"/>
      <c r="C43" s="505" t="s">
        <v>55</v>
      </c>
      <c r="D43" s="507" t="s">
        <v>56</v>
      </c>
      <c r="E43" s="507" t="s">
        <v>22</v>
      </c>
      <c r="F43" s="509" t="s">
        <v>57</v>
      </c>
      <c r="G43" s="510"/>
      <c r="H43" s="498" t="s">
        <v>58</v>
      </c>
      <c r="I43" s="78"/>
      <c r="J43" s="22"/>
      <c r="K43" s="505" t="s">
        <v>55</v>
      </c>
      <c r="L43" s="507" t="s">
        <v>56</v>
      </c>
      <c r="M43" s="507" t="s">
        <v>22</v>
      </c>
      <c r="N43" s="507" t="s">
        <v>57</v>
      </c>
      <c r="O43" s="507"/>
      <c r="P43" s="498" t="s">
        <v>58</v>
      </c>
      <c r="R43" s="22"/>
      <c r="S43" s="505" t="s">
        <v>55</v>
      </c>
      <c r="T43" s="507" t="s">
        <v>56</v>
      </c>
      <c r="U43" s="507" t="s">
        <v>22</v>
      </c>
      <c r="V43" s="507" t="s">
        <v>57</v>
      </c>
      <c r="W43" s="507"/>
      <c r="X43" s="498" t="s">
        <v>58</v>
      </c>
      <c r="Y43" s="19"/>
      <c r="Z43" s="22"/>
      <c r="AA43" s="505" t="s">
        <v>55</v>
      </c>
      <c r="AB43" s="507" t="s">
        <v>56</v>
      </c>
      <c r="AC43" s="507" t="s">
        <v>22</v>
      </c>
      <c r="AD43" s="507" t="s">
        <v>57</v>
      </c>
      <c r="AE43" s="507"/>
      <c r="AF43" s="498" t="s">
        <v>58</v>
      </c>
      <c r="AH43" s="22"/>
      <c r="AI43" s="505" t="s">
        <v>55</v>
      </c>
      <c r="AJ43" s="507" t="s">
        <v>56</v>
      </c>
      <c r="AK43" s="507" t="s">
        <v>22</v>
      </c>
      <c r="AL43" s="507" t="s">
        <v>57</v>
      </c>
      <c r="AM43" s="507"/>
      <c r="AN43" s="498" t="s">
        <v>58</v>
      </c>
      <c r="AO43" s="22"/>
      <c r="AP43" s="19"/>
      <c r="AQ43" s="19"/>
      <c r="AR43" s="19"/>
      <c r="AS43" s="19"/>
      <c r="AT43" s="19"/>
      <c r="AU43" s="19"/>
      <c r="AV43" s="19"/>
      <c r="AW43" s="22"/>
    </row>
    <row r="44" spans="2:49" ht="26.25" thickBot="1" x14ac:dyDescent="0.3">
      <c r="B44" s="18" t="s">
        <v>59</v>
      </c>
      <c r="C44" s="506"/>
      <c r="D44" s="508"/>
      <c r="E44" s="508"/>
      <c r="F44" s="419" t="s">
        <v>60</v>
      </c>
      <c r="G44" s="419" t="s">
        <v>61</v>
      </c>
      <c r="H44" s="511"/>
      <c r="I44" s="78"/>
      <c r="J44" s="18" t="s">
        <v>59</v>
      </c>
      <c r="K44" s="506"/>
      <c r="L44" s="508"/>
      <c r="M44" s="508"/>
      <c r="N44" s="419" t="s">
        <v>60</v>
      </c>
      <c r="O44" s="419" t="s">
        <v>61</v>
      </c>
      <c r="P44" s="511"/>
      <c r="R44" s="18" t="s">
        <v>59</v>
      </c>
      <c r="S44" s="506"/>
      <c r="T44" s="508"/>
      <c r="U44" s="508"/>
      <c r="V44" s="419" t="s">
        <v>60</v>
      </c>
      <c r="W44" s="419" t="s">
        <v>61</v>
      </c>
      <c r="X44" s="499"/>
      <c r="Z44" s="18" t="s">
        <v>59</v>
      </c>
      <c r="AA44" s="521"/>
      <c r="AB44" s="531"/>
      <c r="AC44" s="508"/>
      <c r="AD44" s="423" t="s">
        <v>60</v>
      </c>
      <c r="AE44" s="423" t="s">
        <v>61</v>
      </c>
      <c r="AF44" s="511"/>
      <c r="AH44" s="18" t="s">
        <v>59</v>
      </c>
      <c r="AI44" s="521"/>
      <c r="AJ44" s="531"/>
      <c r="AK44" s="531"/>
      <c r="AL44" s="423" t="s">
        <v>60</v>
      </c>
      <c r="AM44" s="423" t="s">
        <v>61</v>
      </c>
      <c r="AN44" s="499"/>
      <c r="AO44" s="22"/>
      <c r="AW44" s="22"/>
    </row>
    <row r="45" spans="2:49" s="22" customFormat="1" ht="46.5" customHeight="1" x14ac:dyDescent="0.25">
      <c r="B45" s="530" t="s">
        <v>63</v>
      </c>
      <c r="C45" s="492" t="s">
        <v>119</v>
      </c>
      <c r="D45" s="520">
        <f>VLOOKUP(B45,'Hazard Values'!$G$6:$J$19, 2)</f>
        <v>290</v>
      </c>
      <c r="E45" s="42" t="s">
        <v>48</v>
      </c>
      <c r="F45" s="81">
        <f t="shared" ref="F45:G48" si="2">IFERROR(F20*$D$39,"")</f>
        <v>1575.2151050032323</v>
      </c>
      <c r="G45" s="81" t="str">
        <f t="shared" si="2"/>
        <v/>
      </c>
      <c r="H45" s="523">
        <f>VLOOKUP($B45,'Hazard Values'!$G$6:$J$19, 3)</f>
        <v>30</v>
      </c>
      <c r="I45" s="78"/>
      <c r="J45" s="34" t="s">
        <v>65</v>
      </c>
      <c r="K45" s="504" t="s">
        <v>66</v>
      </c>
      <c r="L45" s="520">
        <f>VLOOKUP(J45,'Hazard Values'!$G$6:$J$19, 2)</f>
        <v>3000</v>
      </c>
      <c r="M45" s="42" t="s">
        <v>48</v>
      </c>
      <c r="N45" s="81">
        <f t="shared" ref="N45:O50" si="3">IFERROR(N20*$D$39,"")</f>
        <v>407.38321681118077</v>
      </c>
      <c r="O45" s="82" t="str">
        <f t="shared" si="3"/>
        <v/>
      </c>
      <c r="P45" s="523">
        <f>VLOOKUP(J45,'Hazard Values'!$G$6:$J$19, 3)</f>
        <v>3</v>
      </c>
      <c r="R45" s="34" t="s">
        <v>67</v>
      </c>
      <c r="S45" s="504" t="s">
        <v>68</v>
      </c>
      <c r="T45" s="520">
        <f>VLOOKUP(R45,'Hazard Values'!$G$6:$J$19, 2)</f>
        <v>2400</v>
      </c>
      <c r="U45" s="42" t="s">
        <v>48</v>
      </c>
      <c r="V45" s="101">
        <f t="shared" ref="V45:W48" si="4">IFERROR(V20*$D$39,"")</f>
        <v>23030.731190392082</v>
      </c>
      <c r="W45" s="101" t="str">
        <f t="shared" si="4"/>
        <v/>
      </c>
      <c r="X45" s="523">
        <f>VLOOKUP(R45,'Hazard Values'!$G$6:$J$19, 3)</f>
        <v>3</v>
      </c>
      <c r="Z45" s="34" t="s">
        <v>69</v>
      </c>
      <c r="AA45" s="504" t="s">
        <v>70</v>
      </c>
      <c r="AB45" s="520">
        <f>VLOOKUP(Z45,'Hazard Values'!$G$6:$J$19, 2)</f>
        <v>350</v>
      </c>
      <c r="AC45" s="42" t="s">
        <v>48</v>
      </c>
      <c r="AD45" s="106">
        <f t="shared" ref="AD45:AE52" si="5">IFERROR(AD20*$D$39,"")</f>
        <v>547.60570085850759</v>
      </c>
      <c r="AE45" s="106" t="str">
        <f t="shared" si="5"/>
        <v/>
      </c>
      <c r="AF45" s="523">
        <f>VLOOKUP(Z45,'Hazard Values'!$G$6:$J$19, 3)</f>
        <v>10</v>
      </c>
      <c r="AH45" s="34" t="s">
        <v>71</v>
      </c>
      <c r="AI45" s="524" t="s">
        <v>72</v>
      </c>
      <c r="AJ45" s="525">
        <f>VLOOKUP(AH45,'Hazard Values'!$G$6:$J$19, 2)</f>
        <v>350</v>
      </c>
      <c r="AK45" s="100" t="s">
        <v>48</v>
      </c>
      <c r="AL45" s="106" t="str">
        <f>IFERROR(AL20*$D$39,"")</f>
        <v/>
      </c>
      <c r="AM45" s="107" t="str">
        <f>IFERROR(AM20*$D$39,"")</f>
        <v/>
      </c>
      <c r="AN45" s="522">
        <f>VLOOKUP(AH45,'Hazard Values'!$G$6:$J$19, 3)</f>
        <v>1</v>
      </c>
      <c r="AP45" s="19"/>
      <c r="AQ45" s="19"/>
      <c r="AR45" s="19"/>
      <c r="AS45" s="19"/>
      <c r="AT45" s="19"/>
      <c r="AU45" s="19"/>
      <c r="AV45" s="19"/>
    </row>
    <row r="46" spans="2:49" s="22" customFormat="1" ht="45.75" customHeight="1" thickBot="1" x14ac:dyDescent="0.3">
      <c r="B46" s="530"/>
      <c r="C46" s="493"/>
      <c r="D46" s="495"/>
      <c r="E46" s="93" t="s">
        <v>51</v>
      </c>
      <c r="F46" s="81">
        <f t="shared" si="2"/>
        <v>19877.71442027888</v>
      </c>
      <c r="G46" s="81" t="str">
        <f t="shared" si="2"/>
        <v/>
      </c>
      <c r="H46" s="497"/>
      <c r="I46" s="78"/>
      <c r="K46" s="493"/>
      <c r="L46" s="495"/>
      <c r="M46" s="93" t="s">
        <v>51</v>
      </c>
      <c r="N46" s="104">
        <f t="shared" si="3"/>
        <v>7851.3856330882118</v>
      </c>
      <c r="O46" s="102" t="str">
        <f t="shared" si="3"/>
        <v/>
      </c>
      <c r="P46" s="497"/>
      <c r="S46" s="493"/>
      <c r="T46" s="495"/>
      <c r="U46" s="93" t="s">
        <v>51</v>
      </c>
      <c r="V46" s="102">
        <f t="shared" si="4"/>
        <v>23030.731190392082</v>
      </c>
      <c r="W46" s="102" t="str">
        <f t="shared" si="4"/>
        <v/>
      </c>
      <c r="X46" s="497"/>
      <c r="AA46" s="493"/>
      <c r="AB46" s="495"/>
      <c r="AC46" s="93" t="s">
        <v>51</v>
      </c>
      <c r="AD46" s="138">
        <f t="shared" si="5"/>
        <v>2056.3152848564359</v>
      </c>
      <c r="AE46" s="138" t="str">
        <f t="shared" si="5"/>
        <v/>
      </c>
      <c r="AF46" s="497"/>
      <c r="AI46" s="493"/>
      <c r="AJ46" s="526"/>
      <c r="AK46" s="414" t="s">
        <v>51</v>
      </c>
      <c r="AL46" s="111" t="str">
        <f>IFERROR(AL21*$D$39,"")</f>
        <v/>
      </c>
      <c r="AM46" s="99" t="str">
        <f>IFERROR(AM21*$D$39,"")</f>
        <v/>
      </c>
      <c r="AN46" s="497"/>
      <c r="AP46" s="19"/>
      <c r="AQ46" s="19"/>
      <c r="AR46" s="19"/>
      <c r="AS46" s="19"/>
      <c r="AT46" s="19"/>
      <c r="AU46" s="19"/>
      <c r="AV46" s="19"/>
    </row>
    <row r="47" spans="2:49" s="22" customFormat="1" ht="45" customHeight="1" x14ac:dyDescent="0.25">
      <c r="B47" s="530" t="s">
        <v>77</v>
      </c>
      <c r="C47" s="492" t="s">
        <v>78</v>
      </c>
      <c r="D47" s="527">
        <f>VLOOKUP(B47,'Hazard Values'!$G$6:$J$19, 2)</f>
        <v>210</v>
      </c>
      <c r="E47" s="100" t="s">
        <v>48</v>
      </c>
      <c r="F47" s="97">
        <f t="shared" si="2"/>
        <v>1140.6730070713061</v>
      </c>
      <c r="G47" s="98" t="str">
        <f t="shared" si="2"/>
        <v/>
      </c>
      <c r="H47" s="496">
        <f>VLOOKUP($B47,'Hazard Values'!$G$6:$J$19, 3)</f>
        <v>1</v>
      </c>
      <c r="I47" s="34"/>
      <c r="J47" s="34" t="s">
        <v>79</v>
      </c>
      <c r="K47" s="492" t="s">
        <v>80</v>
      </c>
      <c r="L47" s="494">
        <f>VLOOKUP(J47,'Hazard Values'!$G$6:$J$19, 2)</f>
        <v>6000</v>
      </c>
      <c r="M47" s="96" t="s">
        <v>48</v>
      </c>
      <c r="N47" s="97">
        <f t="shared" si="3"/>
        <v>814.76643362236155</v>
      </c>
      <c r="O47" s="103" t="str">
        <f t="shared" si="3"/>
        <v/>
      </c>
      <c r="P47" s="496">
        <f>VLOOKUP(J47,'Hazard Values'!$G$6:$J$19, 3)</f>
        <v>1</v>
      </c>
      <c r="Q47" s="34"/>
      <c r="R47" s="34" t="s">
        <v>81</v>
      </c>
      <c r="S47" s="524" t="s">
        <v>82</v>
      </c>
      <c r="T47" s="494">
        <f>VLOOKUP(R47,'Hazard Values'!$G$6:$J$19, 2)</f>
        <v>4200</v>
      </c>
      <c r="U47" s="100" t="s">
        <v>48</v>
      </c>
      <c r="V47" s="106">
        <f t="shared" si="4"/>
        <v>40303.779583186144</v>
      </c>
      <c r="W47" s="108" t="str">
        <f t="shared" si="4"/>
        <v/>
      </c>
      <c r="X47" s="496">
        <f>VLOOKUP(R47,'Hazard Values'!$G$6:$J$19, 3)</f>
        <v>1</v>
      </c>
      <c r="Z47" s="34" t="s">
        <v>83</v>
      </c>
      <c r="AA47" s="492" t="s">
        <v>120</v>
      </c>
      <c r="AB47" s="494">
        <f>VLOOKUP(Z47,'Hazard Values'!$G$6:$J$19, 2)</f>
        <v>840</v>
      </c>
      <c r="AC47" s="42" t="s">
        <v>48</v>
      </c>
      <c r="AD47" s="97">
        <f t="shared" si="5"/>
        <v>1314.2536820604182</v>
      </c>
      <c r="AE47" s="97" t="str">
        <f t="shared" si="5"/>
        <v/>
      </c>
      <c r="AF47" s="496">
        <f>VLOOKUP(Z47,'Hazard Values'!$G$6:$J$19, 3)</f>
        <v>30</v>
      </c>
      <c r="AP47" s="19"/>
      <c r="AQ47" s="19"/>
      <c r="AR47" s="19"/>
      <c r="AS47" s="19"/>
      <c r="AT47" s="19"/>
      <c r="AU47" s="19"/>
      <c r="AV47" s="19"/>
    </row>
    <row r="48" spans="2:49" s="22" customFormat="1" ht="47.25" customHeight="1" thickBot="1" x14ac:dyDescent="0.3">
      <c r="B48" s="530"/>
      <c r="C48" s="493"/>
      <c r="D48" s="495"/>
      <c r="E48" s="93" t="s">
        <v>51</v>
      </c>
      <c r="F48" s="427">
        <f t="shared" si="2"/>
        <v>14394.206993995052</v>
      </c>
      <c r="G48" s="139" t="str">
        <f t="shared" si="2"/>
        <v/>
      </c>
      <c r="H48" s="497"/>
      <c r="I48" s="34"/>
      <c r="J48" s="31"/>
      <c r="K48" s="493"/>
      <c r="L48" s="495"/>
      <c r="M48" s="93" t="s">
        <v>51</v>
      </c>
      <c r="N48" s="105">
        <f t="shared" si="3"/>
        <v>15702.771266176424</v>
      </c>
      <c r="O48" s="99" t="str">
        <f t="shared" si="3"/>
        <v/>
      </c>
      <c r="P48" s="497"/>
      <c r="Q48" s="34"/>
      <c r="S48" s="493"/>
      <c r="T48" s="495"/>
      <c r="U48" s="93" t="s">
        <v>51</v>
      </c>
      <c r="V48" s="94">
        <f t="shared" si="4"/>
        <v>40303.779583186144</v>
      </c>
      <c r="W48" s="109" t="str">
        <f t="shared" si="4"/>
        <v/>
      </c>
      <c r="X48" s="497"/>
      <c r="AA48" s="493"/>
      <c r="AB48" s="495"/>
      <c r="AC48" s="93" t="s">
        <v>51</v>
      </c>
      <c r="AD48" s="99">
        <f t="shared" si="5"/>
        <v>4935.1566836554466</v>
      </c>
      <c r="AE48" s="99" t="str">
        <f t="shared" si="5"/>
        <v/>
      </c>
      <c r="AF48" s="497"/>
      <c r="AP48" s="19"/>
      <c r="AQ48" s="19"/>
      <c r="AR48" s="19"/>
      <c r="AS48" s="19"/>
      <c r="AT48" s="19"/>
      <c r="AU48" s="19"/>
      <c r="AV48" s="19"/>
    </row>
    <row r="49" spans="2:49" s="22" customFormat="1" ht="46.5" customHeight="1" x14ac:dyDescent="0.25">
      <c r="B49" s="34"/>
      <c r="C49" s="31"/>
      <c r="D49" s="34"/>
      <c r="E49" s="37"/>
      <c r="G49" s="34"/>
      <c r="H49" s="78"/>
      <c r="I49" s="34"/>
      <c r="J49" s="34" t="s">
        <v>87</v>
      </c>
      <c r="K49" s="492" t="s">
        <v>80</v>
      </c>
      <c r="L49" s="494">
        <f>VLOOKUP(J49,'Hazard Values'!$G$6:$J$19, 2,FALSE)</f>
        <v>1706</v>
      </c>
      <c r="M49" s="96" t="s">
        <v>48</v>
      </c>
      <c r="N49" s="97">
        <f t="shared" si="3"/>
        <v>231.66525595995813</v>
      </c>
      <c r="O49" s="103" t="str">
        <f t="shared" si="3"/>
        <v/>
      </c>
      <c r="P49" s="496">
        <f>VLOOKUP(J49,'Hazard Values'!$G$6:$J$19, 3, FALSE)</f>
        <v>30</v>
      </c>
      <c r="X49" s="34"/>
      <c r="Z49" s="34" t="s">
        <v>89</v>
      </c>
      <c r="AA49" s="492" t="s">
        <v>90</v>
      </c>
      <c r="AB49" s="494">
        <f>VLOOKUP(Z49,'Hazard Values'!$G$6:$J$19, 2)</f>
        <v>2130</v>
      </c>
      <c r="AC49" s="42" t="s">
        <v>48</v>
      </c>
      <c r="AD49" s="106">
        <f t="shared" si="5"/>
        <v>3332.5718366532028</v>
      </c>
      <c r="AE49" s="106" t="str">
        <f t="shared" si="5"/>
        <v/>
      </c>
      <c r="AF49" s="496">
        <f>VLOOKUP(Z49,'Hazard Values'!$G$6:$J$19, 3)</f>
        <v>3</v>
      </c>
      <c r="AT49" s="19"/>
      <c r="AU49" s="19"/>
      <c r="AV49" s="19"/>
    </row>
    <row r="50" spans="2:49" s="22" customFormat="1" ht="41.25" customHeight="1" thickBot="1" x14ac:dyDescent="0.3">
      <c r="C50" s="36" t="s">
        <v>92</v>
      </c>
      <c r="D50" s="34"/>
      <c r="E50" s="17"/>
      <c r="F50" s="17"/>
      <c r="G50" s="34"/>
      <c r="H50" s="34"/>
      <c r="I50" s="34"/>
      <c r="J50" s="19"/>
      <c r="K50" s="493"/>
      <c r="L50" s="495"/>
      <c r="M50" s="93" t="s">
        <v>51</v>
      </c>
      <c r="N50" s="105">
        <f t="shared" si="3"/>
        <v>4464.8212966828296</v>
      </c>
      <c r="O50" s="99" t="str">
        <f t="shared" si="3"/>
        <v/>
      </c>
      <c r="P50" s="497"/>
      <c r="AA50" s="493"/>
      <c r="AB50" s="495"/>
      <c r="AC50" s="93" t="s">
        <v>51</v>
      </c>
      <c r="AD50" s="94">
        <f t="shared" si="5"/>
        <v>12514.147304983455</v>
      </c>
      <c r="AE50" s="94" t="str">
        <f t="shared" si="5"/>
        <v/>
      </c>
      <c r="AF50" s="497"/>
      <c r="AG50" s="41"/>
      <c r="AH50" s="41"/>
      <c r="AI50" s="41"/>
      <c r="AJ50" s="41"/>
      <c r="AK50" s="41"/>
      <c r="AP50" s="19"/>
      <c r="AQ50" s="19"/>
      <c r="AR50" s="19"/>
      <c r="AS50" s="19"/>
      <c r="AT50" s="19"/>
      <c r="AU50" s="19"/>
      <c r="AV50" s="19"/>
    </row>
    <row r="51" spans="2:49" s="22" customFormat="1" ht="30" x14ac:dyDescent="0.25">
      <c r="B51" s="41"/>
      <c r="C51" s="505" t="s">
        <v>55</v>
      </c>
      <c r="D51" s="507" t="s">
        <v>56</v>
      </c>
      <c r="E51" s="507" t="s">
        <v>22</v>
      </c>
      <c r="F51" s="509" t="s">
        <v>94</v>
      </c>
      <c r="G51" s="510"/>
      <c r="H51" s="498" t="s">
        <v>58</v>
      </c>
      <c r="I51" s="34"/>
      <c r="J51" s="78"/>
      <c r="K51" s="19"/>
      <c r="L51" s="34"/>
      <c r="M51" s="34"/>
      <c r="N51" s="33"/>
      <c r="O51" s="34"/>
      <c r="Q51" s="34"/>
      <c r="R51" s="41"/>
      <c r="S51" s="41"/>
      <c r="Z51" s="34" t="s">
        <v>95</v>
      </c>
      <c r="AA51" s="492" t="s">
        <v>96</v>
      </c>
      <c r="AB51" s="494">
        <f>VLOOKUP(Z51,'Hazard Values'!$G$6:$J$19, 2)</f>
        <v>2000</v>
      </c>
      <c r="AC51" s="42" t="s">
        <v>48</v>
      </c>
      <c r="AD51" s="97">
        <f t="shared" si="5"/>
        <v>3129.1754334771858</v>
      </c>
      <c r="AE51" s="97" t="str">
        <f t="shared" si="5"/>
        <v/>
      </c>
      <c r="AF51" s="522">
        <f>VLOOKUP(Z51,'Hazard Values'!$G$6:$J$19, 3)</f>
        <v>1</v>
      </c>
      <c r="AG51" s="41"/>
      <c r="AH51" s="41"/>
      <c r="AI51" s="41"/>
      <c r="AJ51" s="41"/>
      <c r="AP51" s="314" t="s">
        <v>121</v>
      </c>
      <c r="AQ51" s="314" t="s">
        <v>48</v>
      </c>
      <c r="AR51" s="314" t="s">
        <v>51</v>
      </c>
      <c r="AS51" s="19"/>
      <c r="AT51" s="19"/>
      <c r="AU51" s="19"/>
      <c r="AV51" s="19"/>
    </row>
    <row r="52" spans="2:49" s="22" customFormat="1" ht="15.75" thickBot="1" x14ac:dyDescent="0.3">
      <c r="B52" s="41"/>
      <c r="C52" s="521"/>
      <c r="D52" s="508"/>
      <c r="E52" s="508"/>
      <c r="F52" s="423" t="s">
        <v>60</v>
      </c>
      <c r="G52" s="423" t="s">
        <v>61</v>
      </c>
      <c r="H52" s="499"/>
      <c r="I52" s="78"/>
      <c r="J52" s="78"/>
      <c r="K52" s="19"/>
      <c r="L52" s="19"/>
      <c r="M52" s="19"/>
      <c r="N52" s="19"/>
      <c r="O52" s="19"/>
      <c r="Q52" s="34"/>
      <c r="R52" s="41"/>
      <c r="S52" s="41"/>
      <c r="Y52" s="41"/>
      <c r="Z52" s="41"/>
      <c r="AA52" s="493"/>
      <c r="AB52" s="495"/>
      <c r="AC52" s="93" t="s">
        <v>51</v>
      </c>
      <c r="AD52" s="99">
        <f t="shared" si="5"/>
        <v>11750.373056322493</v>
      </c>
      <c r="AE52" s="99" t="str">
        <f t="shared" si="5"/>
        <v/>
      </c>
      <c r="AF52" s="497"/>
      <c r="AG52" s="41"/>
      <c r="AH52" s="41"/>
      <c r="AI52" s="41"/>
      <c r="AJ52" s="41"/>
      <c r="AP52" s="315" t="str">
        <f>AT31</f>
        <v>No Gloves</v>
      </c>
      <c r="AQ52" s="316">
        <f>AT32</f>
        <v>1.2188920437906118E-5</v>
      </c>
      <c r="AR52" s="316">
        <f>AT33</f>
        <v>3.1488044464590796E-6</v>
      </c>
      <c r="AS52" s="19"/>
      <c r="AT52" s="19"/>
      <c r="AU52" s="19"/>
      <c r="AV52" s="19"/>
    </row>
    <row r="53" spans="2:49" s="22" customFormat="1" x14ac:dyDescent="0.25">
      <c r="B53" s="512" t="s">
        <v>99</v>
      </c>
      <c r="C53" s="514" t="s">
        <v>100</v>
      </c>
      <c r="D53" s="520">
        <f>VLOOKUP(B53,'Hazard Values'!$G$6:$J$19, 2)</f>
        <v>17.2</v>
      </c>
      <c r="E53" s="42" t="s">
        <v>48</v>
      </c>
      <c r="F53" s="82">
        <f>IFERROR(F28*$D$39,"")</f>
        <v>409.20829362249498</v>
      </c>
      <c r="G53" s="113" t="str">
        <f>IFERROR(G28*$D$39,"")</f>
        <v/>
      </c>
      <c r="H53" s="502" t="str">
        <f>VLOOKUP(B53,'Hazard Values'!G37:J43, 3)</f>
        <v>Benchmark MOE</v>
      </c>
      <c r="I53" s="78"/>
      <c r="J53" s="78"/>
      <c r="K53" s="19"/>
      <c r="L53" s="19"/>
      <c r="M53" s="19"/>
      <c r="N53" s="19"/>
      <c r="O53" s="19"/>
      <c r="Q53" s="34"/>
      <c r="R53" s="41"/>
      <c r="S53" s="41"/>
      <c r="T53" s="41"/>
      <c r="U53" s="41"/>
      <c r="V53" s="41"/>
      <c r="Y53" s="41"/>
      <c r="Z53" s="41"/>
      <c r="AA53" s="41"/>
      <c r="AP53" s="317" t="str">
        <f>AU31</f>
        <v xml:space="preserve">Gloves: </v>
      </c>
      <c r="AQ53" s="316">
        <f>AU32</f>
        <v>2.4377840875812236E-6</v>
      </c>
      <c r="AR53" s="316">
        <f>AU33</f>
        <v>6.2976088929181597E-7</v>
      </c>
      <c r="AS53" s="19"/>
      <c r="AU53" s="19"/>
      <c r="AV53" s="19"/>
    </row>
    <row r="54" spans="2:49" s="22" customFormat="1" ht="15.75" thickBot="1" x14ac:dyDescent="0.3">
      <c r="B54" s="512"/>
      <c r="C54" s="515"/>
      <c r="D54" s="495"/>
      <c r="E54" s="93" t="s">
        <v>51</v>
      </c>
      <c r="F54" s="92">
        <f>IFERROR(F29*$D$39,"")</f>
        <v>5163.8189433314819</v>
      </c>
      <c r="G54" s="112" t="str">
        <f>IFERROR(G29*$D$39,"")</f>
        <v/>
      </c>
      <c r="H54" s="503"/>
      <c r="I54" s="78"/>
      <c r="J54" s="17"/>
      <c r="K54" s="19"/>
      <c r="L54" s="19"/>
      <c r="M54" s="19"/>
      <c r="N54" s="19"/>
      <c r="O54" s="19"/>
      <c r="Q54" s="34"/>
      <c r="T54" s="41"/>
      <c r="U54" s="41"/>
      <c r="V54" s="41"/>
      <c r="Y54" s="41"/>
      <c r="Z54" s="41"/>
      <c r="AA54" s="41"/>
      <c r="AF54" s="41"/>
      <c r="AP54" s="315" t="str">
        <f>AV31</f>
        <v>Occluded Exposure</v>
      </c>
      <c r="AQ54" s="316" t="str">
        <f>AV32</f>
        <v/>
      </c>
      <c r="AR54" s="316" t="str">
        <f>AV33</f>
        <v/>
      </c>
      <c r="AS54" s="19"/>
      <c r="AT54" s="19"/>
      <c r="AU54" s="19"/>
      <c r="AV54" s="19"/>
    </row>
    <row r="55" spans="2:49" s="22" customFormat="1" x14ac:dyDescent="0.25">
      <c r="B55" s="19"/>
      <c r="C55" s="17"/>
      <c r="D55" s="31"/>
      <c r="E55" s="17"/>
      <c r="F55" s="17"/>
      <c r="G55" s="17"/>
      <c r="H55" s="17"/>
      <c r="I55" s="17"/>
      <c r="J55" s="19"/>
      <c r="K55" s="19"/>
      <c r="L55" s="19"/>
      <c r="M55" s="19"/>
      <c r="N55" s="19"/>
      <c r="P55" s="34"/>
      <c r="S55" s="41"/>
      <c r="T55" s="41"/>
      <c r="U55" s="41"/>
      <c r="W55" s="41"/>
      <c r="X55" s="41"/>
      <c r="AD55" s="41"/>
      <c r="AE55" s="41"/>
      <c r="AP55" s="19"/>
      <c r="AQ55" s="19"/>
      <c r="AR55" s="19"/>
      <c r="AS55" s="19"/>
      <c r="AT55" s="19"/>
    </row>
    <row r="56" spans="2:49" s="22" customFormat="1" x14ac:dyDescent="0.25">
      <c r="B56" s="19"/>
      <c r="C56" s="17"/>
      <c r="D56" s="31"/>
      <c r="E56" s="17"/>
      <c r="F56" s="17"/>
      <c r="G56" s="17"/>
      <c r="H56" s="17"/>
      <c r="I56" s="17"/>
      <c r="J56" s="19"/>
      <c r="K56" s="19"/>
      <c r="L56" s="19"/>
      <c r="M56" s="19"/>
      <c r="N56" s="19"/>
      <c r="W56" s="41"/>
      <c r="AA56" s="41"/>
      <c r="AB56" s="41"/>
      <c r="AD56" s="41"/>
      <c r="AE56" s="41"/>
      <c r="AF56" s="41"/>
      <c r="AG56" s="41"/>
      <c r="AH56" s="41"/>
      <c r="AI56" s="41"/>
      <c r="AP56" s="19"/>
      <c r="AQ56" s="19"/>
      <c r="AR56" s="19"/>
      <c r="AS56" s="19"/>
      <c r="AT56" s="19"/>
      <c r="AU56" s="19"/>
      <c r="AV56" s="19"/>
    </row>
    <row r="57" spans="2:49" s="22" customFormat="1" ht="21.75" thickBot="1" x14ac:dyDescent="0.3">
      <c r="B57" s="43"/>
      <c r="C57" s="36" t="s">
        <v>101</v>
      </c>
      <c r="D57" s="31"/>
      <c r="E57" s="17"/>
      <c r="F57" s="17"/>
      <c r="G57" s="17"/>
      <c r="H57" s="17"/>
      <c r="I57" s="79"/>
      <c r="J57" s="19"/>
      <c r="K57" s="19"/>
      <c r="L57" s="19"/>
      <c r="M57" s="19"/>
      <c r="N57" s="19"/>
      <c r="Q57" s="41"/>
      <c r="R57" s="41"/>
      <c r="W57" s="41"/>
      <c r="AA57" s="41"/>
      <c r="AB57" s="41"/>
      <c r="AF57" s="41"/>
      <c r="AG57" s="41"/>
      <c r="AH57" s="41"/>
      <c r="AI57" s="41"/>
      <c r="AO57" s="41"/>
      <c r="AP57" s="19"/>
      <c r="AQ57" s="19"/>
      <c r="AR57" s="19"/>
      <c r="AS57" s="19"/>
      <c r="AT57" s="19"/>
      <c r="AU57" s="19"/>
      <c r="AV57" s="19"/>
    </row>
    <row r="58" spans="2:49" s="22" customFormat="1" x14ac:dyDescent="0.2">
      <c r="C58" s="420" t="s">
        <v>103</v>
      </c>
      <c r="D58" s="44" t="s">
        <v>110</v>
      </c>
      <c r="E58" s="44" t="s">
        <v>22</v>
      </c>
      <c r="F58" s="418" t="s">
        <v>111</v>
      </c>
      <c r="G58" s="418" t="s">
        <v>112</v>
      </c>
      <c r="H58" s="45" t="s">
        <v>105</v>
      </c>
      <c r="I58" s="79"/>
      <c r="J58" s="80"/>
      <c r="K58" s="19"/>
      <c r="L58" s="19"/>
      <c r="M58" s="19"/>
      <c r="N58" s="19"/>
      <c r="O58" s="19"/>
      <c r="Q58" s="41"/>
      <c r="R58" s="41"/>
      <c r="S58" s="41"/>
      <c r="Z58" s="41"/>
      <c r="AA58" s="41"/>
      <c r="AB58" s="41"/>
      <c r="AC58" s="41"/>
      <c r="AO58" s="41"/>
      <c r="AP58" s="19"/>
      <c r="AQ58" s="19"/>
      <c r="AR58" s="19"/>
      <c r="AS58" s="19"/>
      <c r="AT58" s="19"/>
      <c r="AU58" s="19"/>
      <c r="AV58" s="19"/>
      <c r="AW58" s="41"/>
    </row>
    <row r="59" spans="2:49" s="22" customFormat="1" ht="20.25" customHeight="1" x14ac:dyDescent="0.25">
      <c r="B59" s="513" t="s">
        <v>113</v>
      </c>
      <c r="C59" s="516" t="s">
        <v>114</v>
      </c>
      <c r="D59" s="518">
        <f>VLOOKUP(B59,'Hazard Values'!$G$6:$J$19, 4)</f>
        <v>1.3799999999999999E-6</v>
      </c>
      <c r="E59" s="114" t="s">
        <v>48</v>
      </c>
      <c r="F59" s="115">
        <f>IFERROR(F34/$D$39,"")</f>
        <v>1.3028745634733364E-7</v>
      </c>
      <c r="G59" s="116" t="str">
        <f>IFERROR(G34/$D$39,"")</f>
        <v/>
      </c>
      <c r="H59" s="500" t="s">
        <v>115</v>
      </c>
      <c r="I59" s="80"/>
      <c r="J59" s="13"/>
      <c r="K59" s="19"/>
      <c r="L59" s="19"/>
      <c r="M59" s="19"/>
      <c r="N59" s="19"/>
      <c r="O59" s="19"/>
      <c r="Q59" s="41"/>
      <c r="T59" s="41"/>
      <c r="U59" s="41"/>
      <c r="V59" s="41"/>
      <c r="Y59" s="41"/>
      <c r="Z59" s="41"/>
      <c r="AA59" s="41"/>
      <c r="AO59" s="41"/>
      <c r="AP59" s="47"/>
      <c r="AQ59" s="47"/>
      <c r="AR59" s="47"/>
      <c r="AS59" s="47"/>
      <c r="AT59" s="19"/>
      <c r="AU59" s="19"/>
      <c r="AV59" s="19"/>
      <c r="AW59" s="41"/>
    </row>
    <row r="60" spans="2:49" s="41" customFormat="1" ht="29.25" customHeight="1" thickBot="1" x14ac:dyDescent="0.3">
      <c r="B60" s="513"/>
      <c r="C60" s="517"/>
      <c r="D60" s="519"/>
      <c r="E60" s="417" t="s">
        <v>51</v>
      </c>
      <c r="F60" s="117">
        <f>IFERROR(F35/$D$39,"")</f>
        <v>8.0016164228409643E-9</v>
      </c>
      <c r="G60" s="46" t="str">
        <f>IFERROR(G35/$D$39,"")</f>
        <v/>
      </c>
      <c r="H60" s="501"/>
      <c r="I60" s="13"/>
      <c r="J60" s="13"/>
      <c r="K60" s="19"/>
      <c r="L60" s="19"/>
      <c r="M60" s="19"/>
      <c r="N60" s="19"/>
      <c r="O60" s="19"/>
      <c r="P60" s="22"/>
      <c r="R60" s="22"/>
      <c r="S60" s="22"/>
      <c r="W60" s="22"/>
      <c r="X60" s="22"/>
      <c r="Z60" s="22"/>
      <c r="AA60" s="22"/>
      <c r="AB60" s="22"/>
      <c r="AC60" s="22"/>
      <c r="AG60" s="19"/>
      <c r="AH60" s="19"/>
      <c r="AI60" s="19"/>
      <c r="AJ60" s="19"/>
      <c r="AO60" s="22"/>
      <c r="AP60" s="47"/>
      <c r="AQ60" s="47"/>
      <c r="AR60" s="47"/>
      <c r="AS60" s="47"/>
      <c r="AT60" s="19"/>
      <c r="AU60" s="19"/>
      <c r="AV60" s="19"/>
    </row>
    <row r="61" spans="2:49" s="41" customFormat="1" x14ac:dyDescent="0.25">
      <c r="B61" s="19"/>
      <c r="C61" s="17"/>
      <c r="D61" s="32"/>
      <c r="E61" s="13"/>
      <c r="F61" s="13"/>
      <c r="G61" s="13"/>
      <c r="H61" s="13"/>
      <c r="I61" s="19"/>
      <c r="J61" s="19"/>
      <c r="K61" s="19"/>
      <c r="L61" s="19"/>
      <c r="M61" s="19"/>
      <c r="N61" s="19"/>
      <c r="O61" s="19"/>
      <c r="P61" s="22"/>
      <c r="Q61" s="19"/>
      <c r="R61" s="19"/>
      <c r="S61" s="22"/>
      <c r="T61" s="22"/>
      <c r="U61" s="22"/>
      <c r="V61" s="22"/>
      <c r="X61" s="22"/>
      <c r="Y61" s="22"/>
      <c r="Z61" s="22"/>
      <c r="AA61" s="22"/>
      <c r="AB61" s="22"/>
      <c r="AF61" s="19"/>
      <c r="AG61" s="19"/>
      <c r="AH61" s="19"/>
      <c r="AI61" s="19"/>
      <c r="AO61" s="22"/>
      <c r="AP61" s="19"/>
      <c r="AQ61" s="19"/>
      <c r="AR61" s="19"/>
      <c r="AS61" s="19"/>
      <c r="AT61" s="19"/>
      <c r="AU61" s="19"/>
      <c r="AV61" s="19"/>
      <c r="AW61" s="22"/>
    </row>
    <row r="62" spans="2:49" s="41" customFormat="1" x14ac:dyDescent="0.25">
      <c r="B62" s="19"/>
      <c r="C62" s="17"/>
      <c r="D62" s="32"/>
      <c r="E62" s="37"/>
      <c r="F62" s="13"/>
      <c r="G62" s="13"/>
      <c r="H62" s="19"/>
      <c r="I62" s="19"/>
      <c r="J62" s="19"/>
      <c r="K62" s="19"/>
      <c r="L62" s="19"/>
      <c r="M62" s="19"/>
      <c r="N62" s="19"/>
      <c r="O62" s="19"/>
      <c r="P62" s="22"/>
      <c r="Q62" s="19"/>
      <c r="R62" s="19"/>
      <c r="S62" s="22"/>
      <c r="T62" s="22"/>
      <c r="U62" s="22"/>
      <c r="X62" s="22"/>
      <c r="Y62" s="19"/>
      <c r="Z62" s="19"/>
      <c r="AD62" s="22"/>
      <c r="AE62" s="22"/>
      <c r="AF62" s="19"/>
      <c r="AG62" s="19"/>
      <c r="AH62" s="19"/>
      <c r="AI62" s="19"/>
      <c r="AO62" s="22"/>
      <c r="AP62" s="19"/>
      <c r="AQ62" s="19"/>
      <c r="AR62" s="18"/>
      <c r="AS62" s="19"/>
      <c r="AT62" s="19"/>
      <c r="AU62" s="19"/>
      <c r="AV62" s="19"/>
      <c r="AW62" s="22"/>
    </row>
    <row r="63" spans="2:49" s="22" customFormat="1" x14ac:dyDescent="0.25">
      <c r="B63" s="19"/>
      <c r="C63" s="19"/>
      <c r="D63" s="18"/>
      <c r="E63" s="19"/>
      <c r="F63" s="19"/>
      <c r="G63" s="19"/>
      <c r="H63" s="19"/>
      <c r="I63" s="19"/>
      <c r="J63" s="19"/>
      <c r="K63" s="19"/>
      <c r="L63" s="19"/>
      <c r="M63" s="19"/>
      <c r="N63" s="19"/>
      <c r="O63" s="19"/>
      <c r="Q63" s="19"/>
      <c r="R63" s="19"/>
      <c r="S63" s="19"/>
      <c r="T63" s="19"/>
      <c r="U63" s="19"/>
      <c r="V63" s="41"/>
      <c r="X63" s="19"/>
      <c r="Y63" s="19"/>
      <c r="Z63" s="19"/>
      <c r="AA63" s="41"/>
      <c r="AB63" s="41"/>
      <c r="AF63" s="19"/>
      <c r="AG63" s="19"/>
      <c r="AH63" s="19"/>
      <c r="AI63" s="19"/>
      <c r="AO63" s="41"/>
      <c r="AS63" s="19"/>
      <c r="AT63" s="19"/>
      <c r="AU63" s="19"/>
      <c r="AV63" s="19"/>
    </row>
    <row r="64" spans="2:49" s="22" customFormat="1" x14ac:dyDescent="0.25">
      <c r="B64" s="19"/>
      <c r="C64" s="19"/>
      <c r="D64" s="18"/>
      <c r="E64" s="19"/>
      <c r="F64" s="19"/>
      <c r="G64" s="19"/>
      <c r="H64" s="19"/>
      <c r="I64" s="19"/>
      <c r="J64" s="19"/>
      <c r="K64" s="19"/>
      <c r="L64" s="19"/>
      <c r="M64" s="19"/>
      <c r="N64" s="19"/>
      <c r="O64" s="19"/>
      <c r="P64" s="41"/>
      <c r="Q64" s="19"/>
      <c r="R64" s="19"/>
      <c r="S64" s="19"/>
      <c r="T64" s="19"/>
      <c r="U64" s="19"/>
      <c r="V64" s="41"/>
      <c r="X64" s="19"/>
      <c r="Y64" s="19"/>
      <c r="Z64" s="19"/>
      <c r="AD64" s="19"/>
      <c r="AE64" s="19"/>
      <c r="AF64" s="19"/>
      <c r="AG64" s="19"/>
      <c r="AH64" s="19"/>
      <c r="AI64" s="19"/>
      <c r="AO64" s="41"/>
      <c r="AS64" s="19"/>
      <c r="AT64" s="19"/>
      <c r="AU64" s="19"/>
      <c r="AV64" s="19"/>
      <c r="AW64" s="41"/>
    </row>
    <row r="65" spans="2:49" s="22" customFormat="1" x14ac:dyDescent="0.25">
      <c r="B65" s="19"/>
      <c r="C65" s="19"/>
      <c r="D65" s="18"/>
      <c r="E65" s="19"/>
      <c r="F65" s="19"/>
      <c r="G65" s="19"/>
      <c r="H65" s="19"/>
      <c r="I65" s="19"/>
      <c r="J65" s="19"/>
      <c r="K65" s="19"/>
      <c r="L65" s="19"/>
      <c r="M65" s="19"/>
      <c r="N65" s="19"/>
      <c r="O65" s="19"/>
      <c r="P65" s="41"/>
      <c r="Q65" s="19"/>
      <c r="R65" s="19"/>
      <c r="S65" s="19"/>
      <c r="T65" s="19"/>
      <c r="U65" s="19"/>
      <c r="W65" s="19"/>
      <c r="X65" s="19"/>
      <c r="Y65" s="19"/>
      <c r="Z65" s="19"/>
      <c r="AD65" s="19"/>
      <c r="AE65" s="19"/>
      <c r="AF65" s="19"/>
      <c r="AG65" s="19"/>
      <c r="AH65" s="19"/>
      <c r="AI65" s="19"/>
      <c r="AS65" s="19"/>
      <c r="AT65" s="19"/>
      <c r="AU65" s="19"/>
      <c r="AV65" s="19"/>
      <c r="AW65" s="41"/>
    </row>
    <row r="66" spans="2:49" s="41" customFormat="1" x14ac:dyDescent="0.25">
      <c r="B66" s="19"/>
      <c r="C66" s="19"/>
      <c r="D66" s="18"/>
      <c r="E66" s="19"/>
      <c r="F66" s="19"/>
      <c r="G66" s="19"/>
      <c r="H66" s="19"/>
      <c r="I66" s="19"/>
      <c r="J66" s="22"/>
      <c r="K66" s="19"/>
      <c r="L66" s="19"/>
      <c r="M66" s="19"/>
      <c r="N66" s="19"/>
      <c r="O66" s="19"/>
      <c r="P66" s="22"/>
      <c r="Q66" s="19"/>
      <c r="R66" s="19"/>
      <c r="S66" s="19"/>
      <c r="T66" s="19"/>
      <c r="U66" s="19"/>
      <c r="V66" s="22"/>
      <c r="W66" s="19"/>
      <c r="X66" s="19"/>
      <c r="Y66" s="19"/>
      <c r="Z66" s="19"/>
      <c r="AA66" s="19"/>
      <c r="AB66" s="19"/>
      <c r="AD66" s="19"/>
      <c r="AE66" s="19"/>
      <c r="AF66" s="19"/>
      <c r="AG66" s="19"/>
      <c r="AH66" s="19"/>
      <c r="AI66" s="19"/>
      <c r="AO66" s="22"/>
      <c r="AS66" s="19"/>
      <c r="AT66" s="19"/>
      <c r="AU66" s="19"/>
      <c r="AV66" s="19"/>
      <c r="AW66" s="22"/>
    </row>
    <row r="67" spans="2:49" s="41" customFormat="1" x14ac:dyDescent="0.25">
      <c r="B67" s="19"/>
      <c r="C67" s="19"/>
      <c r="D67" s="18"/>
      <c r="E67" s="19"/>
      <c r="F67" s="19"/>
      <c r="G67" s="19"/>
      <c r="H67" s="19"/>
      <c r="I67" s="19"/>
      <c r="J67" s="19"/>
      <c r="K67" s="19"/>
      <c r="L67" s="19"/>
      <c r="M67" s="19"/>
      <c r="N67" s="19"/>
      <c r="O67" s="19"/>
      <c r="P67" s="22"/>
      <c r="Q67" s="19"/>
      <c r="R67" s="19"/>
      <c r="S67" s="19"/>
      <c r="T67" s="19"/>
      <c r="U67" s="19"/>
      <c r="V67" s="22"/>
      <c r="W67" s="19"/>
      <c r="X67" s="19"/>
      <c r="Y67" s="19"/>
      <c r="Z67" s="19"/>
      <c r="AA67" s="19"/>
      <c r="AB67" s="19"/>
      <c r="AD67" s="19"/>
      <c r="AE67" s="19"/>
      <c r="AF67" s="19"/>
      <c r="AG67" s="19"/>
      <c r="AH67" s="19"/>
      <c r="AI67" s="19"/>
      <c r="AO67" s="19"/>
      <c r="AP67" s="19"/>
      <c r="AQ67" s="19"/>
      <c r="AR67" s="19"/>
      <c r="AS67" s="19"/>
      <c r="AT67" s="19"/>
      <c r="AU67" s="19"/>
      <c r="AV67" s="19"/>
      <c r="AW67" s="22"/>
    </row>
    <row r="68" spans="2:49" s="22" customFormat="1" x14ac:dyDescent="0.25">
      <c r="B68" s="19"/>
      <c r="C68" s="19"/>
      <c r="D68" s="18"/>
      <c r="E68" s="19"/>
      <c r="F68" s="19"/>
      <c r="G68" s="19"/>
      <c r="H68" s="19"/>
      <c r="I68" s="19"/>
      <c r="J68" s="19"/>
      <c r="O68" s="19"/>
      <c r="P68" s="19"/>
      <c r="Q68" s="19"/>
      <c r="R68" s="19"/>
      <c r="S68" s="19"/>
      <c r="T68" s="19"/>
      <c r="U68" s="19"/>
      <c r="V68" s="41"/>
      <c r="W68" s="19"/>
      <c r="X68" s="19"/>
      <c r="Y68" s="19"/>
      <c r="Z68" s="19"/>
      <c r="AA68" s="19"/>
      <c r="AB68" s="19"/>
      <c r="AD68" s="19"/>
      <c r="AE68" s="19"/>
      <c r="AF68" s="19"/>
      <c r="AG68" s="19"/>
      <c r="AH68" s="19"/>
      <c r="AI68" s="19"/>
      <c r="AO68" s="19"/>
      <c r="AP68" s="19"/>
      <c r="AQ68" s="19"/>
      <c r="AR68" s="19"/>
      <c r="AS68" s="19"/>
      <c r="AT68" s="19"/>
      <c r="AU68" s="19"/>
      <c r="AV68" s="19"/>
      <c r="AW68" s="19"/>
    </row>
    <row r="69" spans="2:49" s="22" customFormat="1" x14ac:dyDescent="0.25">
      <c r="B69" s="19"/>
      <c r="C69" s="19"/>
      <c r="D69" s="18"/>
      <c r="E69" s="19"/>
      <c r="F69" s="19"/>
      <c r="G69" s="19"/>
      <c r="H69" s="19"/>
      <c r="I69" s="19"/>
      <c r="J69" s="19"/>
      <c r="K69" s="19"/>
      <c r="L69" s="19"/>
      <c r="M69" s="19"/>
      <c r="N69" s="19"/>
      <c r="O69" s="19"/>
      <c r="P69" s="19"/>
      <c r="Q69" s="19"/>
      <c r="R69" s="19"/>
      <c r="S69" s="19"/>
      <c r="T69" s="19"/>
      <c r="U69" s="19"/>
      <c r="V69" s="41"/>
      <c r="W69" s="19"/>
      <c r="X69" s="19"/>
      <c r="Y69" s="19"/>
      <c r="Z69" s="19"/>
      <c r="AA69" s="19"/>
      <c r="AB69" s="19"/>
      <c r="AD69" s="19"/>
      <c r="AE69" s="19"/>
      <c r="AF69" s="19"/>
      <c r="AG69" s="19"/>
      <c r="AH69" s="19"/>
      <c r="AI69" s="19"/>
      <c r="AO69" s="19"/>
      <c r="AP69" s="19"/>
      <c r="AQ69" s="19"/>
      <c r="AR69" s="19"/>
      <c r="AS69" s="19"/>
      <c r="AT69" s="19"/>
      <c r="AU69" s="19"/>
      <c r="AV69" s="19"/>
      <c r="AW69" s="19"/>
    </row>
    <row r="70" spans="2:49" x14ac:dyDescent="0.25">
      <c r="V70" s="22"/>
    </row>
    <row r="71" spans="2:49" x14ac:dyDescent="0.25">
      <c r="V71" s="22"/>
    </row>
    <row r="76" spans="2:49" x14ac:dyDescent="0.25">
      <c r="J76" s="49"/>
    </row>
    <row r="77" spans="2:49" x14ac:dyDescent="0.25">
      <c r="J77" s="49"/>
      <c r="O77" s="22"/>
      <c r="AF77" s="22"/>
      <c r="AG77" s="22"/>
      <c r="AH77" s="22"/>
      <c r="AI77" s="22"/>
    </row>
    <row r="78" spans="2:49" x14ac:dyDescent="0.25">
      <c r="B78" s="22"/>
      <c r="I78" s="22"/>
      <c r="J78" s="47"/>
      <c r="K78" s="49"/>
      <c r="L78" s="47"/>
      <c r="M78" s="47"/>
      <c r="N78" s="48"/>
      <c r="Q78" s="22"/>
      <c r="R78" s="22"/>
    </row>
    <row r="79" spans="2:49" x14ac:dyDescent="0.25">
      <c r="H79" s="22"/>
      <c r="J79" s="47"/>
      <c r="K79" s="49"/>
      <c r="L79" s="47"/>
      <c r="M79" s="49"/>
      <c r="N79" s="50"/>
      <c r="Y79" s="22"/>
      <c r="Z79" s="22"/>
    </row>
    <row r="80" spans="2:49" x14ac:dyDescent="0.25">
      <c r="C80" s="22"/>
      <c r="D80" s="33"/>
      <c r="E80" s="22"/>
      <c r="F80" s="22"/>
      <c r="G80" s="22"/>
      <c r="K80" s="47"/>
      <c r="L80" s="47"/>
      <c r="M80" s="47"/>
      <c r="N80" s="47"/>
      <c r="S80" s="22"/>
      <c r="T80" s="22"/>
      <c r="U80" s="22"/>
      <c r="X80" s="22"/>
    </row>
    <row r="81" spans="2:49" x14ac:dyDescent="0.25">
      <c r="K81" s="47"/>
      <c r="L81" s="47"/>
      <c r="M81" s="47"/>
      <c r="N81" s="47"/>
      <c r="AD81" s="22"/>
      <c r="AE81" s="22"/>
    </row>
    <row r="82" spans="2:49" x14ac:dyDescent="0.25">
      <c r="C82" s="22"/>
      <c r="D82" s="33" t="s">
        <v>48</v>
      </c>
      <c r="E82" s="22" t="s">
        <v>51</v>
      </c>
      <c r="F82" s="22"/>
      <c r="R82" s="22"/>
      <c r="S82" s="22" t="s">
        <v>122</v>
      </c>
      <c r="T82" s="125" t="str">
        <f>E83</f>
        <v/>
      </c>
      <c r="W82" s="22"/>
    </row>
    <row r="83" spans="2:49" x14ac:dyDescent="0.25">
      <c r="C83" s="22" t="s">
        <v>123</v>
      </c>
      <c r="D83" s="123" t="str">
        <f>G34</f>
        <v/>
      </c>
      <c r="E83" s="123" t="str">
        <f>G35</f>
        <v/>
      </c>
      <c r="F83" s="22"/>
      <c r="R83" s="22"/>
      <c r="S83" s="22" t="s">
        <v>124</v>
      </c>
      <c r="T83" s="125">
        <f>E84</f>
        <v>2.000404105710241E-7</v>
      </c>
      <c r="AA83" s="22"/>
      <c r="AB83" s="22"/>
    </row>
    <row r="84" spans="2:49" x14ac:dyDescent="0.25">
      <c r="C84" s="37" t="s">
        <v>47</v>
      </c>
      <c r="D84" s="124">
        <f>F34</f>
        <v>3.2571864086833406E-6</v>
      </c>
      <c r="E84" s="124">
        <f>F35</f>
        <v>2.000404105710241E-7</v>
      </c>
      <c r="F84" s="22"/>
      <c r="R84" s="22"/>
      <c r="S84" s="22" t="s">
        <v>125</v>
      </c>
      <c r="T84" s="125" t="str">
        <f>D83</f>
        <v/>
      </c>
      <c r="AO84" s="22"/>
    </row>
    <row r="85" spans="2:49" x14ac:dyDescent="0.25">
      <c r="C85" s="122" t="s">
        <v>126</v>
      </c>
      <c r="D85" s="121">
        <f>L12</f>
        <v>4.6025460122699391</v>
      </c>
      <c r="E85" s="121">
        <f>L14</f>
        <v>0.36473006134969332</v>
      </c>
      <c r="F85" s="22"/>
      <c r="P85" s="22"/>
      <c r="R85" s="22"/>
      <c r="S85" s="22" t="s">
        <v>127</v>
      </c>
      <c r="T85" s="125">
        <f>D84</f>
        <v>3.2571864086833406E-6</v>
      </c>
      <c r="AW85" s="22"/>
    </row>
    <row r="87" spans="2:49" s="22" customFormat="1" x14ac:dyDescent="0.25">
      <c r="B87" s="19"/>
      <c r="D87" s="18"/>
      <c r="E87" s="19"/>
      <c r="F87" s="19"/>
      <c r="G87" s="19"/>
      <c r="H87" s="19"/>
      <c r="I87" s="19"/>
      <c r="J87" s="19"/>
      <c r="K87" s="19"/>
      <c r="L87" s="19"/>
      <c r="M87" s="19"/>
      <c r="N87" s="19"/>
      <c r="O87" s="49"/>
      <c r="P87" s="19"/>
      <c r="Q87" s="19"/>
      <c r="R87" s="19"/>
      <c r="S87" s="19"/>
      <c r="T87" s="19"/>
      <c r="U87" s="19"/>
      <c r="V87" s="19"/>
      <c r="W87" s="19"/>
      <c r="X87" s="19"/>
      <c r="Y87" s="19"/>
      <c r="Z87" s="19"/>
      <c r="AA87" s="19"/>
      <c r="AB87" s="19"/>
      <c r="AD87" s="19"/>
      <c r="AE87" s="19"/>
      <c r="AF87" s="47"/>
      <c r="AG87" s="47"/>
      <c r="AH87" s="47"/>
      <c r="AI87" s="47"/>
      <c r="AO87" s="19"/>
      <c r="AP87" s="19"/>
      <c r="AQ87" s="19"/>
      <c r="AR87" s="19"/>
      <c r="AS87" s="19"/>
      <c r="AT87" s="19"/>
      <c r="AU87" s="19"/>
      <c r="AV87" s="19"/>
      <c r="AW87" s="19"/>
    </row>
    <row r="88" spans="2:49" x14ac:dyDescent="0.25">
      <c r="B88" s="47"/>
      <c r="I88" s="49"/>
      <c r="O88" s="49"/>
      <c r="Q88" s="49"/>
      <c r="R88" s="47"/>
      <c r="AF88" s="47"/>
      <c r="AG88" s="47"/>
      <c r="AH88" s="47"/>
      <c r="AI88" s="47"/>
    </row>
    <row r="89" spans="2:49" x14ac:dyDescent="0.25">
      <c r="B89" s="47"/>
      <c r="H89" s="49"/>
      <c r="I89" s="49"/>
      <c r="O89" s="47"/>
      <c r="Q89" s="49"/>
      <c r="R89" s="47"/>
      <c r="V89" s="22"/>
      <c r="Y89" s="47"/>
      <c r="Z89" s="47"/>
      <c r="AF89" s="47"/>
      <c r="AG89" s="47"/>
      <c r="AH89" s="47"/>
      <c r="AI89" s="47"/>
    </row>
    <row r="90" spans="2:49" x14ac:dyDescent="0.25">
      <c r="B90" s="47"/>
      <c r="E90" s="49"/>
      <c r="F90" s="47"/>
      <c r="G90" s="49"/>
      <c r="H90" s="49"/>
      <c r="I90" s="47"/>
      <c r="O90" s="47"/>
      <c r="Q90" s="47"/>
      <c r="R90" s="47"/>
      <c r="S90" s="47"/>
      <c r="T90" s="47"/>
      <c r="U90" s="47"/>
      <c r="X90" s="47"/>
      <c r="Y90" s="47"/>
      <c r="Z90" s="47"/>
      <c r="AF90" s="47"/>
      <c r="AG90" s="47"/>
      <c r="AH90" s="47"/>
      <c r="AI90" s="47"/>
    </row>
    <row r="91" spans="2:49" x14ac:dyDescent="0.25">
      <c r="B91" s="47"/>
      <c r="E91" s="49"/>
      <c r="F91" s="49"/>
      <c r="G91" s="49"/>
      <c r="H91" s="47"/>
      <c r="I91" s="47"/>
      <c r="Q91" s="47"/>
      <c r="R91" s="47"/>
      <c r="S91" s="47"/>
      <c r="T91" s="47"/>
      <c r="U91" s="47"/>
      <c r="X91" s="47"/>
      <c r="Y91" s="47"/>
      <c r="Z91" s="47"/>
      <c r="AD91" s="47"/>
      <c r="AE91" s="47"/>
    </row>
    <row r="92" spans="2:49" x14ac:dyDescent="0.25">
      <c r="E92" s="47"/>
      <c r="F92" s="47"/>
      <c r="G92" s="47"/>
      <c r="H92" s="47"/>
      <c r="S92" s="47"/>
      <c r="T92" s="47"/>
      <c r="U92" s="47"/>
      <c r="W92" s="47"/>
      <c r="X92" s="47"/>
      <c r="Y92" s="47"/>
      <c r="Z92" s="47"/>
      <c r="AD92" s="47"/>
      <c r="AE92" s="47"/>
    </row>
    <row r="93" spans="2:49" x14ac:dyDescent="0.25">
      <c r="C93" s="47"/>
      <c r="D93" s="51"/>
      <c r="E93" s="47"/>
      <c r="F93" s="47"/>
      <c r="G93" s="47"/>
      <c r="S93" s="47"/>
      <c r="T93" s="47"/>
      <c r="U93" s="47"/>
      <c r="W93" s="47"/>
      <c r="X93" s="47"/>
      <c r="AA93" s="47"/>
      <c r="AB93" s="47"/>
      <c r="AD93" s="47"/>
      <c r="AE93" s="47"/>
    </row>
    <row r="94" spans="2:49" x14ac:dyDescent="0.25">
      <c r="W94" s="47"/>
      <c r="AA94" s="47"/>
      <c r="AB94" s="47"/>
      <c r="AD94" s="47"/>
      <c r="AE94" s="47"/>
      <c r="AO94" s="47"/>
    </row>
    <row r="95" spans="2:49" x14ac:dyDescent="0.25">
      <c r="P95" s="47"/>
      <c r="W95" s="47"/>
      <c r="AA95" s="47"/>
      <c r="AB95" s="47"/>
      <c r="AO95" s="47"/>
      <c r="AW95" s="47"/>
    </row>
    <row r="96" spans="2:49" x14ac:dyDescent="0.25">
      <c r="P96" s="49"/>
      <c r="AA96" s="47"/>
      <c r="AB96" s="47"/>
      <c r="AO96" s="47"/>
      <c r="AW96" s="47"/>
    </row>
    <row r="97" spans="2:49" s="47" customFormat="1" x14ac:dyDescent="0.25">
      <c r="B97" s="19"/>
      <c r="C97" s="19"/>
      <c r="D97" s="18"/>
      <c r="E97" s="19"/>
      <c r="F97" s="19"/>
      <c r="G97" s="19"/>
      <c r="H97" s="19"/>
      <c r="I97" s="19"/>
      <c r="J97" s="19"/>
      <c r="K97" s="19"/>
      <c r="L97" s="19"/>
      <c r="M97" s="19"/>
      <c r="N97" s="19"/>
      <c r="O97" s="19"/>
      <c r="Q97" s="19"/>
      <c r="R97" s="19"/>
      <c r="S97" s="19"/>
      <c r="T97" s="19"/>
      <c r="U97" s="19"/>
      <c r="V97" s="19"/>
      <c r="W97" s="19"/>
      <c r="X97" s="19"/>
      <c r="Y97" s="19"/>
      <c r="Z97" s="19"/>
      <c r="AA97" s="19"/>
      <c r="AB97" s="19"/>
      <c r="AD97" s="19"/>
      <c r="AE97" s="19"/>
      <c r="AF97" s="19"/>
      <c r="AG97" s="19"/>
      <c r="AH97" s="19"/>
      <c r="AI97" s="19"/>
      <c r="AP97" s="19"/>
      <c r="AQ97" s="19"/>
      <c r="AR97" s="19"/>
      <c r="AS97" s="19"/>
      <c r="AT97" s="19"/>
      <c r="AU97" s="19"/>
      <c r="AV97" s="19"/>
    </row>
    <row r="98" spans="2:49" s="47" customFormat="1" x14ac:dyDescent="0.25">
      <c r="B98" s="19"/>
      <c r="C98" s="19"/>
      <c r="D98" s="18"/>
      <c r="E98" s="19"/>
      <c r="F98" s="19"/>
      <c r="G98" s="19"/>
      <c r="H98" s="19"/>
      <c r="I98" s="19"/>
      <c r="J98" s="19"/>
      <c r="K98" s="19"/>
      <c r="L98" s="19"/>
      <c r="M98" s="19"/>
      <c r="N98" s="19"/>
      <c r="O98" s="19"/>
      <c r="Q98" s="19"/>
      <c r="R98" s="19"/>
      <c r="S98" s="19"/>
      <c r="T98" s="19"/>
      <c r="U98" s="19"/>
      <c r="V98" s="19"/>
      <c r="W98" s="19"/>
      <c r="X98" s="19"/>
      <c r="Y98" s="19"/>
      <c r="Z98" s="19"/>
      <c r="AA98" s="19"/>
      <c r="AB98" s="19"/>
      <c r="AD98" s="19"/>
      <c r="AE98" s="19"/>
      <c r="AF98" s="19"/>
      <c r="AG98" s="19"/>
      <c r="AH98" s="19"/>
      <c r="AI98" s="19"/>
      <c r="AO98" s="19"/>
      <c r="AP98" s="19"/>
      <c r="AQ98" s="19"/>
      <c r="AR98" s="19"/>
      <c r="AS98" s="19"/>
      <c r="AT98" s="19"/>
      <c r="AU98" s="19"/>
      <c r="AV98" s="19"/>
    </row>
    <row r="99" spans="2:49" s="47" customFormat="1" x14ac:dyDescent="0.25">
      <c r="B99" s="19"/>
      <c r="C99" s="19"/>
      <c r="D99" s="18"/>
      <c r="E99" s="19"/>
      <c r="F99" s="19"/>
      <c r="G99" s="19"/>
      <c r="H99" s="19"/>
      <c r="I99" s="19"/>
      <c r="J99" s="19"/>
      <c r="K99" s="19"/>
      <c r="L99" s="19"/>
      <c r="M99" s="19"/>
      <c r="N99" s="19"/>
      <c r="O99" s="19"/>
      <c r="P99" s="19"/>
      <c r="Q99" s="19"/>
      <c r="R99" s="19"/>
      <c r="S99" s="19"/>
      <c r="T99" s="19"/>
      <c r="U99" s="19"/>
      <c r="W99" s="19"/>
      <c r="X99" s="19"/>
      <c r="Y99" s="19"/>
      <c r="Z99" s="19"/>
      <c r="AA99" s="19"/>
      <c r="AB99" s="19"/>
      <c r="AD99" s="19"/>
      <c r="AE99" s="19"/>
      <c r="AF99" s="19"/>
      <c r="AG99" s="19"/>
      <c r="AH99" s="19"/>
      <c r="AI99" s="19"/>
      <c r="AO99" s="19"/>
      <c r="AP99" s="19"/>
      <c r="AQ99" s="19"/>
      <c r="AR99" s="19"/>
      <c r="AS99" s="19"/>
      <c r="AT99" s="19"/>
      <c r="AU99" s="19"/>
      <c r="AV99" s="19"/>
      <c r="AW99" s="19"/>
    </row>
    <row r="100" spans="2:49" s="47" customFormat="1" x14ac:dyDescent="0.25">
      <c r="B100" s="19"/>
      <c r="C100" s="19"/>
      <c r="D100" s="18"/>
      <c r="E100" s="19"/>
      <c r="F100" s="19"/>
      <c r="G100" s="19"/>
      <c r="H100" s="19"/>
      <c r="I100" s="19"/>
      <c r="J100" s="19"/>
      <c r="K100" s="19"/>
      <c r="L100" s="19"/>
      <c r="M100" s="19"/>
      <c r="N100" s="19"/>
      <c r="O100" s="19"/>
      <c r="P100" s="19"/>
      <c r="Q100" s="19"/>
      <c r="R100" s="19"/>
      <c r="S100" s="19"/>
      <c r="T100" s="19"/>
      <c r="U100" s="19"/>
      <c r="W100" s="19"/>
      <c r="X100" s="19"/>
      <c r="Y100" s="19"/>
      <c r="Z100" s="19"/>
      <c r="AA100" s="19"/>
      <c r="AB100" s="19"/>
      <c r="AD100" s="19"/>
      <c r="AE100" s="19"/>
      <c r="AF100" s="19"/>
      <c r="AG100" s="19"/>
      <c r="AH100" s="19"/>
      <c r="AI100" s="19"/>
      <c r="AO100" s="19"/>
      <c r="AP100" s="19"/>
      <c r="AQ100" s="19"/>
      <c r="AR100" s="19"/>
      <c r="AS100" s="19"/>
      <c r="AT100" s="19"/>
      <c r="AU100" s="19"/>
      <c r="AV100" s="19"/>
      <c r="AW100" s="19"/>
    </row>
    <row r="101" spans="2:49" x14ac:dyDescent="0.25">
      <c r="V101" s="47"/>
    </row>
    <row r="102" spans="2:49" x14ac:dyDescent="0.25">
      <c r="V102" s="47"/>
    </row>
  </sheetData>
  <sheetProtection algorithmName="SHA-512" hashValue="2ICsSin8Nwp2xMlZSCxNoYpaJC4a6Uqd9kL+QHueXpuKe3EQUnIhmZKiChSKFMgdu0buRXSDIsPLUOE3Q6vnxQ==" saltValue="earMmSMC7K46aupJFX50Vg==" spinCount="100000" sheet="1" objects="1" scenarios="1"/>
  <protectedRanges>
    <protectedRange sqref="D39" name="APF Dropdown"/>
    <protectedRange sqref="C4" name="OES Dropdown"/>
    <protectedRange sqref="AP4:AQ4" name="Dermal Dropdown"/>
  </protectedRanges>
  <mergeCells count="201">
    <mergeCell ref="AP19:AS19"/>
    <mergeCell ref="C40:G40"/>
    <mergeCell ref="AP10:AP11"/>
    <mergeCell ref="AQ10:AQ11"/>
    <mergeCell ref="AP12:AP13"/>
    <mergeCell ref="AP14:AP15"/>
    <mergeCell ref="AP16:AP17"/>
    <mergeCell ref="AU25:AV25"/>
    <mergeCell ref="AP27:AP28"/>
    <mergeCell ref="AQ27:AQ28"/>
    <mergeCell ref="AU20:AV20"/>
    <mergeCell ref="AP22:AP23"/>
    <mergeCell ref="AQ22:AQ23"/>
    <mergeCell ref="AP20:AP21"/>
    <mergeCell ref="AQ20:AQ21"/>
    <mergeCell ref="AR20:AR21"/>
    <mergeCell ref="AS20:AS21"/>
    <mergeCell ref="AU30:AV30"/>
    <mergeCell ref="AP32:AP33"/>
    <mergeCell ref="AQ32:AQ33"/>
    <mergeCell ref="AS32:AS33"/>
    <mergeCell ref="AP25:AP26"/>
    <mergeCell ref="AQ25:AQ26"/>
    <mergeCell ref="AR25:AR26"/>
    <mergeCell ref="AS25:AS26"/>
    <mergeCell ref="B53:B54"/>
    <mergeCell ref="C53:C54"/>
    <mergeCell ref="D53:D54"/>
    <mergeCell ref="H53:H54"/>
    <mergeCell ref="B59:B60"/>
    <mergeCell ref="C59:C60"/>
    <mergeCell ref="D59:D60"/>
    <mergeCell ref="H59:H60"/>
    <mergeCell ref="B45:B46"/>
    <mergeCell ref="C45:C46"/>
    <mergeCell ref="D45:D46"/>
    <mergeCell ref="H45:H46"/>
    <mergeCell ref="AA49:AA50"/>
    <mergeCell ref="AB49:AB50"/>
    <mergeCell ref="AF49:AF50"/>
    <mergeCell ref="C51:C52"/>
    <mergeCell ref="D51:D52"/>
    <mergeCell ref="E51:E52"/>
    <mergeCell ref="F51:G51"/>
    <mergeCell ref="H51:H52"/>
    <mergeCell ref="AA51:AA52"/>
    <mergeCell ref="AB51:AB52"/>
    <mergeCell ref="AF51:AF52"/>
    <mergeCell ref="S45:S46"/>
    <mergeCell ref="T45:T46"/>
    <mergeCell ref="X45:X46"/>
    <mergeCell ref="X47:X48"/>
    <mergeCell ref="AA47:AA48"/>
    <mergeCell ref="AB47:AB48"/>
    <mergeCell ref="AF47:AF48"/>
    <mergeCell ref="AA45:AA46"/>
    <mergeCell ref="AB45:AB46"/>
    <mergeCell ref="AF45:AF46"/>
    <mergeCell ref="B47:B48"/>
    <mergeCell ref="C47:C48"/>
    <mergeCell ref="D47:D48"/>
    <mergeCell ref="H47:H48"/>
    <mergeCell ref="K47:K48"/>
    <mergeCell ref="L47:L48"/>
    <mergeCell ref="P47:P48"/>
    <mergeCell ref="S47:S48"/>
    <mergeCell ref="T47:T48"/>
    <mergeCell ref="AK43:AK44"/>
    <mergeCell ref="AL43:AM43"/>
    <mergeCell ref="AN43:AN44"/>
    <mergeCell ref="AA43:AA44"/>
    <mergeCell ref="AB43:AB44"/>
    <mergeCell ref="AC43:AC44"/>
    <mergeCell ref="AD43:AE43"/>
    <mergeCell ref="AF43:AF44"/>
    <mergeCell ref="AI45:AI46"/>
    <mergeCell ref="AJ45:AJ46"/>
    <mergeCell ref="AI10:AI11"/>
    <mergeCell ref="AI18:AI19"/>
    <mergeCell ref="AJ18:AJ19"/>
    <mergeCell ref="AL18:AM18"/>
    <mergeCell ref="AN18:AN19"/>
    <mergeCell ref="AK18:AK19"/>
    <mergeCell ref="AC10:AC11"/>
    <mergeCell ref="AA18:AA19"/>
    <mergeCell ref="AB18:AB19"/>
    <mergeCell ref="AD18:AE18"/>
    <mergeCell ref="AF18:AF19"/>
    <mergeCell ref="AD10:AD11"/>
    <mergeCell ref="AD12:AD13"/>
    <mergeCell ref="AD14:AD15"/>
    <mergeCell ref="AC18:AC19"/>
    <mergeCell ref="B22:B23"/>
    <mergeCell ref="T18:T19"/>
    <mergeCell ref="V18:W18"/>
    <mergeCell ref="D18:D19"/>
    <mergeCell ref="C18:C19"/>
    <mergeCell ref="K12:K13"/>
    <mergeCell ref="K14:K15"/>
    <mergeCell ref="AN45:AN46"/>
    <mergeCell ref="L45:L46"/>
    <mergeCell ref="P45:P46"/>
    <mergeCell ref="S18:S19"/>
    <mergeCell ref="X12:X13"/>
    <mergeCell ref="S43:S44"/>
    <mergeCell ref="T43:T44"/>
    <mergeCell ref="U43:U44"/>
    <mergeCell ref="V43:W43"/>
    <mergeCell ref="X43:X44"/>
    <mergeCell ref="K43:K44"/>
    <mergeCell ref="L43:L44"/>
    <mergeCell ref="M43:M44"/>
    <mergeCell ref="N43:O43"/>
    <mergeCell ref="P43:P44"/>
    <mergeCell ref="AI43:AI44"/>
    <mergeCell ref="AJ43:AJ44"/>
    <mergeCell ref="S10:S11"/>
    <mergeCell ref="S12:S13"/>
    <mergeCell ref="S14:S15"/>
    <mergeCell ref="X14:X15"/>
    <mergeCell ref="B20:B21"/>
    <mergeCell ref="J10:J11"/>
    <mergeCell ref="W10:W11"/>
    <mergeCell ref="X10:X11"/>
    <mergeCell ref="X18:X19"/>
    <mergeCell ref="U18:U19"/>
    <mergeCell ref="H18:H19"/>
    <mergeCell ref="P18:P19"/>
    <mergeCell ref="H20:H21"/>
    <mergeCell ref="M18:M19"/>
    <mergeCell ref="P20:P21"/>
    <mergeCell ref="S20:S21"/>
    <mergeCell ref="C22:C23"/>
    <mergeCell ref="D22:D23"/>
    <mergeCell ref="D20:D21"/>
    <mergeCell ref="K20:K21"/>
    <mergeCell ref="L20:L21"/>
    <mergeCell ref="K22:K23"/>
    <mergeCell ref="L22:L23"/>
    <mergeCell ref="R10:R11"/>
    <mergeCell ref="L18:L19"/>
    <mergeCell ref="K18:K19"/>
    <mergeCell ref="N18:O18"/>
    <mergeCell ref="P22:P23"/>
    <mergeCell ref="S22:S23"/>
    <mergeCell ref="T20:T21"/>
    <mergeCell ref="T22:T23"/>
    <mergeCell ref="X22:X23"/>
    <mergeCell ref="X20:X21"/>
    <mergeCell ref="E18:E19"/>
    <mergeCell ref="AN20:AN21"/>
    <mergeCell ref="AI20:AI21"/>
    <mergeCell ref="AJ20:AJ21"/>
    <mergeCell ref="H22:H23"/>
    <mergeCell ref="F18:G18"/>
    <mergeCell ref="AF26:AF27"/>
    <mergeCell ref="AA24:AA25"/>
    <mergeCell ref="AA22:AA23"/>
    <mergeCell ref="AA20:AA21"/>
    <mergeCell ref="AA26:AA27"/>
    <mergeCell ref="AB20:AB21"/>
    <mergeCell ref="AB22:AB23"/>
    <mergeCell ref="AB24:AB25"/>
    <mergeCell ref="AB26:AB27"/>
    <mergeCell ref="AF20:AF21"/>
    <mergeCell ref="AF22:AF23"/>
    <mergeCell ref="AF24:AF25"/>
    <mergeCell ref="B28:B29"/>
    <mergeCell ref="B34:B35"/>
    <mergeCell ref="C28:C29"/>
    <mergeCell ref="C34:C35"/>
    <mergeCell ref="D34:D35"/>
    <mergeCell ref="D28:D29"/>
    <mergeCell ref="F26:G26"/>
    <mergeCell ref="D26:D27"/>
    <mergeCell ref="C26:C27"/>
    <mergeCell ref="E26:E27"/>
    <mergeCell ref="C7:G7"/>
    <mergeCell ref="C10:C11"/>
    <mergeCell ref="D10:D11"/>
    <mergeCell ref="D12:D13"/>
    <mergeCell ref="D14:D15"/>
    <mergeCell ref="K24:K25"/>
    <mergeCell ref="L24:L25"/>
    <mergeCell ref="P24:P25"/>
    <mergeCell ref="K49:K50"/>
    <mergeCell ref="L49:L50"/>
    <mergeCell ref="P49:P50"/>
    <mergeCell ref="H26:H27"/>
    <mergeCell ref="H34:H35"/>
    <mergeCell ref="H28:H29"/>
    <mergeCell ref="K10:K11"/>
    <mergeCell ref="C20:C21"/>
    <mergeCell ref="K45:K46"/>
    <mergeCell ref="C37:G37"/>
    <mergeCell ref="C38:G38"/>
    <mergeCell ref="C43:C44"/>
    <mergeCell ref="D43:D44"/>
    <mergeCell ref="E43:E44"/>
    <mergeCell ref="F43:G43"/>
    <mergeCell ref="H43:H44"/>
  </mergeCells>
  <conditionalFormatting sqref="N20:O21">
    <cfRule type="expression" dxfId="49" priority="121">
      <formula>N20&lt;$P$20</formula>
    </cfRule>
  </conditionalFormatting>
  <conditionalFormatting sqref="AD20:AE21">
    <cfRule type="expression" dxfId="48" priority="119">
      <formula>AD20&lt;$AF$20</formula>
    </cfRule>
  </conditionalFormatting>
  <conditionalFormatting sqref="AL20:AM21">
    <cfRule type="expression" dxfId="47" priority="118">
      <formula>AL20&lt;$AN$20</formula>
    </cfRule>
  </conditionalFormatting>
  <conditionalFormatting sqref="V22:W23">
    <cfRule type="expression" dxfId="46" priority="228">
      <formula>V22&lt;$X$22</formula>
    </cfRule>
  </conditionalFormatting>
  <conditionalFormatting sqref="AE20 AE22">
    <cfRule type="expression" dxfId="45" priority="93">
      <formula>AE20&lt;$AF20</formula>
    </cfRule>
  </conditionalFormatting>
  <conditionalFormatting sqref="AE24">
    <cfRule type="expression" dxfId="44" priority="98">
      <formula>AE24&lt;#REF!</formula>
    </cfRule>
  </conditionalFormatting>
  <conditionalFormatting sqref="AD26:AE27">
    <cfRule type="expression" dxfId="43" priority="246">
      <formula>AD26&lt;$AF$26</formula>
    </cfRule>
  </conditionalFormatting>
  <conditionalFormatting sqref="F20:G20 F21">
    <cfRule type="expression" dxfId="42" priority="92">
      <formula>F20&lt;$H$20</formula>
    </cfRule>
  </conditionalFormatting>
  <conditionalFormatting sqref="F22:G23">
    <cfRule type="expression" dxfId="41" priority="91">
      <formula>F22&lt;$H$22</formula>
    </cfRule>
  </conditionalFormatting>
  <conditionalFormatting sqref="N22:O23">
    <cfRule type="expression" dxfId="40" priority="90">
      <formula>N22&lt;$P$22</formula>
    </cfRule>
  </conditionalFormatting>
  <conditionalFormatting sqref="V20:W21">
    <cfRule type="expression" dxfId="39" priority="89">
      <formula>V20&lt;$X$20</formula>
    </cfRule>
  </conditionalFormatting>
  <conditionalFormatting sqref="AD22:AE23">
    <cfRule type="expression" dxfId="38" priority="88">
      <formula>AD22&lt;$AF$22</formula>
    </cfRule>
  </conditionalFormatting>
  <conditionalFormatting sqref="AD24:AE25">
    <cfRule type="expression" dxfId="37" priority="87">
      <formula>AD24&lt;$AF$24</formula>
    </cfRule>
  </conditionalFormatting>
  <conditionalFormatting sqref="F28:G29">
    <cfRule type="expression" dxfId="36" priority="86">
      <formula>F28&lt;$H$28</formula>
    </cfRule>
  </conditionalFormatting>
  <conditionalFormatting sqref="G21">
    <cfRule type="expression" dxfId="35" priority="85">
      <formula>G21&lt;$H$22</formula>
    </cfRule>
  </conditionalFormatting>
  <conditionalFormatting sqref="N45:O46">
    <cfRule type="expression" dxfId="34" priority="75">
      <formula>N45&lt;$P$20</formula>
    </cfRule>
  </conditionalFormatting>
  <conditionalFormatting sqref="AD45:AE46">
    <cfRule type="expression" dxfId="33" priority="74">
      <formula>AD45&lt;$AF$20</formula>
    </cfRule>
  </conditionalFormatting>
  <conditionalFormatting sqref="AL45:AM46">
    <cfRule type="expression" dxfId="32" priority="73">
      <formula>AL45&lt;$AN$20</formula>
    </cfRule>
  </conditionalFormatting>
  <conditionalFormatting sqref="V47:W48">
    <cfRule type="expression" dxfId="31" priority="83">
      <formula>V47&lt;$X$22</formula>
    </cfRule>
  </conditionalFormatting>
  <conditionalFormatting sqref="AE45 AE47">
    <cfRule type="expression" dxfId="30" priority="50">
      <formula>AE45&lt;$AF45</formula>
    </cfRule>
  </conditionalFormatting>
  <conditionalFormatting sqref="AE49">
    <cfRule type="expression" dxfId="29" priority="55">
      <formula>AE49&lt;#REF!</formula>
    </cfRule>
  </conditionalFormatting>
  <conditionalFormatting sqref="AD51:AE52">
    <cfRule type="expression" dxfId="28" priority="84">
      <formula>AD51&lt;$AF$26</formula>
    </cfRule>
  </conditionalFormatting>
  <conditionalFormatting sqref="F45:G46">
    <cfRule type="expression" dxfId="27" priority="49">
      <formula>F45&lt;$H$20</formula>
    </cfRule>
  </conditionalFormatting>
  <conditionalFormatting sqref="F47:G48">
    <cfRule type="expression" dxfId="26" priority="48">
      <formula>F47&lt;$H$22</formula>
    </cfRule>
  </conditionalFormatting>
  <conditionalFormatting sqref="N47:O48">
    <cfRule type="expression" dxfId="25" priority="47">
      <formula>N47&lt;$P$22</formula>
    </cfRule>
  </conditionalFormatting>
  <conditionalFormatting sqref="V45:W46">
    <cfRule type="expression" dxfId="24" priority="46">
      <formula>V45&lt;$X$20</formula>
    </cfRule>
  </conditionalFormatting>
  <conditionalFormatting sqref="AD47:AE48">
    <cfRule type="expression" dxfId="23" priority="45">
      <formula>AD47&lt;$AF$22</formula>
    </cfRule>
  </conditionalFormatting>
  <conditionalFormatting sqref="AD49:AE50">
    <cfRule type="expression" dxfId="22" priority="44">
      <formula>AD49&lt;$AF$24</formula>
    </cfRule>
  </conditionalFormatting>
  <conditionalFormatting sqref="F53:G54">
    <cfRule type="expression" dxfId="21" priority="43">
      <formula>F53&lt;$H$28</formula>
    </cfRule>
  </conditionalFormatting>
  <conditionalFormatting sqref="N24:O25">
    <cfRule type="expression" dxfId="20" priority="16">
      <formula>N24&lt;$P$22</formula>
    </cfRule>
  </conditionalFormatting>
  <conditionalFormatting sqref="N49:O50">
    <cfRule type="expression" dxfId="19" priority="11">
      <formula>N49&lt;$P$22</formula>
    </cfRule>
  </conditionalFormatting>
  <conditionalFormatting sqref="AT32:AV33">
    <cfRule type="cellIs" dxfId="18" priority="1" operator="greaterThan">
      <formula>$AS$32</formula>
    </cfRule>
    <cfRule type="cellIs" dxfId="17" priority="2" operator="lessThanOrEqual">
      <formula>$AS$32</formula>
    </cfRule>
  </conditionalFormatting>
  <conditionalFormatting sqref="AT22:AV23">
    <cfRule type="cellIs" dxfId="16" priority="7" operator="lessThan">
      <formula>$AS22</formula>
    </cfRule>
    <cfRule type="cellIs" dxfId="15" priority="8" operator="greaterThanOrEqual">
      <formula>$AS22</formula>
    </cfRule>
  </conditionalFormatting>
  <conditionalFormatting sqref="AT27:AV28">
    <cfRule type="cellIs" dxfId="14" priority="3" operator="lessThan">
      <formula>$AS27</formula>
    </cfRule>
    <cfRule type="cellIs" dxfId="13" priority="4" operator="greaterThanOrEqual">
      <formula>$AS27</formula>
    </cfRule>
  </conditionalFormatting>
  <dataValidations count="2">
    <dataValidation allowBlank="1" showErrorMessage="1" sqref="L10:L11 AI10 T10:T11 Y10:Y11 AE10:AE11 AJ10:AJ11 AI13 AI15 J10:K10 J13 J15 R10:S10 R13 R15 W15 W13 W10:X10 AC15 AC13 AC10:AD10 AR10:AR11 AP10 E10:E11 C10:D10 C13 C15" xr:uid="{00000000-0002-0000-0200-000005000000}"/>
    <dataValidation type="list" showInputMessage="1" showErrorMessage="1" sqref="D39" xr:uid="{1D414878-B3D4-425F-A091-8DE0BDF52710}">
      <formula1>"25,50,1000,10000"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2B5AC8F-14D4-445D-BD88-9783A8DB6DAA}">
          <x14:formula1>
            <xm:f>ListValues!$F$2:$F$4</xm:f>
          </x14:formula1>
          <xm:sqref>AQ4</xm:sqref>
        </x14:dataValidation>
        <x14:dataValidation type="list" allowBlank="1" showInputMessage="1" showErrorMessage="1" xr:uid="{888C28A8-09DB-4A04-AAA5-7CA39E0874F5}">
          <x14:formula1>
            <xm:f>ListValues!$D$5:$D$6</xm:f>
          </x14:formula1>
          <xm:sqref>AP4</xm:sqref>
        </x14:dataValidation>
        <x14:dataValidation type="list" allowBlank="1" showInputMessage="1" showErrorMessage="1" xr:uid="{7A257FB3-03C7-4DEF-9441-F0399894DF14}">
          <x14:formula1>
            <xm:f>ListValues!$B$2:$B$26</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1CB-7422-47E0-B854-4A937312A9BE}">
  <dimension ref="A1:AB64"/>
  <sheetViews>
    <sheetView workbookViewId="0">
      <selection activeCell="G4" sqref="G4"/>
    </sheetView>
  </sheetViews>
  <sheetFormatPr defaultRowHeight="15" x14ac:dyDescent="0.25"/>
  <cols>
    <col min="1" max="1" width="10.28515625" customWidth="1"/>
    <col min="2" max="2" width="17" bestFit="1" customWidth="1"/>
    <col min="3" max="3" width="16.5703125" customWidth="1"/>
    <col min="4" max="4" width="17.140625" customWidth="1"/>
    <col min="5" max="5" width="18.5703125" bestFit="1" customWidth="1"/>
    <col min="6" max="6" width="23.7109375" bestFit="1" customWidth="1"/>
    <col min="7" max="7" width="16.85546875" customWidth="1"/>
    <col min="14" max="14" width="14.42578125" customWidth="1"/>
    <col min="15" max="15" width="6.7109375" bestFit="1" customWidth="1"/>
    <col min="16" max="16" width="25.5703125" customWidth="1"/>
    <col min="17" max="17" width="11.140625" bestFit="1" customWidth="1"/>
    <col min="18" max="18" width="21" bestFit="1" customWidth="1"/>
    <col min="19" max="19" width="18.28515625" bestFit="1" customWidth="1"/>
    <col min="20" max="20" width="24" bestFit="1" customWidth="1"/>
    <col min="21" max="21" width="14.5703125" bestFit="1" customWidth="1"/>
    <col min="22" max="22" width="14.5703125" customWidth="1"/>
    <col min="23" max="23" width="9.7109375" bestFit="1" customWidth="1"/>
    <col min="24" max="28" width="10" customWidth="1"/>
  </cols>
  <sheetData>
    <row r="1" spans="1:28" ht="15.75" thickBot="1" x14ac:dyDescent="0.3"/>
    <row r="2" spans="1:28" ht="26.25" customHeight="1" x14ac:dyDescent="0.25">
      <c r="F2" s="150" t="s">
        <v>365</v>
      </c>
    </row>
    <row r="3" spans="1:28" ht="15.75" thickBot="1" x14ac:dyDescent="0.3">
      <c r="F3" s="151" t="str">
        <f>Dashboard!C4</f>
        <v>Manufacturing</v>
      </c>
    </row>
    <row r="6" spans="1:28" ht="15.75" thickBot="1" x14ac:dyDescent="0.3"/>
    <row r="7" spans="1:28" ht="24.75" customHeight="1" x14ac:dyDescent="0.25">
      <c r="A7" s="152"/>
      <c r="B7" s="153"/>
      <c r="C7" s="154"/>
      <c r="D7" s="155"/>
      <c r="E7" s="154"/>
      <c r="F7" s="154"/>
      <c r="G7" s="156"/>
      <c r="H7" s="156"/>
      <c r="I7" s="579" t="s">
        <v>128</v>
      </c>
      <c r="J7" s="577" t="s">
        <v>129</v>
      </c>
      <c r="K7" s="577"/>
      <c r="L7" s="577"/>
      <c r="M7" s="578"/>
      <c r="O7" s="152"/>
      <c r="P7" s="153"/>
      <c r="Q7" s="154"/>
      <c r="R7" s="155"/>
      <c r="S7" s="154"/>
      <c r="T7" s="154"/>
      <c r="U7" s="156"/>
      <c r="V7" s="156"/>
      <c r="W7" s="156"/>
      <c r="X7" s="553" t="str">
        <f>_xlfn.CONCAT("Exposure Estimates: ",$J$4," MOE")</f>
        <v>Exposure Estimates:  MOE</v>
      </c>
      <c r="Y7" s="554"/>
      <c r="Z7" s="554"/>
      <c r="AA7" s="554"/>
      <c r="AB7" s="555"/>
    </row>
    <row r="8" spans="1:28" ht="39.75" customHeight="1" thickBot="1" x14ac:dyDescent="0.3">
      <c r="A8" s="157" t="s">
        <v>130</v>
      </c>
      <c r="B8" s="158" t="s">
        <v>131</v>
      </c>
      <c r="C8" s="159" t="s">
        <v>132</v>
      </c>
      <c r="D8" s="159" t="s">
        <v>133</v>
      </c>
      <c r="E8" s="160" t="s">
        <v>134</v>
      </c>
      <c r="F8" s="160" t="s">
        <v>135</v>
      </c>
      <c r="G8" s="160" t="s">
        <v>22</v>
      </c>
      <c r="H8" s="161" t="s">
        <v>105</v>
      </c>
      <c r="I8" s="580"/>
      <c r="J8" s="162">
        <v>25</v>
      </c>
      <c r="K8" s="162">
        <v>50</v>
      </c>
      <c r="L8" s="162">
        <v>1000</v>
      </c>
      <c r="M8" s="180">
        <v>10000</v>
      </c>
      <c r="O8" s="157" t="s">
        <v>130</v>
      </c>
      <c r="P8" s="158" t="s">
        <v>131</v>
      </c>
      <c r="Q8" s="159" t="s">
        <v>132</v>
      </c>
      <c r="R8" s="159" t="s">
        <v>133</v>
      </c>
      <c r="S8" s="160" t="s">
        <v>134</v>
      </c>
      <c r="T8" s="160" t="s">
        <v>135</v>
      </c>
      <c r="U8" s="160" t="s">
        <v>22</v>
      </c>
      <c r="V8" s="362" t="s">
        <v>136</v>
      </c>
      <c r="W8" s="364" t="s">
        <v>137</v>
      </c>
      <c r="X8" s="363" t="s">
        <v>138</v>
      </c>
      <c r="Y8" s="360" t="s">
        <v>106</v>
      </c>
      <c r="Z8" s="360" t="s">
        <v>139</v>
      </c>
      <c r="AA8" s="360" t="s">
        <v>140</v>
      </c>
      <c r="AB8" s="361" t="s">
        <v>141</v>
      </c>
    </row>
    <row r="9" spans="1:28" ht="17.25" customHeight="1" x14ac:dyDescent="0.25">
      <c r="A9" s="163" t="s">
        <v>63</v>
      </c>
      <c r="B9" s="560" t="str">
        <f>F3</f>
        <v>Manufacturing</v>
      </c>
      <c r="C9" s="574" t="s">
        <v>47</v>
      </c>
      <c r="D9" s="563" t="s">
        <v>142</v>
      </c>
      <c r="E9" s="563" t="s">
        <v>143</v>
      </c>
      <c r="F9" s="574" t="s">
        <v>144</v>
      </c>
      <c r="G9" s="164" t="s">
        <v>48</v>
      </c>
      <c r="H9" s="349">
        <f>VLOOKUP(A9, 'Hazard Values'!$G$6:$I$19, 3, FALSE)</f>
        <v>30</v>
      </c>
      <c r="I9" s="165">
        <f>IF(Dashboard!F20="","-",Dashboard!F20)</f>
        <v>63.008604200129291</v>
      </c>
      <c r="J9" s="166">
        <f>IFERROR(IF($A9="Tox13", $I9/J$8, $I9*J$8), "-")</f>
        <v>1575.2151050032323</v>
      </c>
      <c r="K9" s="166">
        <f>IFERROR(IF($A9="Tox13", $I9/K$8, $I9*K$8), "-")</f>
        <v>3150.4302100064647</v>
      </c>
      <c r="L9" s="166">
        <f>IFERROR(IF($A9="Tox13", $I9/L$8, $I9*L$8), "-")</f>
        <v>63008.604200129288</v>
      </c>
      <c r="M9" s="167">
        <f>IFERROR(IF($A9="Tox13", $I9/M$8, $I9*M$8), "-")</f>
        <v>630086.04200129292</v>
      </c>
      <c r="O9" s="163" t="s">
        <v>85</v>
      </c>
      <c r="P9" s="560" t="str">
        <f>F3</f>
        <v>Manufacturing</v>
      </c>
      <c r="Q9" s="563" t="str">
        <f>Dashboard!AP4</f>
        <v>Average Adult Worker</v>
      </c>
      <c r="R9" s="563" t="s">
        <v>142</v>
      </c>
      <c r="S9" s="563" t="s">
        <v>86</v>
      </c>
      <c r="T9" s="574"/>
      <c r="U9" s="164" t="s">
        <v>48</v>
      </c>
      <c r="V9" s="556">
        <f>VLOOKUP(O9,'Hazard Values'!$G$43:$J$45,2, FALSE)</f>
        <v>16</v>
      </c>
      <c r="W9" s="181">
        <f>VLOOKUP(O9,'Hazard Values'!$G$43:$J$45, 3, FALSE)</f>
        <v>30</v>
      </c>
      <c r="X9" s="384" t="str">
        <f>IFERROR($V$9/'Dermal Exposure'!$P13,"")</f>
        <v/>
      </c>
      <c r="Y9" s="388">
        <f>IFERROR($V$9/'Dermal Exposure'!$P5,"")</f>
        <v>7.1004846698707178</v>
      </c>
      <c r="Z9" s="388">
        <f>IFERROR($V$9/'Dermal Exposure'!$P7,"")</f>
        <v>35.502423349353585</v>
      </c>
      <c r="AA9" s="388">
        <f>IFERROR($V$9/'Dermal Exposure'!$P9,"")</f>
        <v>71.004846698707169</v>
      </c>
      <c r="AB9" s="389">
        <f>IFERROR($V$9/'Dermal Exposure'!$P11,"")</f>
        <v>142.00969339741434</v>
      </c>
    </row>
    <row r="10" spans="1:28" ht="17.25" customHeight="1" x14ac:dyDescent="0.25">
      <c r="A10" s="168" t="s">
        <v>63</v>
      </c>
      <c r="B10" s="561"/>
      <c r="C10" s="575"/>
      <c r="D10" s="564"/>
      <c r="E10" s="566"/>
      <c r="F10" s="573"/>
      <c r="G10" s="169" t="s">
        <v>51</v>
      </c>
      <c r="H10" s="350">
        <f>VLOOKUP(A10, 'Hazard Values'!$G$6:$I$19, 3, FALSE)</f>
        <v>30</v>
      </c>
      <c r="I10" s="170">
        <f>IF(Dashboard!F21="","-",Dashboard!F21)</f>
        <v>795.10857681115522</v>
      </c>
      <c r="J10" s="171">
        <f t="shared" ref="J10:M38" si="0">IFERROR(IF($A10="Tox13", $I10/J$8, $I10*J$8), "-")</f>
        <v>19877.71442027888</v>
      </c>
      <c r="K10" s="171">
        <f t="shared" si="0"/>
        <v>39755.428840557761</v>
      </c>
      <c r="L10" s="171">
        <f t="shared" si="0"/>
        <v>795108.57681115519</v>
      </c>
      <c r="M10" s="172">
        <f t="shared" si="0"/>
        <v>7951085.7681115521</v>
      </c>
      <c r="O10" s="168" t="s">
        <v>85</v>
      </c>
      <c r="P10" s="561"/>
      <c r="Q10" s="564"/>
      <c r="R10" s="564"/>
      <c r="S10" s="566"/>
      <c r="T10" s="573"/>
      <c r="U10" s="169" t="s">
        <v>51</v>
      </c>
      <c r="V10" s="557"/>
      <c r="W10" s="182">
        <f>VLOOKUP(O10,'Hazard Values'!$G$43:$J$45, 3, FALSE)</f>
        <v>30</v>
      </c>
      <c r="X10" s="385" t="str">
        <f>IFERROR($V$9/'Dermal Exposure'!$P14,"")</f>
        <v/>
      </c>
      <c r="Y10" s="390">
        <f>IFERROR($V$9/'Dermal Exposure'!$P6,"")</f>
        <v>21.301454009612154</v>
      </c>
      <c r="Z10" s="390">
        <f>IFERROR($V$9/'Dermal Exposure'!$P8,"")</f>
        <v>106.50727004806078</v>
      </c>
      <c r="AA10" s="390">
        <f>IFERROR($V$9/'Dermal Exposure'!$P10,"")</f>
        <v>213.01454009612155</v>
      </c>
      <c r="AB10" s="391">
        <f>IFERROR($V$9/'Dermal Exposure'!$P12,"")</f>
        <v>426.0290801922431</v>
      </c>
    </row>
    <row r="11" spans="1:28" ht="17.25" customHeight="1" x14ac:dyDescent="0.25">
      <c r="A11" s="168" t="s">
        <v>77</v>
      </c>
      <c r="B11" s="561"/>
      <c r="C11" s="575"/>
      <c r="D11" s="564"/>
      <c r="E11" s="571" t="s">
        <v>145</v>
      </c>
      <c r="F11" s="571" t="s">
        <v>146</v>
      </c>
      <c r="G11" s="173" t="s">
        <v>48</v>
      </c>
      <c r="H11" s="350">
        <f>VLOOKUP(A11, 'Hazard Values'!$G$6:$I$19, 3, FALSE)</f>
        <v>1</v>
      </c>
      <c r="I11" s="170">
        <f>IF(Dashboard!F22="","-",Dashboard!F22)</f>
        <v>45.626920282852247</v>
      </c>
      <c r="J11" s="171">
        <f t="shared" si="0"/>
        <v>1140.6730070713061</v>
      </c>
      <c r="K11" s="171">
        <f t="shared" si="0"/>
        <v>2281.3460141426121</v>
      </c>
      <c r="L11" s="171">
        <f t="shared" si="0"/>
        <v>45626.920282852247</v>
      </c>
      <c r="M11" s="172">
        <f t="shared" si="0"/>
        <v>456269.20282852248</v>
      </c>
      <c r="O11" s="168" t="s">
        <v>97</v>
      </c>
      <c r="P11" s="561"/>
      <c r="Q11" s="564"/>
      <c r="R11" s="564" t="s">
        <v>147</v>
      </c>
      <c r="S11" s="571" t="s">
        <v>148</v>
      </c>
      <c r="T11" s="572"/>
      <c r="U11" s="173" t="s">
        <v>48</v>
      </c>
      <c r="V11" s="558">
        <f>VLOOKUP(O11,'Hazard Values'!$G$43:$J$45,2, FALSE)</f>
        <v>2.15</v>
      </c>
      <c r="W11" s="182">
        <f>VLOOKUP(O11,'Hazard Values'!$G$43:$J$45, 3, FALSE)</f>
        <v>10</v>
      </c>
      <c r="X11" s="396" t="str">
        <f>IFERROR($V$11/'Dermal Exposure'!$Q13,"")</f>
        <v/>
      </c>
      <c r="Y11" s="397">
        <f>IFERROR($V$11/'Dermal Exposure'!$Q5,"")</f>
        <v>0.99501881155018668</v>
      </c>
      <c r="Z11" s="397">
        <f>IFERROR($V$11/'Dermal Exposure'!$Q7,"")</f>
        <v>4.9750940577509333</v>
      </c>
      <c r="AA11" s="397">
        <f>IFERROR($V$11/'Dermal Exposure'!$Q9,"")</f>
        <v>9.9501881155018665</v>
      </c>
      <c r="AB11" s="398">
        <f>IFERROR($V$11/'Dermal Exposure'!$Q11,"")</f>
        <v>19.900376231003733</v>
      </c>
    </row>
    <row r="12" spans="1:28" ht="17.25" customHeight="1" x14ac:dyDescent="0.25">
      <c r="A12" s="168" t="s">
        <v>77</v>
      </c>
      <c r="B12" s="561"/>
      <c r="C12" s="575"/>
      <c r="D12" s="564"/>
      <c r="E12" s="566"/>
      <c r="F12" s="566"/>
      <c r="G12" s="169" t="s">
        <v>51</v>
      </c>
      <c r="H12" s="350">
        <f>VLOOKUP(A12, 'Hazard Values'!$G$6:$I$19, 3, FALSE)</f>
        <v>1</v>
      </c>
      <c r="I12" s="170">
        <f>IF(Dashboard!F23="","-",Dashboard!F23)</f>
        <v>575.76827975980211</v>
      </c>
      <c r="J12" s="171">
        <f t="shared" si="0"/>
        <v>14394.206993995052</v>
      </c>
      <c r="K12" s="171">
        <f t="shared" si="0"/>
        <v>28788.413987990105</v>
      </c>
      <c r="L12" s="171">
        <f t="shared" si="0"/>
        <v>575768.27975980216</v>
      </c>
      <c r="M12" s="172">
        <f t="shared" si="0"/>
        <v>5757682.7975980211</v>
      </c>
      <c r="O12" s="168" t="s">
        <v>97</v>
      </c>
      <c r="P12" s="561"/>
      <c r="Q12" s="564"/>
      <c r="R12" s="566"/>
      <c r="S12" s="566"/>
      <c r="T12" s="573"/>
      <c r="U12" s="169" t="s">
        <v>51</v>
      </c>
      <c r="V12" s="557"/>
      <c r="W12" s="182">
        <f>VLOOKUP(O12,'Hazard Values'!$G$43:$J$45, 3, FALSE)</f>
        <v>10</v>
      </c>
      <c r="X12" s="399" t="str">
        <f>IFERROR($V$11/'Dermal Exposure'!Q14,"")</f>
        <v/>
      </c>
      <c r="Y12" s="400">
        <f>IFERROR($V$11/'Dermal Exposure'!$Q6,"")</f>
        <v>2.985056434650561</v>
      </c>
      <c r="Z12" s="400">
        <f>IFERROR($V$11/'Dermal Exposure'!$Q8,"")</f>
        <v>14.925282173252803</v>
      </c>
      <c r="AA12" s="400">
        <f>IFERROR($V$11/'Dermal Exposure'!$Q10,"")</f>
        <v>29.850564346505607</v>
      </c>
      <c r="AB12" s="401">
        <f>IFERROR($V$11/'Dermal Exposure'!$Q12,"")</f>
        <v>59.701128693011213</v>
      </c>
    </row>
    <row r="13" spans="1:28" ht="15" customHeight="1" x14ac:dyDescent="0.25">
      <c r="A13" s="187" t="s">
        <v>65</v>
      </c>
      <c r="B13" s="561"/>
      <c r="C13" s="575"/>
      <c r="D13" s="564" t="s">
        <v>149</v>
      </c>
      <c r="E13" s="571" t="s">
        <v>150</v>
      </c>
      <c r="F13" s="572" t="s">
        <v>146</v>
      </c>
      <c r="G13" s="173" t="s">
        <v>48</v>
      </c>
      <c r="H13" s="350">
        <f>VLOOKUP(A13, 'Hazard Values'!$G$6:$I$19, 3, FALSE)</f>
        <v>3</v>
      </c>
      <c r="I13" s="170">
        <f>IF(Dashboard!N20="","-",Dashboard!N20)</f>
        <v>16.29532867244723</v>
      </c>
      <c r="J13" s="171">
        <f t="shared" si="0"/>
        <v>407.38321681118077</v>
      </c>
      <c r="K13" s="171">
        <f t="shared" si="0"/>
        <v>814.76643362236155</v>
      </c>
      <c r="L13" s="171">
        <f t="shared" si="0"/>
        <v>16295.328672447229</v>
      </c>
      <c r="M13" s="172">
        <f t="shared" si="0"/>
        <v>162953.2867244723</v>
      </c>
      <c r="O13" s="187" t="s">
        <v>108</v>
      </c>
      <c r="P13" s="561"/>
      <c r="Q13" s="564"/>
      <c r="R13" s="571" t="s">
        <v>151</v>
      </c>
      <c r="S13" s="567" t="s">
        <v>152</v>
      </c>
      <c r="T13" s="569"/>
      <c r="U13" s="173" t="s">
        <v>48</v>
      </c>
      <c r="V13" s="558">
        <f>VLOOKUP(O13,'Hazard Values'!$G$43:$J$45,4, FALSE)</f>
        <v>1.1E-5</v>
      </c>
      <c r="W13" s="185">
        <f>VLOOKUP(O13,'Hazard Values'!$G$43:$J$45, 3, FALSE)</f>
        <v>1E-4</v>
      </c>
      <c r="X13" s="386" t="str">
        <f>IFERROR($V$13*'Dermal Exposure'!$R13,"")</f>
        <v/>
      </c>
      <c r="Y13" s="392">
        <f>IFERROR($V$13*'Dermal Exposure'!$R5,"")</f>
        <v>1.2188920437906118E-5</v>
      </c>
      <c r="Z13" s="392">
        <f>IFERROR($V$13*'Dermal Exposure'!$R7,"")</f>
        <v>2.4377840875812236E-6</v>
      </c>
      <c r="AA13" s="392">
        <f>IFERROR($V$13*'Dermal Exposure'!$R9,"")</f>
        <v>1.2188920437906118E-6</v>
      </c>
      <c r="AB13" s="393">
        <f>IFERROR($V$13*'Dermal Exposure'!$R11,"")</f>
        <v>6.094460218953059E-7</v>
      </c>
    </row>
    <row r="14" spans="1:28" ht="15.75" thickBot="1" x14ac:dyDescent="0.3">
      <c r="A14" s="168" t="s">
        <v>65</v>
      </c>
      <c r="B14" s="561"/>
      <c r="C14" s="575"/>
      <c r="D14" s="564"/>
      <c r="E14" s="566"/>
      <c r="F14" s="573"/>
      <c r="G14" s="169" t="s">
        <v>51</v>
      </c>
      <c r="H14" s="350">
        <f>VLOOKUP(A14, 'Hazard Values'!$G$6:$I$19, 3, FALSE)</f>
        <v>3</v>
      </c>
      <c r="I14" s="170">
        <f>IF(Dashboard!N21="","-",Dashboard!N21)</f>
        <v>314.05542532352848</v>
      </c>
      <c r="J14" s="171">
        <f t="shared" si="0"/>
        <v>7851.3856330882118</v>
      </c>
      <c r="K14" s="171">
        <f t="shared" si="0"/>
        <v>15702.771266176424</v>
      </c>
      <c r="L14" s="171">
        <f t="shared" si="0"/>
        <v>314055.42532352847</v>
      </c>
      <c r="M14" s="172">
        <f t="shared" si="0"/>
        <v>3140554.2532352847</v>
      </c>
      <c r="O14" s="359" t="s">
        <v>108</v>
      </c>
      <c r="P14" s="562"/>
      <c r="Q14" s="565"/>
      <c r="R14" s="565"/>
      <c r="S14" s="568"/>
      <c r="T14" s="570"/>
      <c r="U14" s="176" t="s">
        <v>51</v>
      </c>
      <c r="V14" s="559"/>
      <c r="W14" s="186">
        <f>VLOOKUP(O14,'Hazard Values'!$G$43:$J$45, 3, FALSE)</f>
        <v>1E-4</v>
      </c>
      <c r="X14" s="387" t="str">
        <f>IFERROR($V$13*'Dermal Exposure'!$R14,"")</f>
        <v/>
      </c>
      <c r="Y14" s="394">
        <f>IFERROR($V$13*'Dermal Exposure'!$R6,"")</f>
        <v>3.1488044464590796E-6</v>
      </c>
      <c r="Z14" s="394">
        <f>IFERROR($V$13*'Dermal Exposure'!$R8,"")</f>
        <v>6.2976088929181597E-7</v>
      </c>
      <c r="AA14" s="394">
        <f>IFERROR($V$13*'Dermal Exposure'!$R10,"")</f>
        <v>3.1488044464590799E-7</v>
      </c>
      <c r="AB14" s="395">
        <f>IFERROR($V$13*'Dermal Exposure'!$R12,"")</f>
        <v>1.5744022232295399E-7</v>
      </c>
    </row>
    <row r="15" spans="1:28" x14ac:dyDescent="0.25">
      <c r="A15" s="168" t="s">
        <v>79</v>
      </c>
      <c r="B15" s="561"/>
      <c r="C15" s="575"/>
      <c r="D15" s="564"/>
      <c r="E15" s="571" t="s">
        <v>153</v>
      </c>
      <c r="F15" s="572" t="s">
        <v>146</v>
      </c>
      <c r="G15" s="173" t="s">
        <v>48</v>
      </c>
      <c r="H15" s="350">
        <f>VLOOKUP(A15, 'Hazard Values'!$G$6:$I$19, 3, FALSE)</f>
        <v>1</v>
      </c>
      <c r="I15" s="170">
        <f>IF(Dashboard!N22="","-",Dashboard!N22)</f>
        <v>32.59065734489446</v>
      </c>
      <c r="J15" s="171">
        <f t="shared" si="0"/>
        <v>814.76643362236155</v>
      </c>
      <c r="K15" s="171">
        <f t="shared" si="0"/>
        <v>1629.5328672447231</v>
      </c>
      <c r="L15" s="171">
        <f t="shared" si="0"/>
        <v>32590.657344894458</v>
      </c>
      <c r="M15" s="172">
        <f t="shared" si="0"/>
        <v>325906.5734489446</v>
      </c>
    </row>
    <row r="16" spans="1:28" x14ac:dyDescent="0.25">
      <c r="A16" s="168" t="s">
        <v>79</v>
      </c>
      <c r="B16" s="561"/>
      <c r="C16" s="575"/>
      <c r="D16" s="564"/>
      <c r="E16" s="566"/>
      <c r="F16" s="573"/>
      <c r="G16" s="169" t="s">
        <v>51</v>
      </c>
      <c r="H16" s="350">
        <f>VLOOKUP(A16, 'Hazard Values'!$G$6:$I$19, 3, FALSE)</f>
        <v>1</v>
      </c>
      <c r="I16" s="170">
        <f>IF(Dashboard!N23="","-",Dashboard!N23)</f>
        <v>628.11085064705696</v>
      </c>
      <c r="J16" s="171">
        <f t="shared" si="0"/>
        <v>15702.771266176424</v>
      </c>
      <c r="K16" s="171">
        <f t="shared" si="0"/>
        <v>31405.542532352847</v>
      </c>
      <c r="L16" s="171">
        <f t="shared" si="0"/>
        <v>628110.85064705694</v>
      </c>
      <c r="M16" s="172">
        <f t="shared" si="0"/>
        <v>6281108.5064705694</v>
      </c>
    </row>
    <row r="17" spans="1:13" ht="15" customHeight="1" x14ac:dyDescent="0.25">
      <c r="A17" s="168" t="s">
        <v>87</v>
      </c>
      <c r="B17" s="561"/>
      <c r="C17" s="575"/>
      <c r="D17" s="564"/>
      <c r="E17" s="571" t="s">
        <v>154</v>
      </c>
      <c r="F17" s="572" t="s">
        <v>144</v>
      </c>
      <c r="G17" s="173" t="s">
        <v>48</v>
      </c>
      <c r="H17" s="350">
        <f>VLOOKUP(A17, 'Hazard Values'!$G$6:$I$19, 3, FALSE)</f>
        <v>30</v>
      </c>
      <c r="I17" s="170">
        <f>IF(Dashboard!N24="","-",Dashboard!N24)</f>
        <v>9.2666102383983251</v>
      </c>
      <c r="J17" s="171">
        <f t="shared" si="0"/>
        <v>231.66525595995813</v>
      </c>
      <c r="K17" s="171">
        <f t="shared" si="0"/>
        <v>463.33051191991626</v>
      </c>
      <c r="L17" s="171">
        <f t="shared" si="0"/>
        <v>9266.6102383983252</v>
      </c>
      <c r="M17" s="172">
        <f t="shared" si="0"/>
        <v>92666.102383983249</v>
      </c>
    </row>
    <row r="18" spans="1:13" x14ac:dyDescent="0.25">
      <c r="A18" s="168" t="s">
        <v>87</v>
      </c>
      <c r="B18" s="561"/>
      <c r="C18" s="575"/>
      <c r="D18" s="564"/>
      <c r="E18" s="566"/>
      <c r="F18" s="573"/>
      <c r="G18" s="169" t="s">
        <v>51</v>
      </c>
      <c r="H18" s="350">
        <f>VLOOKUP(A18, 'Hazard Values'!$G$6:$I$19, 3, FALSE)</f>
        <v>30</v>
      </c>
      <c r="I18" s="170">
        <f>IF(Dashboard!N25="","-",Dashboard!N25)</f>
        <v>178.59285186731319</v>
      </c>
      <c r="J18" s="171">
        <f t="shared" si="0"/>
        <v>4464.8212966828296</v>
      </c>
      <c r="K18" s="171">
        <f t="shared" si="0"/>
        <v>8929.6425933656592</v>
      </c>
      <c r="L18" s="171">
        <f t="shared" si="0"/>
        <v>178592.85186731318</v>
      </c>
      <c r="M18" s="172">
        <f t="shared" si="0"/>
        <v>1785928.5186731319</v>
      </c>
    </row>
    <row r="19" spans="1:13" ht="15" customHeight="1" x14ac:dyDescent="0.25">
      <c r="A19" s="168" t="s">
        <v>67</v>
      </c>
      <c r="B19" s="561"/>
      <c r="C19" s="575"/>
      <c r="D19" s="564" t="s">
        <v>155</v>
      </c>
      <c r="E19" s="571" t="s">
        <v>156</v>
      </c>
      <c r="F19" s="572" t="s">
        <v>146</v>
      </c>
      <c r="G19" s="173" t="s">
        <v>48</v>
      </c>
      <c r="H19" s="350">
        <f>VLOOKUP(A19, 'Hazard Values'!$G$6:$I$19, 3, FALSE)</f>
        <v>3</v>
      </c>
      <c r="I19" s="170">
        <f>IF(Dashboard!V20="","-",Dashboard!V20)</f>
        <v>921.22924761568333</v>
      </c>
      <c r="J19" s="171">
        <f t="shared" si="0"/>
        <v>23030.731190392082</v>
      </c>
      <c r="K19" s="171">
        <f t="shared" si="0"/>
        <v>46061.462380784164</v>
      </c>
      <c r="L19" s="171">
        <f t="shared" si="0"/>
        <v>921229.24761568336</v>
      </c>
      <c r="M19" s="172">
        <f t="shared" si="0"/>
        <v>9212292.4761568327</v>
      </c>
    </row>
    <row r="20" spans="1:13" x14ac:dyDescent="0.25">
      <c r="A20" s="168" t="s">
        <v>67</v>
      </c>
      <c r="B20" s="561"/>
      <c r="C20" s="575"/>
      <c r="D20" s="564"/>
      <c r="E20" s="566"/>
      <c r="F20" s="573"/>
      <c r="G20" s="169" t="s">
        <v>51</v>
      </c>
      <c r="H20" s="350">
        <f>VLOOKUP(A20, 'Hazard Values'!$G$6:$I$19, 3, FALSE)</f>
        <v>3</v>
      </c>
      <c r="I20" s="170">
        <f>IF(Dashboard!V21="","-",Dashboard!V21)</f>
        <v>921.22924761568333</v>
      </c>
      <c r="J20" s="171">
        <f t="shared" si="0"/>
        <v>23030.731190392082</v>
      </c>
      <c r="K20" s="171">
        <f t="shared" si="0"/>
        <v>46061.462380784164</v>
      </c>
      <c r="L20" s="171">
        <f t="shared" si="0"/>
        <v>921229.24761568336</v>
      </c>
      <c r="M20" s="172">
        <f t="shared" si="0"/>
        <v>9212292.4761568327</v>
      </c>
    </row>
    <row r="21" spans="1:13" ht="15" customHeight="1" x14ac:dyDescent="0.25">
      <c r="A21" s="168" t="s">
        <v>81</v>
      </c>
      <c r="B21" s="561"/>
      <c r="C21" s="575"/>
      <c r="D21" s="564"/>
      <c r="E21" s="571" t="s">
        <v>157</v>
      </c>
      <c r="F21" s="572" t="s">
        <v>146</v>
      </c>
      <c r="G21" s="173" t="s">
        <v>48</v>
      </c>
      <c r="H21" s="350">
        <f>VLOOKUP(A21, 'Hazard Values'!$G$6:$I$19, 3, FALSE)</f>
        <v>1</v>
      </c>
      <c r="I21" s="170">
        <f>IF(Dashboard!V22="","-",Dashboard!V22)</f>
        <v>1612.1511833274458</v>
      </c>
      <c r="J21" s="171">
        <f t="shared" si="0"/>
        <v>40303.779583186144</v>
      </c>
      <c r="K21" s="171">
        <f t="shared" si="0"/>
        <v>80607.559166372288</v>
      </c>
      <c r="L21" s="171">
        <f t="shared" si="0"/>
        <v>1612151.1833274458</v>
      </c>
      <c r="M21" s="172">
        <f t="shared" si="0"/>
        <v>16121511.833274458</v>
      </c>
    </row>
    <row r="22" spans="1:13" x14ac:dyDescent="0.25">
      <c r="A22" s="168" t="s">
        <v>81</v>
      </c>
      <c r="B22" s="561"/>
      <c r="C22" s="575"/>
      <c r="D22" s="564"/>
      <c r="E22" s="566"/>
      <c r="F22" s="573"/>
      <c r="G22" s="169" t="s">
        <v>51</v>
      </c>
      <c r="H22" s="350">
        <f>VLOOKUP(A22, 'Hazard Values'!$G$6:$I$19, 3, FALSE)</f>
        <v>1</v>
      </c>
      <c r="I22" s="170">
        <f>IF(Dashboard!V23="","-",Dashboard!V23)</f>
        <v>1612.1511833274458</v>
      </c>
      <c r="J22" s="171">
        <f t="shared" si="0"/>
        <v>40303.779583186144</v>
      </c>
      <c r="K22" s="171">
        <f t="shared" si="0"/>
        <v>80607.559166372288</v>
      </c>
      <c r="L22" s="171">
        <f t="shared" si="0"/>
        <v>1612151.1833274458</v>
      </c>
      <c r="M22" s="172">
        <f t="shared" si="0"/>
        <v>16121511.833274458</v>
      </c>
    </row>
    <row r="23" spans="1:13" ht="15" customHeight="1" x14ac:dyDescent="0.25">
      <c r="A23" s="168" t="s">
        <v>69</v>
      </c>
      <c r="B23" s="561"/>
      <c r="C23" s="575"/>
      <c r="D23" s="564" t="s">
        <v>158</v>
      </c>
      <c r="E23" s="571" t="s">
        <v>159</v>
      </c>
      <c r="F23" s="572" t="s">
        <v>146</v>
      </c>
      <c r="G23" s="173" t="s">
        <v>48</v>
      </c>
      <c r="H23" s="350">
        <f>VLOOKUP(A23, 'Hazard Values'!$G$6:$I$19, 3, FALSE)</f>
        <v>10</v>
      </c>
      <c r="I23" s="170">
        <f>IF(Dashboard!AD20="","-",Dashboard!AD20)</f>
        <v>21.904228034340303</v>
      </c>
      <c r="J23" s="171">
        <f t="shared" si="0"/>
        <v>547.60570085850759</v>
      </c>
      <c r="K23" s="171">
        <f t="shared" si="0"/>
        <v>1095.2114017170152</v>
      </c>
      <c r="L23" s="171">
        <f t="shared" si="0"/>
        <v>21904.228034340304</v>
      </c>
      <c r="M23" s="172">
        <f t="shared" si="0"/>
        <v>219042.28034340302</v>
      </c>
    </row>
    <row r="24" spans="1:13" x14ac:dyDescent="0.25">
      <c r="A24" s="168" t="s">
        <v>69</v>
      </c>
      <c r="B24" s="561"/>
      <c r="C24" s="575"/>
      <c r="D24" s="564"/>
      <c r="E24" s="566"/>
      <c r="F24" s="573"/>
      <c r="G24" s="169" t="s">
        <v>51</v>
      </c>
      <c r="H24" s="350">
        <f>VLOOKUP(A24, 'Hazard Values'!$G$6:$I$19, 3, FALSE)</f>
        <v>10</v>
      </c>
      <c r="I24" s="170">
        <f>IF(Dashboard!AD21="","-",Dashboard!AD21)</f>
        <v>82.252611394257443</v>
      </c>
      <c r="J24" s="171">
        <f t="shared" si="0"/>
        <v>2056.3152848564359</v>
      </c>
      <c r="K24" s="171">
        <f t="shared" si="0"/>
        <v>4112.6305697128719</v>
      </c>
      <c r="L24" s="171">
        <f t="shared" si="0"/>
        <v>82252.611394257445</v>
      </c>
      <c r="M24" s="172">
        <f t="shared" si="0"/>
        <v>822526.11394257448</v>
      </c>
    </row>
    <row r="25" spans="1:13" ht="15" customHeight="1" x14ac:dyDescent="0.25">
      <c r="A25" s="168" t="s">
        <v>83</v>
      </c>
      <c r="B25" s="561"/>
      <c r="C25" s="575"/>
      <c r="D25" s="564"/>
      <c r="E25" s="571" t="s">
        <v>160</v>
      </c>
      <c r="F25" s="572" t="s">
        <v>144</v>
      </c>
      <c r="G25" s="173" t="s">
        <v>48</v>
      </c>
      <c r="H25" s="350">
        <f>VLOOKUP(A25, 'Hazard Values'!$G$6:$I$19, 3, FALSE)</f>
        <v>30</v>
      </c>
      <c r="I25" s="170">
        <f>IF(Dashboard!AD22="","-",Dashboard!AD22)</f>
        <v>52.570147282416727</v>
      </c>
      <c r="J25" s="171">
        <f t="shared" si="0"/>
        <v>1314.2536820604182</v>
      </c>
      <c r="K25" s="171">
        <f t="shared" si="0"/>
        <v>2628.5073641208364</v>
      </c>
      <c r="L25" s="171">
        <f t="shared" si="0"/>
        <v>52570.147282416729</v>
      </c>
      <c r="M25" s="172">
        <f t="shared" si="0"/>
        <v>525701.47282416723</v>
      </c>
    </row>
    <row r="26" spans="1:13" x14ac:dyDescent="0.25">
      <c r="A26" s="168" t="s">
        <v>83</v>
      </c>
      <c r="B26" s="561"/>
      <c r="C26" s="575"/>
      <c r="D26" s="564"/>
      <c r="E26" s="566"/>
      <c r="F26" s="573"/>
      <c r="G26" s="169" t="s">
        <v>51</v>
      </c>
      <c r="H26" s="350">
        <f>VLOOKUP(A26, 'Hazard Values'!$G$6:$I$19, 3, FALSE)</f>
        <v>30</v>
      </c>
      <c r="I26" s="170">
        <f>IF(Dashboard!AD23="","-",Dashboard!AD23)</f>
        <v>197.40626734621787</v>
      </c>
      <c r="J26" s="171">
        <f t="shared" si="0"/>
        <v>4935.1566836554466</v>
      </c>
      <c r="K26" s="171">
        <f t="shared" si="0"/>
        <v>9870.3133673108932</v>
      </c>
      <c r="L26" s="171">
        <f t="shared" si="0"/>
        <v>197406.26734621788</v>
      </c>
      <c r="M26" s="172">
        <f t="shared" si="0"/>
        <v>1974062.6734621788</v>
      </c>
    </row>
    <row r="27" spans="1:13" ht="15" customHeight="1" x14ac:dyDescent="0.25">
      <c r="A27" s="168" t="s">
        <v>89</v>
      </c>
      <c r="B27" s="561"/>
      <c r="C27" s="575"/>
      <c r="D27" s="564"/>
      <c r="E27" s="571" t="s">
        <v>161</v>
      </c>
      <c r="F27" s="572" t="s">
        <v>146</v>
      </c>
      <c r="G27" s="428" t="s">
        <v>48</v>
      </c>
      <c r="H27" s="350">
        <f>VLOOKUP(A27, 'Hazard Values'!$G$6:$I$19, 3, FALSE)</f>
        <v>3</v>
      </c>
      <c r="I27" s="170">
        <f>IF(Dashboard!AD24="","-",Dashboard!AD24)</f>
        <v>133.30287346612812</v>
      </c>
      <c r="J27" s="183">
        <f t="shared" si="0"/>
        <v>3332.5718366532028</v>
      </c>
      <c r="K27" s="183">
        <f t="shared" si="0"/>
        <v>6665.1436733064056</v>
      </c>
      <c r="L27" s="183">
        <f t="shared" si="0"/>
        <v>133302.87346612811</v>
      </c>
      <c r="M27" s="184">
        <f t="shared" si="0"/>
        <v>1333028.7346612811</v>
      </c>
    </row>
    <row r="28" spans="1:13" x14ac:dyDescent="0.25">
      <c r="A28" s="168" t="s">
        <v>89</v>
      </c>
      <c r="B28" s="561"/>
      <c r="C28" s="575"/>
      <c r="D28" s="564"/>
      <c r="E28" s="566"/>
      <c r="F28" s="573"/>
      <c r="G28" s="169" t="s">
        <v>51</v>
      </c>
      <c r="H28" s="350">
        <f>VLOOKUP(A28, 'Hazard Values'!$G$6:$I$19, 3, FALSE)</f>
        <v>3</v>
      </c>
      <c r="I28" s="170">
        <f>IF(Dashboard!AD25="","-",Dashboard!AD25)</f>
        <v>500.56589219933818</v>
      </c>
      <c r="J28" s="171">
        <f t="shared" si="0"/>
        <v>12514.147304983455</v>
      </c>
      <c r="K28" s="171">
        <f t="shared" si="0"/>
        <v>25028.29460996691</v>
      </c>
      <c r="L28" s="171">
        <f t="shared" si="0"/>
        <v>500565.89219933818</v>
      </c>
      <c r="M28" s="172">
        <f t="shared" si="0"/>
        <v>5005658.9219933813</v>
      </c>
    </row>
    <row r="29" spans="1:13" ht="15" customHeight="1" x14ac:dyDescent="0.25">
      <c r="A29" s="168" t="s">
        <v>95</v>
      </c>
      <c r="B29" s="561"/>
      <c r="C29" s="575"/>
      <c r="D29" s="564"/>
      <c r="E29" s="571" t="s">
        <v>162</v>
      </c>
      <c r="F29" s="572" t="s">
        <v>146</v>
      </c>
      <c r="G29" s="173" t="s">
        <v>48</v>
      </c>
      <c r="H29" s="350">
        <f>VLOOKUP(A29, 'Hazard Values'!$G$6:$I$19, 3, FALSE)</f>
        <v>1</v>
      </c>
      <c r="I29" s="170">
        <f>IF(Dashboard!AD26="","-",Dashboard!AD26)</f>
        <v>125.16701733908744</v>
      </c>
      <c r="J29" s="171">
        <f t="shared" si="0"/>
        <v>3129.1754334771858</v>
      </c>
      <c r="K29" s="171">
        <f t="shared" si="0"/>
        <v>6258.3508669543717</v>
      </c>
      <c r="L29" s="171">
        <f t="shared" si="0"/>
        <v>125167.01733908744</v>
      </c>
      <c r="M29" s="172">
        <f t="shared" si="0"/>
        <v>1251670.1733908744</v>
      </c>
    </row>
    <row r="30" spans="1:13" x14ac:dyDescent="0.25">
      <c r="A30" s="168" t="s">
        <v>95</v>
      </c>
      <c r="B30" s="561"/>
      <c r="C30" s="575"/>
      <c r="D30" s="564"/>
      <c r="E30" s="566"/>
      <c r="F30" s="573"/>
      <c r="G30" s="169" t="s">
        <v>51</v>
      </c>
      <c r="H30" s="350">
        <f>VLOOKUP(A30, 'Hazard Values'!$G$6:$I$19, 3, FALSE)</f>
        <v>1</v>
      </c>
      <c r="I30" s="170">
        <f>IF(Dashboard!AD27="","-",Dashboard!AD27)</f>
        <v>470.01492225289968</v>
      </c>
      <c r="J30" s="171">
        <f t="shared" si="0"/>
        <v>11750.373056322493</v>
      </c>
      <c r="K30" s="171">
        <f t="shared" si="0"/>
        <v>23500.746112644985</v>
      </c>
      <c r="L30" s="171">
        <f t="shared" si="0"/>
        <v>470014.92225289968</v>
      </c>
      <c r="M30" s="172">
        <f t="shared" si="0"/>
        <v>4700149.2225289969</v>
      </c>
    </row>
    <row r="31" spans="1:13" ht="15" customHeight="1" x14ac:dyDescent="0.25">
      <c r="A31" s="168" t="s">
        <v>71</v>
      </c>
      <c r="B31" s="561"/>
      <c r="C31" s="575"/>
      <c r="D31" s="564" t="s">
        <v>163</v>
      </c>
      <c r="E31" s="571" t="s">
        <v>164</v>
      </c>
      <c r="F31" s="572" t="s">
        <v>146</v>
      </c>
      <c r="G31" s="173" t="s">
        <v>48</v>
      </c>
      <c r="H31" s="350">
        <f>VLOOKUP(A31, 'Hazard Values'!$G$6:$I$19, 3, FALSE)</f>
        <v>1</v>
      </c>
      <c r="I31" s="170" t="str">
        <f>IF(Dashboard!AL20="","-",Dashboard!AL20)</f>
        <v>-</v>
      </c>
      <c r="J31" s="171" t="str">
        <f t="shared" si="0"/>
        <v>-</v>
      </c>
      <c r="K31" s="171" t="str">
        <f t="shared" si="0"/>
        <v>-</v>
      </c>
      <c r="L31" s="171" t="str">
        <f t="shared" si="0"/>
        <v>-</v>
      </c>
      <c r="M31" s="172" t="str">
        <f t="shared" si="0"/>
        <v>-</v>
      </c>
    </row>
    <row r="32" spans="1:13" x14ac:dyDescent="0.25">
      <c r="A32" s="168" t="s">
        <v>71</v>
      </c>
      <c r="B32" s="561"/>
      <c r="C32" s="575"/>
      <c r="D32" s="564"/>
      <c r="E32" s="566"/>
      <c r="F32" s="573"/>
      <c r="G32" s="169" t="s">
        <v>51</v>
      </c>
      <c r="H32" s="350">
        <f>VLOOKUP(A32, 'Hazard Values'!$G$6:$I$19, 3, FALSE)</f>
        <v>1</v>
      </c>
      <c r="I32" s="170" t="str">
        <f>IF(Dashboard!AL21="","-",Dashboard!AL21)</f>
        <v>-</v>
      </c>
      <c r="J32" s="171" t="str">
        <f t="shared" si="0"/>
        <v>-</v>
      </c>
      <c r="K32" s="171" t="str">
        <f t="shared" si="0"/>
        <v>-</v>
      </c>
      <c r="L32" s="171" t="str">
        <f t="shared" si="0"/>
        <v>-</v>
      </c>
      <c r="M32" s="172" t="str">
        <f t="shared" si="0"/>
        <v>-</v>
      </c>
    </row>
    <row r="33" spans="1:18" ht="15" customHeight="1" x14ac:dyDescent="0.25">
      <c r="A33" s="168" t="s">
        <v>99</v>
      </c>
      <c r="B33" s="561"/>
      <c r="C33" s="575"/>
      <c r="D33" s="564" t="s">
        <v>147</v>
      </c>
      <c r="E33" s="571" t="s">
        <v>165</v>
      </c>
      <c r="F33" s="572" t="s">
        <v>146</v>
      </c>
      <c r="G33" s="173" t="s">
        <v>48</v>
      </c>
      <c r="H33" s="350">
        <f>VLOOKUP(A33, 'Hazard Values'!$G$6:$I$19, 3, FALSE)</f>
        <v>10</v>
      </c>
      <c r="I33" s="170">
        <f>IF(Dashboard!F28="","-",Dashboard!F28)</f>
        <v>16.368331744899798</v>
      </c>
      <c r="J33" s="171">
        <f t="shared" si="0"/>
        <v>409.20829362249498</v>
      </c>
      <c r="K33" s="171">
        <f t="shared" si="0"/>
        <v>818.41658724498996</v>
      </c>
      <c r="L33" s="171">
        <f t="shared" si="0"/>
        <v>16368.331744899799</v>
      </c>
      <c r="M33" s="172">
        <f t="shared" si="0"/>
        <v>163683.31744899799</v>
      </c>
    </row>
    <row r="34" spans="1:18" x14ac:dyDescent="0.25">
      <c r="A34" s="168" t="s">
        <v>99</v>
      </c>
      <c r="B34" s="561"/>
      <c r="C34" s="575"/>
      <c r="D34" s="566"/>
      <c r="E34" s="566"/>
      <c r="F34" s="573"/>
      <c r="G34" s="169" t="s">
        <v>51</v>
      </c>
      <c r="H34" s="350">
        <f>VLOOKUP(A34, 'Hazard Values'!$G$6:$I$19, 3, FALSE)</f>
        <v>10</v>
      </c>
      <c r="I34" s="170">
        <f>IF(Dashboard!F29="","-",Dashboard!F29)</f>
        <v>206.55275773325928</v>
      </c>
      <c r="J34" s="171">
        <f t="shared" si="0"/>
        <v>5163.8189433314819</v>
      </c>
      <c r="K34" s="171">
        <f t="shared" si="0"/>
        <v>10327.637886662964</v>
      </c>
      <c r="L34" s="171">
        <f t="shared" si="0"/>
        <v>206552.75773325929</v>
      </c>
      <c r="M34" s="172">
        <f t="shared" si="0"/>
        <v>2065527.5773325928</v>
      </c>
    </row>
    <row r="35" spans="1:18" ht="15" customHeight="1" x14ac:dyDescent="0.25">
      <c r="A35" s="174" t="s">
        <v>113</v>
      </c>
      <c r="B35" s="561"/>
      <c r="C35" s="575"/>
      <c r="D35" s="567" t="s">
        <v>166</v>
      </c>
      <c r="E35" s="567" t="s">
        <v>167</v>
      </c>
      <c r="F35" s="569" t="s">
        <v>146</v>
      </c>
      <c r="G35" s="173" t="s">
        <v>48</v>
      </c>
      <c r="H35" s="351">
        <f>1/10000</f>
        <v>1E-4</v>
      </c>
      <c r="I35" s="170">
        <f>IF(Dashboard!F34="","-",Dashboard!F34)</f>
        <v>3.2571864086833406E-6</v>
      </c>
      <c r="J35" s="171">
        <f t="shared" si="0"/>
        <v>1.3028745634733364E-7</v>
      </c>
      <c r="K35" s="171">
        <f t="shared" si="0"/>
        <v>6.5143728173666818E-8</v>
      </c>
      <c r="L35" s="171">
        <f t="shared" si="0"/>
        <v>3.2571864086833406E-9</v>
      </c>
      <c r="M35" s="172">
        <f t="shared" si="0"/>
        <v>3.2571864086833407E-10</v>
      </c>
    </row>
    <row r="36" spans="1:18" ht="15.75" thickBot="1" x14ac:dyDescent="0.3">
      <c r="A36" s="175" t="s">
        <v>113</v>
      </c>
      <c r="B36" s="562"/>
      <c r="C36" s="576"/>
      <c r="D36" s="568"/>
      <c r="E36" s="568"/>
      <c r="F36" s="570"/>
      <c r="G36" s="176" t="s">
        <v>51</v>
      </c>
      <c r="H36" s="352">
        <f>1/10000</f>
        <v>1E-4</v>
      </c>
      <c r="I36" s="170">
        <f>IF(Dashboard!F35="","-",Dashboard!F35)</f>
        <v>2.000404105710241E-7</v>
      </c>
      <c r="J36" s="177">
        <f t="shared" si="0"/>
        <v>8.0016164228409643E-9</v>
      </c>
      <c r="K36" s="177">
        <f t="shared" si="0"/>
        <v>4.0008082114204822E-9</v>
      </c>
      <c r="L36" s="177">
        <f t="shared" si="0"/>
        <v>2.0004041057102411E-10</v>
      </c>
      <c r="M36" s="178">
        <f t="shared" si="0"/>
        <v>2.0004041057102409E-11</v>
      </c>
    </row>
    <row r="37" spans="1:18" ht="15" customHeight="1" x14ac:dyDescent="0.25">
      <c r="A37" s="163" t="s">
        <v>63</v>
      </c>
      <c r="B37" s="560" t="str">
        <f>F3</f>
        <v>Manufacturing</v>
      </c>
      <c r="C37" s="563" t="s">
        <v>168</v>
      </c>
      <c r="D37" s="563" t="s">
        <v>142</v>
      </c>
      <c r="E37" s="563" t="s">
        <v>169</v>
      </c>
      <c r="F37" s="574" t="s">
        <v>144</v>
      </c>
      <c r="G37" s="164" t="s">
        <v>48</v>
      </c>
      <c r="H37" s="181">
        <f>VLOOKUP(A37, 'Hazard Values'!$G$6:$I$19, 3, FALSE)</f>
        <v>30</v>
      </c>
      <c r="I37" s="165" t="str">
        <f>IF(Dashboard!G20="","-",Dashboard!G20)</f>
        <v>-</v>
      </c>
      <c r="J37" s="166" t="str">
        <f>IFERROR(IF($A37="Tox13", $I37/J$8, $I37*J$8), "-")</f>
        <v>-</v>
      </c>
      <c r="K37" s="166" t="str">
        <f>IFERROR(IF($A37="Tox13", $I37/K$8, $I37*K$8), "-")</f>
        <v>-</v>
      </c>
      <c r="L37" s="166" t="str">
        <f>IFERROR(IF($A37="Tox13", $I37/L$8, $I37*L$8), "-")</f>
        <v>-</v>
      </c>
      <c r="M37" s="167" t="str">
        <f>IFERROR(IF($A37="Tox13", $I37/M$8, $I37*M$8), "-")</f>
        <v>-</v>
      </c>
    </row>
    <row r="38" spans="1:18" x14ac:dyDescent="0.25">
      <c r="A38" s="168" t="s">
        <v>63</v>
      </c>
      <c r="B38" s="561"/>
      <c r="C38" s="564"/>
      <c r="D38" s="564"/>
      <c r="E38" s="566"/>
      <c r="F38" s="573"/>
      <c r="G38" s="169" t="s">
        <v>51</v>
      </c>
      <c r="H38" s="182">
        <f>VLOOKUP(A38, 'Hazard Values'!$G$6:$I$19, 3, FALSE)</f>
        <v>30</v>
      </c>
      <c r="I38" s="170" t="str">
        <f>IF(Dashboard!G21="","-",Dashboard!G21)</f>
        <v>-</v>
      </c>
      <c r="J38" s="171" t="str">
        <f t="shared" si="0"/>
        <v>-</v>
      </c>
      <c r="K38" s="171" t="str">
        <f t="shared" si="0"/>
        <v>-</v>
      </c>
      <c r="L38" s="171" t="str">
        <f t="shared" si="0"/>
        <v>-</v>
      </c>
      <c r="M38" s="172" t="str">
        <f t="shared" si="0"/>
        <v>-</v>
      </c>
      <c r="P38" s="402" t="s">
        <v>121</v>
      </c>
      <c r="Q38" s="403" t="str">
        <f>U13</f>
        <v>High-End</v>
      </c>
      <c r="R38" s="403" t="str">
        <f>U14</f>
        <v>Central Tendency</v>
      </c>
    </row>
    <row r="39" spans="1:18" x14ac:dyDescent="0.25">
      <c r="A39" s="168" t="s">
        <v>77</v>
      </c>
      <c r="B39" s="561"/>
      <c r="C39" s="564"/>
      <c r="D39" s="564"/>
      <c r="E39" s="571" t="s">
        <v>145</v>
      </c>
      <c r="F39" s="571" t="s">
        <v>146</v>
      </c>
      <c r="G39" s="173" t="s">
        <v>48</v>
      </c>
      <c r="H39" s="182">
        <f>VLOOKUP(A39, 'Hazard Values'!$G$6:$I$19, 3, FALSE)</f>
        <v>1</v>
      </c>
      <c r="I39" s="170" t="str">
        <f>IF(Dashboard!G22="","-",Dashboard!G22)</f>
        <v>-</v>
      </c>
      <c r="J39" s="171" t="str">
        <f t="shared" ref="J39:M64" si="1">IFERROR(IF($A39="Tox13", $I39/J$8, $I39*J$8), "-")</f>
        <v>-</v>
      </c>
      <c r="K39" s="171" t="str">
        <f t="shared" si="1"/>
        <v>-</v>
      </c>
      <c r="L39" s="171" t="str">
        <f t="shared" si="1"/>
        <v>-</v>
      </c>
      <c r="M39" s="172" t="str">
        <f t="shared" si="1"/>
        <v>-</v>
      </c>
      <c r="P39" s="404" t="s">
        <v>107</v>
      </c>
      <c r="Q39" s="405" t="str">
        <f>X13</f>
        <v/>
      </c>
      <c r="R39" s="405" t="str">
        <f>X14</f>
        <v/>
      </c>
    </row>
    <row r="40" spans="1:18" x14ac:dyDescent="0.25">
      <c r="A40" s="168" t="s">
        <v>77</v>
      </c>
      <c r="B40" s="561"/>
      <c r="C40" s="564"/>
      <c r="D40" s="564"/>
      <c r="E40" s="566"/>
      <c r="F40" s="566"/>
      <c r="G40" s="169" t="s">
        <v>51</v>
      </c>
      <c r="H40" s="182">
        <f>VLOOKUP(A40, 'Hazard Values'!$G$6:$I$19, 3, FALSE)</f>
        <v>1</v>
      </c>
      <c r="I40" s="170" t="str">
        <f>IF(Dashboard!G23="","-",Dashboard!G23)</f>
        <v>-</v>
      </c>
      <c r="J40" s="171" t="str">
        <f t="shared" si="1"/>
        <v>-</v>
      </c>
      <c r="K40" s="171" t="str">
        <f t="shared" si="1"/>
        <v>-</v>
      </c>
      <c r="L40" s="171" t="str">
        <f t="shared" si="1"/>
        <v>-</v>
      </c>
      <c r="M40" s="172" t="str">
        <f t="shared" si="1"/>
        <v>-</v>
      </c>
      <c r="P40" s="404" t="s">
        <v>170</v>
      </c>
      <c r="Q40" s="405">
        <f>Y13</f>
        <v>1.2188920437906118E-5</v>
      </c>
      <c r="R40" s="405">
        <f>Y14</f>
        <v>3.1488044464590796E-6</v>
      </c>
    </row>
    <row r="41" spans="1:18" x14ac:dyDescent="0.25">
      <c r="A41" s="168" t="s">
        <v>65</v>
      </c>
      <c r="B41" s="561"/>
      <c r="C41" s="564"/>
      <c r="D41" s="564" t="s">
        <v>149</v>
      </c>
      <c r="E41" s="571" t="s">
        <v>150</v>
      </c>
      <c r="F41" s="572" t="s">
        <v>146</v>
      </c>
      <c r="G41" s="173" t="s">
        <v>48</v>
      </c>
      <c r="H41" s="182">
        <f>VLOOKUP(A41, 'Hazard Values'!$G$6:$I$19, 3, FALSE)</f>
        <v>3</v>
      </c>
      <c r="I41" s="170" t="str">
        <f>IF(Dashboard!O20="","-",Dashboard!O20)</f>
        <v>-</v>
      </c>
      <c r="J41" s="171" t="str">
        <f t="shared" si="1"/>
        <v>-</v>
      </c>
      <c r="K41" s="171" t="str">
        <f t="shared" si="1"/>
        <v>-</v>
      </c>
      <c r="L41" s="171" t="str">
        <f t="shared" si="1"/>
        <v>-</v>
      </c>
      <c r="M41" s="172" t="str">
        <f t="shared" si="1"/>
        <v>-</v>
      </c>
      <c r="P41" s="404" t="s">
        <v>171</v>
      </c>
      <c r="Q41" s="405">
        <f>Z13</f>
        <v>2.4377840875812236E-6</v>
      </c>
      <c r="R41" s="405">
        <f>Z14</f>
        <v>6.2976088929181597E-7</v>
      </c>
    </row>
    <row r="42" spans="1:18" ht="25.5" x14ac:dyDescent="0.25">
      <c r="A42" s="168" t="s">
        <v>65</v>
      </c>
      <c r="B42" s="561"/>
      <c r="C42" s="564"/>
      <c r="D42" s="564"/>
      <c r="E42" s="566"/>
      <c r="F42" s="573"/>
      <c r="G42" s="169" t="s">
        <v>51</v>
      </c>
      <c r="H42" s="182">
        <f>VLOOKUP(A42, 'Hazard Values'!$G$6:$I$19, 3, FALSE)</f>
        <v>3</v>
      </c>
      <c r="I42" s="170" t="str">
        <f>IF(Dashboard!O21="","-",Dashboard!O21)</f>
        <v>-</v>
      </c>
      <c r="J42" s="171" t="str">
        <f t="shared" si="1"/>
        <v>-</v>
      </c>
      <c r="K42" s="171" t="str">
        <f t="shared" si="1"/>
        <v>-</v>
      </c>
      <c r="L42" s="171" t="str">
        <f t="shared" si="1"/>
        <v>-</v>
      </c>
      <c r="M42" s="172" t="str">
        <f t="shared" si="1"/>
        <v>-</v>
      </c>
      <c r="P42" s="404" t="s">
        <v>172</v>
      </c>
      <c r="Q42" s="405">
        <f>AA13</f>
        <v>1.2188920437906118E-6</v>
      </c>
      <c r="R42" s="405">
        <f>AA14</f>
        <v>3.1488044464590799E-7</v>
      </c>
    </row>
    <row r="43" spans="1:18" ht="25.5" x14ac:dyDescent="0.25">
      <c r="A43" s="168" t="s">
        <v>79</v>
      </c>
      <c r="B43" s="561"/>
      <c r="C43" s="564"/>
      <c r="D43" s="564"/>
      <c r="E43" s="571" t="s">
        <v>173</v>
      </c>
      <c r="F43" s="572" t="s">
        <v>146</v>
      </c>
      <c r="G43" s="173" t="s">
        <v>48</v>
      </c>
      <c r="H43" s="182">
        <f>VLOOKUP(A43, 'Hazard Values'!$G$6:$I$19, 3, FALSE)</f>
        <v>1</v>
      </c>
      <c r="I43" s="170" t="str">
        <f>IF(Dashboard!O22="","-",Dashboard!O22)</f>
        <v>-</v>
      </c>
      <c r="J43" s="171" t="str">
        <f t="shared" si="1"/>
        <v>-</v>
      </c>
      <c r="K43" s="171" t="str">
        <f t="shared" si="1"/>
        <v>-</v>
      </c>
      <c r="L43" s="171" t="str">
        <f t="shared" si="1"/>
        <v>-</v>
      </c>
      <c r="M43" s="172" t="str">
        <f t="shared" si="1"/>
        <v>-</v>
      </c>
      <c r="P43" s="404" t="s">
        <v>174</v>
      </c>
      <c r="Q43" s="405">
        <f>AB13</f>
        <v>6.094460218953059E-7</v>
      </c>
      <c r="R43" s="405">
        <f>AB14</f>
        <v>1.5744022232295399E-7</v>
      </c>
    </row>
    <row r="44" spans="1:18" x14ac:dyDescent="0.25">
      <c r="A44" s="168" t="s">
        <v>79</v>
      </c>
      <c r="B44" s="561"/>
      <c r="C44" s="564"/>
      <c r="D44" s="564"/>
      <c r="E44" s="566"/>
      <c r="F44" s="573"/>
      <c r="G44" s="169" t="s">
        <v>51</v>
      </c>
      <c r="H44" s="182">
        <f>VLOOKUP(A44, 'Hazard Values'!$G$6:$I$19, 3, FALSE)</f>
        <v>1</v>
      </c>
      <c r="I44" s="170" t="str">
        <f>IF(Dashboard!O23="","-",Dashboard!O23)</f>
        <v>-</v>
      </c>
      <c r="J44" s="171" t="str">
        <f t="shared" si="1"/>
        <v>-</v>
      </c>
      <c r="K44" s="171" t="str">
        <f t="shared" si="1"/>
        <v>-</v>
      </c>
      <c r="L44" s="171" t="str">
        <f t="shared" si="1"/>
        <v>-</v>
      </c>
      <c r="M44" s="172" t="str">
        <f t="shared" si="1"/>
        <v>-</v>
      </c>
    </row>
    <row r="45" spans="1:18" ht="15" customHeight="1" x14ac:dyDescent="0.25">
      <c r="A45" s="168" t="s">
        <v>87</v>
      </c>
      <c r="B45" s="561"/>
      <c r="C45" s="564"/>
      <c r="D45" s="564"/>
      <c r="E45" s="571" t="s">
        <v>154</v>
      </c>
      <c r="F45" s="572" t="s">
        <v>144</v>
      </c>
      <c r="G45" s="173" t="s">
        <v>48</v>
      </c>
      <c r="H45" s="182">
        <f>VLOOKUP(A45, 'Hazard Values'!$G$6:$I$19, 3, FALSE)</f>
        <v>30</v>
      </c>
      <c r="I45" s="170" t="str">
        <f>IF(Dashboard!O24="","-",Dashboard!O24)</f>
        <v>-</v>
      </c>
      <c r="J45" s="171" t="str">
        <f t="shared" si="1"/>
        <v>-</v>
      </c>
      <c r="K45" s="171" t="str">
        <f t="shared" si="1"/>
        <v>-</v>
      </c>
      <c r="L45" s="171" t="str">
        <f t="shared" si="1"/>
        <v>-</v>
      </c>
      <c r="M45" s="172" t="str">
        <f t="shared" si="1"/>
        <v>-</v>
      </c>
    </row>
    <row r="46" spans="1:18" x14ac:dyDescent="0.25">
      <c r="A46" s="168" t="s">
        <v>87</v>
      </c>
      <c r="B46" s="561"/>
      <c r="C46" s="564"/>
      <c r="D46" s="564"/>
      <c r="E46" s="566"/>
      <c r="F46" s="573"/>
      <c r="G46" s="169" t="s">
        <v>51</v>
      </c>
      <c r="H46" s="182">
        <f>VLOOKUP(A46, 'Hazard Values'!$G$6:$I$19, 3, FALSE)</f>
        <v>30</v>
      </c>
      <c r="I46" s="170" t="str">
        <f>IF(Dashboard!O25="","-",Dashboard!O25)</f>
        <v>-</v>
      </c>
      <c r="J46" s="171" t="str">
        <f t="shared" si="1"/>
        <v>-</v>
      </c>
      <c r="K46" s="171" t="str">
        <f t="shared" si="1"/>
        <v>-</v>
      </c>
      <c r="L46" s="171" t="str">
        <f t="shared" si="1"/>
        <v>-</v>
      </c>
      <c r="M46" s="172" t="str">
        <f t="shared" si="1"/>
        <v>-</v>
      </c>
    </row>
    <row r="47" spans="1:18" ht="15" customHeight="1" x14ac:dyDescent="0.25">
      <c r="A47" s="168" t="s">
        <v>67</v>
      </c>
      <c r="B47" s="561"/>
      <c r="C47" s="564"/>
      <c r="D47" s="564" t="s">
        <v>155</v>
      </c>
      <c r="E47" s="571" t="s">
        <v>156</v>
      </c>
      <c r="F47" s="572" t="s">
        <v>146</v>
      </c>
      <c r="G47" s="173" t="s">
        <v>48</v>
      </c>
      <c r="H47" s="182">
        <f>VLOOKUP(A47, 'Hazard Values'!$G$6:$I$19, 3, FALSE)</f>
        <v>3</v>
      </c>
      <c r="I47" s="170" t="str">
        <f>IF(Dashboard!W20="","-",Dashboard!W20)</f>
        <v>-</v>
      </c>
      <c r="J47" s="171" t="str">
        <f t="shared" si="1"/>
        <v>-</v>
      </c>
      <c r="K47" s="171" t="str">
        <f t="shared" si="1"/>
        <v>-</v>
      </c>
      <c r="L47" s="171" t="str">
        <f t="shared" si="1"/>
        <v>-</v>
      </c>
      <c r="M47" s="172" t="str">
        <f t="shared" si="1"/>
        <v>-</v>
      </c>
    </row>
    <row r="48" spans="1:18" x14ac:dyDescent="0.25">
      <c r="A48" s="168" t="s">
        <v>67</v>
      </c>
      <c r="B48" s="561"/>
      <c r="C48" s="564"/>
      <c r="D48" s="564"/>
      <c r="E48" s="566"/>
      <c r="F48" s="573"/>
      <c r="G48" s="169" t="s">
        <v>51</v>
      </c>
      <c r="H48" s="182">
        <f>VLOOKUP(A48, 'Hazard Values'!$G$6:$I$19, 3, FALSE)</f>
        <v>3</v>
      </c>
      <c r="I48" s="170" t="str">
        <f>IF(Dashboard!W21="","-",Dashboard!W21)</f>
        <v>-</v>
      </c>
      <c r="J48" s="171" t="str">
        <f t="shared" si="1"/>
        <v>-</v>
      </c>
      <c r="K48" s="171" t="str">
        <f t="shared" si="1"/>
        <v>-</v>
      </c>
      <c r="L48" s="171" t="str">
        <f t="shared" si="1"/>
        <v>-</v>
      </c>
      <c r="M48" s="172" t="str">
        <f t="shared" si="1"/>
        <v>-</v>
      </c>
    </row>
    <row r="49" spans="1:13" ht="15" customHeight="1" x14ac:dyDescent="0.25">
      <c r="A49" s="168" t="s">
        <v>81</v>
      </c>
      <c r="B49" s="561"/>
      <c r="C49" s="564"/>
      <c r="D49" s="564"/>
      <c r="E49" s="571" t="s">
        <v>157</v>
      </c>
      <c r="F49" s="572" t="s">
        <v>146</v>
      </c>
      <c r="G49" s="173" t="s">
        <v>48</v>
      </c>
      <c r="H49" s="182">
        <f>VLOOKUP(A49, 'Hazard Values'!$G$6:$I$19, 3, FALSE)</f>
        <v>1</v>
      </c>
      <c r="I49" s="170" t="str">
        <f>IF(Dashboard!W22="","-",Dashboard!W22)</f>
        <v>-</v>
      </c>
      <c r="J49" s="171" t="str">
        <f t="shared" si="1"/>
        <v>-</v>
      </c>
      <c r="K49" s="171" t="str">
        <f t="shared" si="1"/>
        <v>-</v>
      </c>
      <c r="L49" s="171" t="str">
        <f t="shared" si="1"/>
        <v>-</v>
      </c>
      <c r="M49" s="172" t="str">
        <f t="shared" si="1"/>
        <v>-</v>
      </c>
    </row>
    <row r="50" spans="1:13" x14ac:dyDescent="0.25">
      <c r="A50" s="168" t="s">
        <v>81</v>
      </c>
      <c r="B50" s="561"/>
      <c r="C50" s="564"/>
      <c r="D50" s="564"/>
      <c r="E50" s="566"/>
      <c r="F50" s="573"/>
      <c r="G50" s="169" t="s">
        <v>51</v>
      </c>
      <c r="H50" s="182">
        <f>VLOOKUP(A50, 'Hazard Values'!$G$6:$I$19, 3, FALSE)</f>
        <v>1</v>
      </c>
      <c r="I50" s="170" t="str">
        <f>IF(Dashboard!W23="","-",Dashboard!W23)</f>
        <v>-</v>
      </c>
      <c r="J50" s="171" t="str">
        <f t="shared" si="1"/>
        <v>-</v>
      </c>
      <c r="K50" s="171" t="str">
        <f t="shared" si="1"/>
        <v>-</v>
      </c>
      <c r="L50" s="171" t="str">
        <f t="shared" si="1"/>
        <v>-</v>
      </c>
      <c r="M50" s="172" t="str">
        <f t="shared" si="1"/>
        <v>-</v>
      </c>
    </row>
    <row r="51" spans="1:13" x14ac:dyDescent="0.25">
      <c r="A51" s="168" t="s">
        <v>69</v>
      </c>
      <c r="B51" s="561"/>
      <c r="C51" s="564"/>
      <c r="D51" s="564" t="s">
        <v>158</v>
      </c>
      <c r="E51" s="571" t="s">
        <v>159</v>
      </c>
      <c r="F51" s="572" t="s">
        <v>146</v>
      </c>
      <c r="G51" s="173" t="s">
        <v>48</v>
      </c>
      <c r="H51" s="182">
        <f>VLOOKUP(A51, 'Hazard Values'!$G$6:$I$19, 3, FALSE)</f>
        <v>10</v>
      </c>
      <c r="I51" s="170" t="str">
        <f>IF(Dashboard!AE20="","-",Dashboard!AE20)</f>
        <v>-</v>
      </c>
      <c r="J51" s="171" t="str">
        <f t="shared" si="1"/>
        <v>-</v>
      </c>
      <c r="K51" s="171" t="str">
        <f t="shared" si="1"/>
        <v>-</v>
      </c>
      <c r="L51" s="171" t="str">
        <f t="shared" si="1"/>
        <v>-</v>
      </c>
      <c r="M51" s="172" t="str">
        <f t="shared" si="1"/>
        <v>-</v>
      </c>
    </row>
    <row r="52" spans="1:13" x14ac:dyDescent="0.25">
      <c r="A52" s="168" t="s">
        <v>69</v>
      </c>
      <c r="B52" s="561"/>
      <c r="C52" s="564"/>
      <c r="D52" s="564"/>
      <c r="E52" s="566"/>
      <c r="F52" s="573"/>
      <c r="G52" s="169" t="s">
        <v>51</v>
      </c>
      <c r="H52" s="182">
        <f>VLOOKUP(A52, 'Hazard Values'!$G$6:$I$19, 3, FALSE)</f>
        <v>10</v>
      </c>
      <c r="I52" s="170" t="str">
        <f>IF(Dashboard!AE21="","-",Dashboard!AE21)</f>
        <v>-</v>
      </c>
      <c r="J52" s="171" t="str">
        <f t="shared" si="1"/>
        <v>-</v>
      </c>
      <c r="K52" s="171" t="str">
        <f t="shared" si="1"/>
        <v>-</v>
      </c>
      <c r="L52" s="171" t="str">
        <f t="shared" si="1"/>
        <v>-</v>
      </c>
      <c r="M52" s="172" t="str">
        <f t="shared" si="1"/>
        <v>-</v>
      </c>
    </row>
    <row r="53" spans="1:13" x14ac:dyDescent="0.25">
      <c r="A53" s="168" t="s">
        <v>83</v>
      </c>
      <c r="B53" s="561"/>
      <c r="C53" s="564"/>
      <c r="D53" s="564"/>
      <c r="E53" s="571" t="s">
        <v>175</v>
      </c>
      <c r="F53" s="572" t="s">
        <v>144</v>
      </c>
      <c r="G53" s="173" t="s">
        <v>48</v>
      </c>
      <c r="H53" s="182">
        <f>VLOOKUP(A53, 'Hazard Values'!$G$6:$I$19, 3, FALSE)</f>
        <v>30</v>
      </c>
      <c r="I53" s="170" t="str">
        <f>IF(Dashboard!AE22="","-",Dashboard!AE22)</f>
        <v>-</v>
      </c>
      <c r="J53" s="171" t="str">
        <f t="shared" si="1"/>
        <v>-</v>
      </c>
      <c r="K53" s="171" t="str">
        <f t="shared" si="1"/>
        <v>-</v>
      </c>
      <c r="L53" s="171" t="str">
        <f t="shared" si="1"/>
        <v>-</v>
      </c>
      <c r="M53" s="172" t="str">
        <f t="shared" si="1"/>
        <v>-</v>
      </c>
    </row>
    <row r="54" spans="1:13" x14ac:dyDescent="0.25">
      <c r="A54" s="168" t="s">
        <v>83</v>
      </c>
      <c r="B54" s="561"/>
      <c r="C54" s="564"/>
      <c r="D54" s="564"/>
      <c r="E54" s="566"/>
      <c r="F54" s="573"/>
      <c r="G54" s="169" t="s">
        <v>51</v>
      </c>
      <c r="H54" s="182">
        <f>VLOOKUP(A54, 'Hazard Values'!$G$6:$I$19, 3, FALSE)</f>
        <v>30</v>
      </c>
      <c r="I54" s="170" t="str">
        <f>IF(Dashboard!AE23="","-",Dashboard!AE23)</f>
        <v>-</v>
      </c>
      <c r="J54" s="171" t="str">
        <f t="shared" si="1"/>
        <v>-</v>
      </c>
      <c r="K54" s="171" t="str">
        <f t="shared" si="1"/>
        <v>-</v>
      </c>
      <c r="L54" s="171" t="str">
        <f t="shared" si="1"/>
        <v>-</v>
      </c>
      <c r="M54" s="172" t="str">
        <f t="shared" si="1"/>
        <v>-</v>
      </c>
    </row>
    <row r="55" spans="1:13" ht="15" customHeight="1" x14ac:dyDescent="0.25">
      <c r="A55" s="168" t="s">
        <v>89</v>
      </c>
      <c r="B55" s="561"/>
      <c r="C55" s="564"/>
      <c r="D55" s="564"/>
      <c r="E55" s="571" t="s">
        <v>161</v>
      </c>
      <c r="F55" s="572" t="s">
        <v>146</v>
      </c>
      <c r="G55" s="428" t="s">
        <v>48</v>
      </c>
      <c r="H55" s="182">
        <f>VLOOKUP(A55, 'Hazard Values'!$G$6:$I$19, 3, FALSE)</f>
        <v>3</v>
      </c>
      <c r="I55" s="170" t="str">
        <f>IF(Dashboard!AE24="","-",Dashboard!AE24)</f>
        <v>-</v>
      </c>
      <c r="J55" s="183" t="str">
        <f t="shared" si="1"/>
        <v>-</v>
      </c>
      <c r="K55" s="183" t="str">
        <f t="shared" si="1"/>
        <v>-</v>
      </c>
      <c r="L55" s="183" t="str">
        <f t="shared" si="1"/>
        <v>-</v>
      </c>
      <c r="M55" s="184" t="str">
        <f t="shared" si="1"/>
        <v>-</v>
      </c>
    </row>
    <row r="56" spans="1:13" x14ac:dyDescent="0.25">
      <c r="A56" s="168" t="s">
        <v>89</v>
      </c>
      <c r="B56" s="561"/>
      <c r="C56" s="564"/>
      <c r="D56" s="564"/>
      <c r="E56" s="566"/>
      <c r="F56" s="573"/>
      <c r="G56" s="169" t="s">
        <v>51</v>
      </c>
      <c r="H56" s="182">
        <f>VLOOKUP(A56, 'Hazard Values'!$G$6:$I$19, 3, FALSE)</f>
        <v>3</v>
      </c>
      <c r="I56" s="170" t="str">
        <f>IF(Dashboard!AE25="","-",Dashboard!AE25)</f>
        <v>-</v>
      </c>
      <c r="J56" s="171" t="str">
        <f t="shared" si="1"/>
        <v>-</v>
      </c>
      <c r="K56" s="171" t="str">
        <f t="shared" si="1"/>
        <v>-</v>
      </c>
      <c r="L56" s="171" t="str">
        <f t="shared" si="1"/>
        <v>-</v>
      </c>
      <c r="M56" s="172" t="str">
        <f t="shared" si="1"/>
        <v>-</v>
      </c>
    </row>
    <row r="57" spans="1:13" ht="15" customHeight="1" x14ac:dyDescent="0.25">
      <c r="A57" s="168" t="s">
        <v>95</v>
      </c>
      <c r="B57" s="561"/>
      <c r="C57" s="564"/>
      <c r="D57" s="564"/>
      <c r="E57" s="571" t="s">
        <v>162</v>
      </c>
      <c r="F57" s="572" t="s">
        <v>146</v>
      </c>
      <c r="G57" s="173" t="s">
        <v>48</v>
      </c>
      <c r="H57" s="182">
        <f>VLOOKUP(A57, 'Hazard Values'!$G$6:$I$19, 3, FALSE)</f>
        <v>1</v>
      </c>
      <c r="I57" s="170" t="str">
        <f>IF(Dashboard!AE26="","-",Dashboard!AE26)</f>
        <v>-</v>
      </c>
      <c r="J57" s="171" t="str">
        <f t="shared" si="1"/>
        <v>-</v>
      </c>
      <c r="K57" s="171" t="str">
        <f t="shared" si="1"/>
        <v>-</v>
      </c>
      <c r="L57" s="171" t="str">
        <f t="shared" si="1"/>
        <v>-</v>
      </c>
      <c r="M57" s="172" t="str">
        <f t="shared" si="1"/>
        <v>-</v>
      </c>
    </row>
    <row r="58" spans="1:13" x14ac:dyDescent="0.25">
      <c r="A58" s="168" t="s">
        <v>95</v>
      </c>
      <c r="B58" s="561"/>
      <c r="C58" s="564"/>
      <c r="D58" s="564"/>
      <c r="E58" s="566"/>
      <c r="F58" s="573"/>
      <c r="G58" s="169" t="s">
        <v>51</v>
      </c>
      <c r="H58" s="182">
        <f>VLOOKUP(A58, 'Hazard Values'!$G$6:$I$19, 3, FALSE)</f>
        <v>1</v>
      </c>
      <c r="I58" s="170" t="str">
        <f>IF(Dashboard!AE27="","-",Dashboard!AE27)</f>
        <v>-</v>
      </c>
      <c r="J58" s="171" t="str">
        <f t="shared" si="1"/>
        <v>-</v>
      </c>
      <c r="K58" s="171" t="str">
        <f t="shared" si="1"/>
        <v>-</v>
      </c>
      <c r="L58" s="171" t="str">
        <f t="shared" si="1"/>
        <v>-</v>
      </c>
      <c r="M58" s="172" t="str">
        <f t="shared" si="1"/>
        <v>-</v>
      </c>
    </row>
    <row r="59" spans="1:13" ht="15" customHeight="1" x14ac:dyDescent="0.25">
      <c r="A59" s="168" t="s">
        <v>71</v>
      </c>
      <c r="B59" s="561"/>
      <c r="C59" s="564"/>
      <c r="D59" s="564" t="s">
        <v>163</v>
      </c>
      <c r="E59" s="571" t="s">
        <v>164</v>
      </c>
      <c r="F59" s="572" t="s">
        <v>146</v>
      </c>
      <c r="G59" s="173" t="s">
        <v>48</v>
      </c>
      <c r="H59" s="182">
        <f>VLOOKUP(A59, 'Hazard Values'!$G$6:$I$19, 3, FALSE)</f>
        <v>1</v>
      </c>
      <c r="I59" s="170" t="str">
        <f>IF(Dashboard!AM20="","-",Dashboard!AM20)</f>
        <v>-</v>
      </c>
      <c r="J59" s="171" t="str">
        <f t="shared" si="1"/>
        <v>-</v>
      </c>
      <c r="K59" s="171" t="str">
        <f t="shared" si="1"/>
        <v>-</v>
      </c>
      <c r="L59" s="171" t="str">
        <f t="shared" si="1"/>
        <v>-</v>
      </c>
      <c r="M59" s="172" t="str">
        <f t="shared" si="1"/>
        <v>-</v>
      </c>
    </row>
    <row r="60" spans="1:13" x14ac:dyDescent="0.25">
      <c r="A60" s="168" t="s">
        <v>71</v>
      </c>
      <c r="B60" s="561"/>
      <c r="C60" s="564"/>
      <c r="D60" s="564"/>
      <c r="E60" s="566"/>
      <c r="F60" s="573"/>
      <c r="G60" s="169" t="s">
        <v>51</v>
      </c>
      <c r="H60" s="182">
        <f>VLOOKUP(A60, 'Hazard Values'!$G$6:$I$19, 3, FALSE)</f>
        <v>1</v>
      </c>
      <c r="I60" s="170" t="str">
        <f>IF(Dashboard!AM21="","-",Dashboard!AM21)</f>
        <v>-</v>
      </c>
      <c r="J60" s="171" t="str">
        <f t="shared" si="1"/>
        <v>-</v>
      </c>
      <c r="K60" s="171" t="str">
        <f t="shared" si="1"/>
        <v>-</v>
      </c>
      <c r="L60" s="171" t="str">
        <f t="shared" si="1"/>
        <v>-</v>
      </c>
      <c r="M60" s="172" t="str">
        <f t="shared" si="1"/>
        <v>-</v>
      </c>
    </row>
    <row r="61" spans="1:13" ht="15" customHeight="1" x14ac:dyDescent="0.25">
      <c r="A61" s="168" t="s">
        <v>99</v>
      </c>
      <c r="B61" s="561"/>
      <c r="C61" s="564"/>
      <c r="D61" s="564" t="s">
        <v>147</v>
      </c>
      <c r="E61" s="571" t="s">
        <v>165</v>
      </c>
      <c r="F61" s="572" t="s">
        <v>146</v>
      </c>
      <c r="G61" s="173" t="s">
        <v>48</v>
      </c>
      <c r="H61" s="182">
        <f>VLOOKUP(A61, 'Hazard Values'!$G$6:$I$19, 3, FALSE)</f>
        <v>10</v>
      </c>
      <c r="I61" s="170" t="str">
        <f>IF(Dashboard!G28="","-",Dashboard!G28)</f>
        <v>-</v>
      </c>
      <c r="J61" s="171" t="str">
        <f t="shared" si="1"/>
        <v>-</v>
      </c>
      <c r="K61" s="171" t="str">
        <f t="shared" si="1"/>
        <v>-</v>
      </c>
      <c r="L61" s="171" t="str">
        <f t="shared" si="1"/>
        <v>-</v>
      </c>
      <c r="M61" s="172" t="str">
        <f t="shared" si="1"/>
        <v>-</v>
      </c>
    </row>
    <row r="62" spans="1:13" x14ac:dyDescent="0.25">
      <c r="A62" s="168" t="s">
        <v>99</v>
      </c>
      <c r="B62" s="561"/>
      <c r="C62" s="564"/>
      <c r="D62" s="566"/>
      <c r="E62" s="566"/>
      <c r="F62" s="573"/>
      <c r="G62" s="169" t="s">
        <v>51</v>
      </c>
      <c r="H62" s="182">
        <f>VLOOKUP(A62, 'Hazard Values'!$G$6:$I$19, 3, FALSE)</f>
        <v>10</v>
      </c>
      <c r="I62" s="170" t="str">
        <f>IF(Dashboard!G29="","-",Dashboard!G29)</f>
        <v>-</v>
      </c>
      <c r="J62" s="171" t="str">
        <f t="shared" si="1"/>
        <v>-</v>
      </c>
      <c r="K62" s="171" t="str">
        <f t="shared" si="1"/>
        <v>-</v>
      </c>
      <c r="L62" s="171" t="str">
        <f t="shared" si="1"/>
        <v>-</v>
      </c>
      <c r="M62" s="172" t="str">
        <f t="shared" si="1"/>
        <v>-</v>
      </c>
    </row>
    <row r="63" spans="1:13" x14ac:dyDescent="0.25">
      <c r="A63" s="174" t="s">
        <v>113</v>
      </c>
      <c r="B63" s="561"/>
      <c r="C63" s="564"/>
      <c r="D63" s="567" t="s">
        <v>166</v>
      </c>
      <c r="E63" s="567" t="s">
        <v>167</v>
      </c>
      <c r="F63" s="569" t="s">
        <v>146</v>
      </c>
      <c r="G63" s="173" t="s">
        <v>48</v>
      </c>
      <c r="H63" s="185">
        <f>1/10000</f>
        <v>1E-4</v>
      </c>
      <c r="I63" s="170" t="str">
        <f>IF(Dashboard!G34="","-",Dashboard!G34)</f>
        <v>-</v>
      </c>
      <c r="J63" s="171" t="str">
        <f t="shared" si="1"/>
        <v>-</v>
      </c>
      <c r="K63" s="171" t="str">
        <f t="shared" si="1"/>
        <v>-</v>
      </c>
      <c r="L63" s="171" t="str">
        <f t="shared" si="1"/>
        <v>-</v>
      </c>
      <c r="M63" s="172" t="str">
        <f t="shared" si="1"/>
        <v>-</v>
      </c>
    </row>
    <row r="64" spans="1:13" ht="15.75" thickBot="1" x14ac:dyDescent="0.3">
      <c r="A64" s="175" t="s">
        <v>113</v>
      </c>
      <c r="B64" s="562"/>
      <c r="C64" s="565"/>
      <c r="D64" s="568"/>
      <c r="E64" s="568"/>
      <c r="F64" s="570"/>
      <c r="G64" s="176" t="s">
        <v>51</v>
      </c>
      <c r="H64" s="186">
        <f>1/10000</f>
        <v>1E-4</v>
      </c>
      <c r="I64" s="179" t="str">
        <f>IF(Dashboard!G35="","-",Dashboard!G35)</f>
        <v>-</v>
      </c>
      <c r="J64" s="177" t="str">
        <f t="shared" si="1"/>
        <v>-</v>
      </c>
      <c r="K64" s="177" t="str">
        <f t="shared" si="1"/>
        <v>-</v>
      </c>
      <c r="L64" s="177" t="str">
        <f t="shared" si="1"/>
        <v>-</v>
      </c>
      <c r="M64" s="178" t="str">
        <f t="shared" si="1"/>
        <v>-</v>
      </c>
    </row>
  </sheetData>
  <sheetProtection algorithmName="SHA-512" hashValue="TCnGb03adNB7ZUNKG1hfS9cWiCRhELIZE2etNgqZC3OZrOYNNPJyhkEuTmuaPj3ArOMdW1dd1c1fmHomlJ9pgw==" saltValue="brYLMHe1Ifte/Oh8qUd1dg==" spinCount="100000" sheet="1" objects="1" scenarios="1"/>
  <mergeCells count="91">
    <mergeCell ref="J7:M7"/>
    <mergeCell ref="E21:E22"/>
    <mergeCell ref="F21:F22"/>
    <mergeCell ref="E23:E24"/>
    <mergeCell ref="I7:I8"/>
    <mergeCell ref="E9:E10"/>
    <mergeCell ref="F9:F10"/>
    <mergeCell ref="E11:E12"/>
    <mergeCell ref="F11:F12"/>
    <mergeCell ref="E13:E14"/>
    <mergeCell ref="F13:F14"/>
    <mergeCell ref="E17:E18"/>
    <mergeCell ref="F17:F18"/>
    <mergeCell ref="E19:E20"/>
    <mergeCell ref="F19:F20"/>
    <mergeCell ref="E15:E16"/>
    <mergeCell ref="E31:E32"/>
    <mergeCell ref="F31:F32"/>
    <mergeCell ref="E33:E34"/>
    <mergeCell ref="F33:F34"/>
    <mergeCell ref="F23:F24"/>
    <mergeCell ref="E25:E26"/>
    <mergeCell ref="F25:F26"/>
    <mergeCell ref="E27:E28"/>
    <mergeCell ref="F27:F28"/>
    <mergeCell ref="E29:E30"/>
    <mergeCell ref="F29:F30"/>
    <mergeCell ref="E35:E36"/>
    <mergeCell ref="F35:F36"/>
    <mergeCell ref="B37:B64"/>
    <mergeCell ref="C37:C64"/>
    <mergeCell ref="D37:D40"/>
    <mergeCell ref="B9:B36"/>
    <mergeCell ref="C9:C36"/>
    <mergeCell ref="D9:D12"/>
    <mergeCell ref="E45:E46"/>
    <mergeCell ref="F45:F46"/>
    <mergeCell ref="E47:E48"/>
    <mergeCell ref="F47:F48"/>
    <mergeCell ref="E37:E38"/>
    <mergeCell ref="F37:F38"/>
    <mergeCell ref="E39:E40"/>
    <mergeCell ref="F39:F40"/>
    <mergeCell ref="E41:E42"/>
    <mergeCell ref="F41:F42"/>
    <mergeCell ref="F49:F50"/>
    <mergeCell ref="E51:E52"/>
    <mergeCell ref="F51:F52"/>
    <mergeCell ref="E49:E50"/>
    <mergeCell ref="E55:E56"/>
    <mergeCell ref="F55:F56"/>
    <mergeCell ref="E57:E58"/>
    <mergeCell ref="F57:F58"/>
    <mergeCell ref="E59:E60"/>
    <mergeCell ref="F59:F60"/>
    <mergeCell ref="E63:E64"/>
    <mergeCell ref="D61:D62"/>
    <mergeCell ref="D59:D60"/>
    <mergeCell ref="E61:E62"/>
    <mergeCell ref="F61:F62"/>
    <mergeCell ref="F15:F16"/>
    <mergeCell ref="F63:F64"/>
    <mergeCell ref="E43:E44"/>
    <mergeCell ref="F43:F44"/>
    <mergeCell ref="D13:D18"/>
    <mergeCell ref="D19:D22"/>
    <mergeCell ref="D23:D30"/>
    <mergeCell ref="D41:D46"/>
    <mergeCell ref="D47:D50"/>
    <mergeCell ref="D31:D32"/>
    <mergeCell ref="D35:D36"/>
    <mergeCell ref="D33:D34"/>
    <mergeCell ref="E53:E54"/>
    <mergeCell ref="F53:F54"/>
    <mergeCell ref="D51:D58"/>
    <mergeCell ref="D63:D64"/>
    <mergeCell ref="X7:AB7"/>
    <mergeCell ref="V9:V10"/>
    <mergeCell ref="V11:V12"/>
    <mergeCell ref="V13:V14"/>
    <mergeCell ref="P9:P14"/>
    <mergeCell ref="Q9:Q14"/>
    <mergeCell ref="R9:R10"/>
    <mergeCell ref="R11:R12"/>
    <mergeCell ref="S13:S14"/>
    <mergeCell ref="T13:T14"/>
    <mergeCell ref="R13:R14"/>
    <mergeCell ref="S11:S12"/>
    <mergeCell ref="T11:T12"/>
    <mergeCell ref="S9:S10"/>
    <mergeCell ref="T9:T10"/>
  </mergeCells>
  <conditionalFormatting sqref="I9:M64">
    <cfRule type="cellIs" dxfId="12" priority="82" operator="equal">
      <formula>"-"</formula>
    </cfRule>
  </conditionalFormatting>
  <conditionalFormatting sqref="I35:M36 I63:M64">
    <cfRule type="cellIs" dxfId="11" priority="93" operator="greaterThan">
      <formula>$H35</formula>
    </cfRule>
    <cfRule type="cellIs" dxfId="10" priority="94" operator="lessThan">
      <formula>$H35</formula>
    </cfRule>
  </conditionalFormatting>
  <conditionalFormatting sqref="I9:M34 I37:M62">
    <cfRule type="cellIs" dxfId="9" priority="91" operator="lessThan">
      <formula>$H9</formula>
    </cfRule>
    <cfRule type="cellIs" dxfId="8" priority="92" operator="greaterThan">
      <formula>$H9</formula>
    </cfRule>
  </conditionalFormatting>
  <conditionalFormatting sqref="X9:AB10">
    <cfRule type="cellIs" dxfId="7" priority="5" operator="lessThan">
      <formula>$W9</formula>
    </cfRule>
    <cfRule type="cellIs" dxfId="6" priority="6" operator="greaterThanOrEqual">
      <formula>$W9</formula>
    </cfRule>
  </conditionalFormatting>
  <conditionalFormatting sqref="X11:AB12">
    <cfRule type="cellIs" dxfId="5" priority="3" operator="lessThan">
      <formula>$W11</formula>
    </cfRule>
    <cfRule type="cellIs" dxfId="4" priority="4" operator="greaterThanOrEqual">
      <formula>$W11</formula>
    </cfRule>
  </conditionalFormatting>
  <conditionalFormatting sqref="X13:AB14">
    <cfRule type="cellIs" dxfId="3" priority="1" operator="greaterThan">
      <formula>$W13</formula>
    </cfRule>
    <cfRule type="cellIs" dxfId="2" priority="2" operator="lessThanOrEqual">
      <formula>$W13</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BF6E6-9BF4-4F0E-90C8-9B1FC2ACFEB8}">
  <sheetPr>
    <tabColor theme="1"/>
  </sheetPr>
  <dimension ref="A1:R29"/>
  <sheetViews>
    <sheetView workbookViewId="0">
      <selection sqref="A1:XFD1048576"/>
    </sheetView>
  </sheetViews>
  <sheetFormatPr defaultRowHeight="15" x14ac:dyDescent="0.25"/>
  <cols>
    <col min="1" max="1" width="32" style="261" customWidth="1"/>
    <col min="2" max="2" width="18.7109375" style="261" bestFit="1" customWidth="1"/>
    <col min="3" max="3" width="22.42578125" style="261" bestFit="1" customWidth="1"/>
    <col min="4" max="4" width="28.42578125" bestFit="1" customWidth="1"/>
    <col min="5" max="5" width="3.42578125" style="383" bestFit="1" customWidth="1"/>
    <col min="6" max="6" width="11.5703125" customWidth="1"/>
    <col min="7" max="7" width="7" customWidth="1"/>
    <col min="8" max="8" width="8.5703125" bestFit="1" customWidth="1"/>
    <col min="9" max="9" width="17.5703125" customWidth="1"/>
    <col min="10" max="10" width="18.42578125" customWidth="1"/>
    <col min="11" max="11" width="19" customWidth="1"/>
    <col min="12" max="12" width="13.5703125" customWidth="1"/>
    <col min="13" max="13" width="11.5703125" customWidth="1"/>
    <col min="14" max="14" width="20.5703125" customWidth="1"/>
    <col min="15" max="15" width="23" customWidth="1"/>
    <col min="16" max="16" width="24" style="261" customWidth="1"/>
    <col min="17" max="17" width="26" style="261" customWidth="1"/>
    <col min="18" max="18" width="26.28515625" style="261" customWidth="1"/>
  </cols>
  <sheetData>
    <row r="1" spans="1:18" ht="15.75" thickBot="1" x14ac:dyDescent="0.3">
      <c r="A1" s="585"/>
      <c r="B1" s="585"/>
      <c r="C1" s="585"/>
      <c r="D1" s="585"/>
      <c r="E1" s="585"/>
      <c r="F1" s="585"/>
      <c r="G1" s="585"/>
      <c r="H1" s="586" t="s">
        <v>213</v>
      </c>
      <c r="I1" s="587"/>
      <c r="J1" s="587"/>
      <c r="K1" s="587"/>
      <c r="L1" s="587"/>
      <c r="M1" s="587"/>
      <c r="N1" s="587"/>
      <c r="O1" s="588" t="s">
        <v>214</v>
      </c>
      <c r="P1" s="589"/>
      <c r="Q1" s="589"/>
      <c r="R1" s="590"/>
    </row>
    <row r="2" spans="1:18" x14ac:dyDescent="0.25">
      <c r="A2" s="222"/>
      <c r="B2" s="223"/>
      <c r="C2" s="224"/>
      <c r="D2" s="591" t="s">
        <v>215</v>
      </c>
      <c r="E2" s="429"/>
      <c r="F2" s="591" t="s">
        <v>22</v>
      </c>
      <c r="G2" s="365"/>
      <c r="H2" s="593" t="s">
        <v>216</v>
      </c>
      <c r="I2" s="596" t="s">
        <v>217</v>
      </c>
      <c r="J2" s="598" t="s">
        <v>218</v>
      </c>
      <c r="K2" s="598" t="s">
        <v>219</v>
      </c>
      <c r="L2" s="601" t="s">
        <v>220</v>
      </c>
      <c r="M2" s="601" t="s">
        <v>221</v>
      </c>
      <c r="N2" s="598" t="s">
        <v>222</v>
      </c>
      <c r="O2" s="604" t="s">
        <v>31</v>
      </c>
      <c r="P2" s="581" t="s">
        <v>32</v>
      </c>
      <c r="Q2" s="581" t="s">
        <v>33</v>
      </c>
      <c r="R2" s="583" t="s">
        <v>34</v>
      </c>
    </row>
    <row r="3" spans="1:18" x14ac:dyDescent="0.25">
      <c r="A3" s="225"/>
      <c r="B3" s="226"/>
      <c r="C3" s="227"/>
      <c r="D3" s="592"/>
      <c r="E3" s="430" t="s">
        <v>176</v>
      </c>
      <c r="F3" s="592"/>
      <c r="G3" s="366"/>
      <c r="H3" s="594"/>
      <c r="I3" s="592"/>
      <c r="J3" s="599"/>
      <c r="K3" s="599"/>
      <c r="L3" s="602"/>
      <c r="M3" s="602"/>
      <c r="N3" s="599"/>
      <c r="O3" s="605"/>
      <c r="P3" s="582"/>
      <c r="Q3" s="582"/>
      <c r="R3" s="584"/>
    </row>
    <row r="4" spans="1:18" ht="18.75" thickBot="1" x14ac:dyDescent="0.3">
      <c r="A4" s="228" t="s">
        <v>203</v>
      </c>
      <c r="B4" s="229" t="s">
        <v>366</v>
      </c>
      <c r="C4" s="230" t="s">
        <v>132</v>
      </c>
      <c r="D4" s="592"/>
      <c r="E4" s="430"/>
      <c r="F4" s="592"/>
      <c r="G4" s="354" t="s">
        <v>204</v>
      </c>
      <c r="H4" s="595"/>
      <c r="I4" s="597"/>
      <c r="J4" s="600"/>
      <c r="K4" s="600"/>
      <c r="L4" s="603"/>
      <c r="M4" s="603"/>
      <c r="N4" s="600"/>
      <c r="O4" s="379" t="s">
        <v>223</v>
      </c>
      <c r="P4" s="231" t="s">
        <v>224</v>
      </c>
      <c r="Q4" s="231" t="s">
        <v>225</v>
      </c>
      <c r="R4" s="232" t="s">
        <v>225</v>
      </c>
    </row>
    <row r="5" spans="1:18" x14ac:dyDescent="0.25">
      <c r="A5" s="233" t="str">
        <f>Dashboard!$C$4</f>
        <v>Manufacturing</v>
      </c>
      <c r="B5" s="234" t="str">
        <f>VLOOKUP($A5,'Dermal Crosswalk'!$A$3:$G$31,2,FALSE)</f>
        <v>Manufacturing</v>
      </c>
      <c r="C5" s="234" t="str">
        <f>Dashboard!$AP$4</f>
        <v>Average Adult Worker</v>
      </c>
      <c r="D5" s="234" t="s">
        <v>106</v>
      </c>
      <c r="E5" s="238">
        <v>1</v>
      </c>
      <c r="F5" s="234" t="s">
        <v>48</v>
      </c>
      <c r="G5" s="367">
        <f>VLOOKUP($A5,'Dermal Crosswalk'!$A$3:$G$31,3,FALSE)</f>
        <v>1</v>
      </c>
      <c r="H5" s="370">
        <f>VLOOKUP($A5,'Dermal Crosswalk'!$A$3:$G$31,4,FALSE)</f>
        <v>1</v>
      </c>
      <c r="I5" s="236">
        <f>IF($D5="No Gloves",VLOOKUP($A5,'Dermal Crosswalk'!$A$3:$G$31,6,FALSE),VLOOKUP($A5,'Dermal Crosswalk'!$A$3:$G$31,7,FALSE))</f>
        <v>8.0226695303333664E-2</v>
      </c>
      <c r="J5" s="235">
        <f>VLOOKUP(A5,'Exposure Results'!$B$5:$F$54,MATCH($F5,'Exposure Results'!$E$4:$F$4,0)+3,FALSE)</f>
        <v>350</v>
      </c>
      <c r="K5" s="235">
        <v>1</v>
      </c>
      <c r="L5" s="237">
        <f>HLOOKUP($C5,'Exposure Factors'!$C$3:$D$8,3,FALSE)</f>
        <v>1070</v>
      </c>
      <c r="M5" s="235">
        <f>HLOOKUP($C5,'Exposure Factors'!$C$3:$D$8,2,FALSE)</f>
        <v>80</v>
      </c>
      <c r="N5" s="374">
        <v>2.1</v>
      </c>
      <c r="O5" s="380">
        <f>IFERROR(L5*N5*I5*H5*K5,"Not Assessed")</f>
        <v>180.26938434659075</v>
      </c>
      <c r="P5" s="239">
        <f>IFERROR($O5/M5,"Not Assessed")</f>
        <v>2.2533673043323845</v>
      </c>
      <c r="Q5" s="240">
        <f>IFERROR($P5*$J5*HLOOKUP($C5,'Exposure Factors'!$C$3:$D$8,MATCH($F5,'Exposure Factors'!$E$6:$E$7,0)+3,FALSE)/(365*HLOOKUP($C5,'Exposure Factors'!$C$3:$D$8,MATCH($F5,'Exposure Factors'!$E$6:$E$7,0)+3,FALSE)),"Not Assessed")</f>
        <v>2.160763168537903</v>
      </c>
      <c r="R5" s="241">
        <f>IFERROR($P5*$J5*HLOOKUP($C5,'Exposure Factors'!$C$3:$D$8,MATCH($F5,'Exposure Factors'!$E$6:$E$7,0)+3,FALSE)/(365*HLOOKUP($C5,'Exposure Factors'!$C$3:$D$8,6,FALSE)),"Not Assessed")</f>
        <v>1.1080836761732835</v>
      </c>
    </row>
    <row r="6" spans="1:18" ht="30" x14ac:dyDescent="0.25">
      <c r="A6" s="242" t="str">
        <f>Dashboard!$C$4</f>
        <v>Manufacturing</v>
      </c>
      <c r="B6" s="243" t="str">
        <f>VLOOKUP($A6,'Dermal Crosswalk'!$A$3:$G$31,2,FALSE)</f>
        <v>Manufacturing</v>
      </c>
      <c r="C6" s="243" t="str">
        <f>Dashboard!$AP$4</f>
        <v>Average Adult Worker</v>
      </c>
      <c r="D6" s="243" t="s">
        <v>106</v>
      </c>
      <c r="E6" s="247">
        <v>1</v>
      </c>
      <c r="F6" s="243" t="s">
        <v>51</v>
      </c>
      <c r="G6" s="368">
        <f>VLOOKUP($A6,'Dermal Crosswalk'!$A$3:$G$31,3,FALSE)</f>
        <v>1</v>
      </c>
      <c r="H6" s="371">
        <f>VLOOKUP($A6,'Dermal Crosswalk'!$A$3:$G$31,4,FALSE)</f>
        <v>1</v>
      </c>
      <c r="I6" s="245">
        <f>IF($D6="No Gloves",VLOOKUP($A6,'Dermal Crosswalk'!$A$3:$G$31,6,FALSE),VLOOKUP($A6,'Dermal Crosswalk'!$A$3:$G$31,7,FALSE))</f>
        <v>8.0226695303333664E-2</v>
      </c>
      <c r="J6" s="244">
        <f>VLOOKUP(A6,'Exposure Results'!$B$5:$F$54,MATCH($F6,'Exposure Results'!$E$4:$F$4,0)+3,FALSE)</f>
        <v>350</v>
      </c>
      <c r="K6" s="244">
        <v>1</v>
      </c>
      <c r="L6" s="456">
        <f>HLOOKUP($C6,'Exposure Factors'!$C$3:$D$8,3,FALSE)/2</f>
        <v>535</v>
      </c>
      <c r="M6" s="244">
        <f>HLOOKUP($C6,'Exposure Factors'!$C$3:$D$8,2,FALSE)</f>
        <v>80</v>
      </c>
      <c r="N6" s="375">
        <v>1.4</v>
      </c>
      <c r="O6" s="381">
        <f>IFERROR(L6*N6*I6*H6*K6,"Not Assessed")</f>
        <v>60.089794782196911</v>
      </c>
      <c r="P6" s="248">
        <f>IFERROR($O6/M6,"Not Assessed")</f>
        <v>0.75112243477746143</v>
      </c>
      <c r="Q6" s="249">
        <f>IFERROR($P6*$J6*HLOOKUP($C6,'Exposure Factors'!$C$3:$D$8,MATCH($F6,'Exposure Factors'!$E$6:$E$7,0)+3,FALSE)/(365*HLOOKUP($C6,'Exposure Factors'!$C$3:$D$8,MATCH($F6,'Exposure Factors'!$E$6:$E$7,0)+3,FALSE)),"Not Assessed")</f>
        <v>0.7202543895126341</v>
      </c>
      <c r="R6" s="250">
        <f>IFERROR($P6*$J6*HLOOKUP($C6,'Exposure Factors'!$C$3:$D$8,MATCH($F6,'Exposure Factors'!$E$6:$E$7,0)+3,FALSE)/(365*HLOOKUP($C6,'Exposure Factors'!$C$3:$D$8,6,FALSE)),"Not Assessed")</f>
        <v>0.28625494967809817</v>
      </c>
    </row>
    <row r="7" spans="1:18" ht="30" x14ac:dyDescent="0.25">
      <c r="A7" s="242" t="str">
        <f>Dashboard!$C$4</f>
        <v>Manufacturing</v>
      </c>
      <c r="B7" s="243" t="str">
        <f>VLOOKUP($A7,'Dermal Crosswalk'!$A$3:$G$31,2,FALSE)</f>
        <v>Manufacturing</v>
      </c>
      <c r="C7" s="243" t="str">
        <f>Dashboard!$AP$4</f>
        <v>Average Adult Worker</v>
      </c>
      <c r="D7" s="243" t="s">
        <v>226</v>
      </c>
      <c r="E7" s="247">
        <v>5</v>
      </c>
      <c r="F7" s="243" t="s">
        <v>51</v>
      </c>
      <c r="G7" s="368">
        <f>VLOOKUP($A7,'Dermal Crosswalk'!$A$3:$G$31,3,FALSE)</f>
        <v>1</v>
      </c>
      <c r="H7" s="371">
        <f>VLOOKUP($A7,'Dermal Crosswalk'!$A$3:$G$31,4,FALSE)</f>
        <v>1</v>
      </c>
      <c r="I7" s="245"/>
      <c r="J7" s="244"/>
      <c r="K7" s="244"/>
      <c r="L7" s="246"/>
      <c r="M7" s="244"/>
      <c r="N7" s="376"/>
      <c r="O7" s="381">
        <f>O$5/$E7</f>
        <v>36.053876869318152</v>
      </c>
      <c r="P7" s="248">
        <f t="shared" ref="P7:R11" si="0">P$5/$E7</f>
        <v>0.45067346086647692</v>
      </c>
      <c r="Q7" s="248">
        <f t="shared" si="0"/>
        <v>0.43215263370758061</v>
      </c>
      <c r="R7" s="372">
        <f t="shared" si="0"/>
        <v>0.22161673523465669</v>
      </c>
    </row>
    <row r="8" spans="1:18" ht="30" x14ac:dyDescent="0.25">
      <c r="A8" s="242" t="str">
        <f>Dashboard!$C$4</f>
        <v>Manufacturing</v>
      </c>
      <c r="B8" s="243" t="str">
        <f>VLOOKUP($A8,'Dermal Crosswalk'!$A$3:$G$31,2,FALSE)</f>
        <v>Manufacturing</v>
      </c>
      <c r="C8" s="243" t="str">
        <f>Dashboard!$AP$4</f>
        <v>Average Adult Worker</v>
      </c>
      <c r="D8" s="243" t="s">
        <v>226</v>
      </c>
      <c r="E8" s="247">
        <v>5</v>
      </c>
      <c r="F8" s="243" t="s">
        <v>51</v>
      </c>
      <c r="G8" s="368">
        <f>VLOOKUP($A8,'Dermal Crosswalk'!$A$3:$G$31,3,FALSE)</f>
        <v>1</v>
      </c>
      <c r="H8" s="371">
        <f>VLOOKUP($A8,'Dermal Crosswalk'!$A$3:$G$31,4,FALSE)</f>
        <v>1</v>
      </c>
      <c r="I8" s="245"/>
      <c r="J8" s="244"/>
      <c r="K8" s="244"/>
      <c r="L8" s="246"/>
      <c r="M8" s="244"/>
      <c r="N8" s="376"/>
      <c r="O8" s="381">
        <f>O$6/$E8</f>
        <v>12.017958956439383</v>
      </c>
      <c r="P8" s="248">
        <f t="shared" ref="P8:R12" si="1">P$6/$E8</f>
        <v>0.15022448695549229</v>
      </c>
      <c r="Q8" s="248">
        <f t="shared" si="1"/>
        <v>0.14405087790252682</v>
      </c>
      <c r="R8" s="372">
        <f t="shared" si="1"/>
        <v>5.7250989935619633E-2</v>
      </c>
    </row>
    <row r="9" spans="1:18" ht="30" x14ac:dyDescent="0.25">
      <c r="A9" s="242" t="str">
        <f>Dashboard!$C$4</f>
        <v>Manufacturing</v>
      </c>
      <c r="B9" s="243" t="str">
        <f>VLOOKUP($A9,'Dermal Crosswalk'!$A$3:$G$31,2,FALSE)</f>
        <v>Manufacturing</v>
      </c>
      <c r="C9" s="243" t="str">
        <f>Dashboard!$AP$4</f>
        <v>Average Adult Worker</v>
      </c>
      <c r="D9" s="243" t="s">
        <v>227</v>
      </c>
      <c r="E9" s="247">
        <v>10</v>
      </c>
      <c r="F9" s="243" t="s">
        <v>51</v>
      </c>
      <c r="G9" s="368">
        <f>VLOOKUP($A9,'Dermal Crosswalk'!$A$3:$G$31,3,FALSE)</f>
        <v>1</v>
      </c>
      <c r="H9" s="371">
        <f>VLOOKUP($A9,'Dermal Crosswalk'!$A$3:$G$31,4,FALSE)</f>
        <v>1</v>
      </c>
      <c r="I9" s="245"/>
      <c r="J9" s="244"/>
      <c r="K9" s="244"/>
      <c r="L9" s="246"/>
      <c r="M9" s="244"/>
      <c r="N9" s="376"/>
      <c r="O9" s="381">
        <f>O$5/$E9</f>
        <v>18.026938434659076</v>
      </c>
      <c r="P9" s="248">
        <f t="shared" si="0"/>
        <v>0.22533673043323846</v>
      </c>
      <c r="Q9" s="248">
        <f t="shared" si="0"/>
        <v>0.21607631685379031</v>
      </c>
      <c r="R9" s="372">
        <f t="shared" si="0"/>
        <v>0.11080836761732835</v>
      </c>
    </row>
    <row r="10" spans="1:18" ht="30" x14ac:dyDescent="0.25">
      <c r="A10" s="242" t="str">
        <f>Dashboard!$C$4</f>
        <v>Manufacturing</v>
      </c>
      <c r="B10" s="243" t="str">
        <f>VLOOKUP($A10,'Dermal Crosswalk'!$A$3:$G$31,2,FALSE)</f>
        <v>Manufacturing</v>
      </c>
      <c r="C10" s="243" t="str">
        <f>Dashboard!$AP$4</f>
        <v>Average Adult Worker</v>
      </c>
      <c r="D10" s="243" t="s">
        <v>227</v>
      </c>
      <c r="E10" s="247">
        <v>10</v>
      </c>
      <c r="F10" s="243" t="s">
        <v>51</v>
      </c>
      <c r="G10" s="368">
        <f>VLOOKUP($A10,'Dermal Crosswalk'!$A$3:$G$31,3,FALSE)</f>
        <v>1</v>
      </c>
      <c r="H10" s="371">
        <f>VLOOKUP($A10,'Dermal Crosswalk'!$A$3:$G$31,4,FALSE)</f>
        <v>1</v>
      </c>
      <c r="I10" s="245"/>
      <c r="J10" s="244"/>
      <c r="K10" s="244"/>
      <c r="L10" s="246"/>
      <c r="M10" s="244"/>
      <c r="N10" s="376"/>
      <c r="O10" s="381">
        <f>O$6/$E10</f>
        <v>6.0089794782196915</v>
      </c>
      <c r="P10" s="248">
        <f t="shared" si="1"/>
        <v>7.5112243477746143E-2</v>
      </c>
      <c r="Q10" s="248">
        <f t="shared" si="1"/>
        <v>7.2025438951263412E-2</v>
      </c>
      <c r="R10" s="372">
        <f t="shared" si="1"/>
        <v>2.8625494967809816E-2</v>
      </c>
    </row>
    <row r="11" spans="1:18" ht="30" x14ac:dyDescent="0.25">
      <c r="A11" s="242" t="str">
        <f>Dashboard!$C$4</f>
        <v>Manufacturing</v>
      </c>
      <c r="B11" s="243" t="str">
        <f>VLOOKUP($A11,'Dermal Crosswalk'!$A$3:$G$31,2,FALSE)</f>
        <v>Manufacturing</v>
      </c>
      <c r="C11" s="243" t="str">
        <f>Dashboard!$AP$4</f>
        <v>Average Adult Worker</v>
      </c>
      <c r="D11" s="243" t="s">
        <v>228</v>
      </c>
      <c r="E11" s="247">
        <v>20</v>
      </c>
      <c r="F11" s="243" t="s">
        <v>51</v>
      </c>
      <c r="G11" s="368">
        <f>VLOOKUP($A11,'Dermal Crosswalk'!$A$3:$G$31,3,FALSE)</f>
        <v>1</v>
      </c>
      <c r="H11" s="371">
        <f>VLOOKUP($A11,'Dermal Crosswalk'!$A$3:$G$31,4,FALSE)</f>
        <v>1</v>
      </c>
      <c r="I11" s="245"/>
      <c r="J11" s="244"/>
      <c r="K11" s="244"/>
      <c r="L11" s="246"/>
      <c r="M11" s="244"/>
      <c r="N11" s="377"/>
      <c r="O11" s="381">
        <f>O$5/$E11</f>
        <v>9.0134692173295381</v>
      </c>
      <c r="P11" s="248">
        <f t="shared" si="0"/>
        <v>0.11266836521661923</v>
      </c>
      <c r="Q11" s="248">
        <f t="shared" si="0"/>
        <v>0.10803815842689515</v>
      </c>
      <c r="R11" s="372">
        <f t="shared" si="0"/>
        <v>5.5404183808664173E-2</v>
      </c>
    </row>
    <row r="12" spans="1:18" ht="30" x14ac:dyDescent="0.25">
      <c r="A12" s="242" t="str">
        <f>Dashboard!$C$4</f>
        <v>Manufacturing</v>
      </c>
      <c r="B12" s="243" t="str">
        <f>VLOOKUP($A12,'Dermal Crosswalk'!$A$3:$G$31,2,FALSE)</f>
        <v>Manufacturing</v>
      </c>
      <c r="C12" s="243" t="str">
        <f>Dashboard!$AP$4</f>
        <v>Average Adult Worker</v>
      </c>
      <c r="D12" s="243" t="s">
        <v>228</v>
      </c>
      <c r="E12" s="247">
        <v>20</v>
      </c>
      <c r="F12" s="243" t="s">
        <v>51</v>
      </c>
      <c r="G12" s="368">
        <f>VLOOKUP($A12,'Dermal Crosswalk'!$A$3:$G$31,3,FALSE)</f>
        <v>1</v>
      </c>
      <c r="H12" s="371">
        <f>VLOOKUP($A12,'Dermal Crosswalk'!$A$3:$G$31,4,FALSE)</f>
        <v>1</v>
      </c>
      <c r="I12" s="245"/>
      <c r="J12" s="244"/>
      <c r="K12" s="244"/>
      <c r="L12" s="246"/>
      <c r="M12" s="244"/>
      <c r="N12" s="376"/>
      <c r="O12" s="381">
        <f>O$6/$E12</f>
        <v>3.0044897391098457</v>
      </c>
      <c r="P12" s="248">
        <f t="shared" si="1"/>
        <v>3.7556121738873072E-2</v>
      </c>
      <c r="Q12" s="248">
        <f t="shared" si="1"/>
        <v>3.6012719475631706E-2</v>
      </c>
      <c r="R12" s="372">
        <f t="shared" si="1"/>
        <v>1.4312747483904908E-2</v>
      </c>
    </row>
    <row r="13" spans="1:18" x14ac:dyDescent="0.25">
      <c r="A13" s="242" t="str">
        <f>Dashboard!$C$4</f>
        <v>Manufacturing</v>
      </c>
      <c r="B13" s="243" t="str">
        <f>VLOOKUP($A13,'Dermal Crosswalk'!$A$3:$G$31,2,FALSE)</f>
        <v>Manufacturing</v>
      </c>
      <c r="C13" s="243" t="str">
        <f>Dashboard!$AP$4</f>
        <v>Average Adult Worker</v>
      </c>
      <c r="D13" s="243" t="s">
        <v>107</v>
      </c>
      <c r="E13" s="247">
        <v>1</v>
      </c>
      <c r="F13" s="243" t="s">
        <v>48</v>
      </c>
      <c r="G13" s="368">
        <f>VLOOKUP($A13,'Dermal Crosswalk'!$A$3:$G$31,3,FALSE)</f>
        <v>1</v>
      </c>
      <c r="H13" s="371">
        <f>VLOOKUP($A13,'Dermal Crosswalk'!$A$3:$G$31,4,FALSE)</f>
        <v>1</v>
      </c>
      <c r="I13" s="245" t="str">
        <f>IF($D13="No Gloves",VLOOKUP($A13,'Dermal Crosswalk'!$A$3:$G$31,6,FALSE),VLOOKUP($A13,'Dermal Crosswalk'!$A$3:$G$31,7,FALSE))</f>
        <v>N/A</v>
      </c>
      <c r="J13" s="244">
        <f>VLOOKUP(A13,'Exposure Results'!$B$5:$F$54,MATCH($F13,'Exposure Results'!$E$4:$F$4,0)+3,FALSE)</f>
        <v>350</v>
      </c>
      <c r="K13" s="244">
        <v>1</v>
      </c>
      <c r="L13" s="246">
        <f>HLOOKUP($C13,'Exposure Factors'!$C$3:$D$8,3,FALSE)</f>
        <v>1070</v>
      </c>
      <c r="M13" s="244">
        <f>HLOOKUP($C13,'Exposure Factors'!$C$3:$D$8,2,FALSE)</f>
        <v>80</v>
      </c>
      <c r="N13" s="376">
        <v>2.1</v>
      </c>
      <c r="O13" s="381" t="str">
        <f>IFERROR(L13*N13*I13*H13*K13,"Not Assessed")</f>
        <v>Not Assessed</v>
      </c>
      <c r="P13" s="248" t="str">
        <f>IFERROR($O13/M13,"Not Assessed")</f>
        <v>Not Assessed</v>
      </c>
      <c r="Q13" s="251" t="str">
        <f>IFERROR($P13*$J13*HLOOKUP($C13,'Exposure Factors'!$C$3:$D$8,MATCH($F13,'Exposure Factors'!$E$6:$E$7,0)+3,FALSE)/(365*HLOOKUP($C13,'Exposure Factors'!$C$3:$D$8,MATCH($F13,'Exposure Factors'!$E$6:$E$7,0)+3,FALSE)),"Not Assessed")</f>
        <v>Not Assessed</v>
      </c>
      <c r="R13" s="250" t="str">
        <f>IFERROR($P13*$J13*HLOOKUP($C13,'Exposure Factors'!$C$3:$D$8,MATCH($F13,'Exposure Factors'!$E$6:$E$7,0)+3,FALSE)/(365*HLOOKUP($C13,'Exposure Factors'!$C$3:$D$8,6,FALSE)),"Not Assessed")</f>
        <v>Not Assessed</v>
      </c>
    </row>
    <row r="14" spans="1:18" ht="30.75" thickBot="1" x14ac:dyDescent="0.3">
      <c r="A14" s="252" t="str">
        <f>Dashboard!$C$4</f>
        <v>Manufacturing</v>
      </c>
      <c r="B14" s="253" t="str">
        <f>VLOOKUP($A14,'Dermal Crosswalk'!$A$3:$G$31,2,FALSE)</f>
        <v>Manufacturing</v>
      </c>
      <c r="C14" s="253" t="str">
        <f>Dashboard!$AP$4</f>
        <v>Average Adult Worker</v>
      </c>
      <c r="D14" s="253" t="s">
        <v>107</v>
      </c>
      <c r="E14" s="257">
        <v>1</v>
      </c>
      <c r="F14" s="253" t="s">
        <v>51</v>
      </c>
      <c r="G14" s="369">
        <f>VLOOKUP($A14,'Dermal Crosswalk'!$A$3:$G$31,3,FALSE)</f>
        <v>1</v>
      </c>
      <c r="H14" s="373">
        <f>VLOOKUP($A14,'Dermal Crosswalk'!$A$3:$G$31,4,FALSE)</f>
        <v>1</v>
      </c>
      <c r="I14" s="255" t="str">
        <f>IF($D14="No Gloves",VLOOKUP($A14,'Dermal Crosswalk'!$A$3:$G$31,6,FALSE),VLOOKUP($A14,'Dermal Crosswalk'!$A$3:$G$31,7,FALSE))</f>
        <v>N/A</v>
      </c>
      <c r="J14" s="254">
        <f>VLOOKUP(A14,'Exposure Results'!$B$5:$F$54,MATCH($F14,'Exposure Results'!$E$4:$F$4,0)+3,FALSE)</f>
        <v>350</v>
      </c>
      <c r="K14" s="254">
        <v>1</v>
      </c>
      <c r="L14" s="256">
        <f>HLOOKUP($C14,'Exposure Factors'!$C$3:$D$8,3,FALSE)/2</f>
        <v>535</v>
      </c>
      <c r="M14" s="254">
        <f>HLOOKUP($C14,'Exposure Factors'!$C$3:$D$8,2,FALSE)</f>
        <v>80</v>
      </c>
      <c r="N14" s="378">
        <v>1.4</v>
      </c>
      <c r="O14" s="382" t="str">
        <f>IFERROR(L14*N14*I14*H14*K14,"Not Assessed")</f>
        <v>Not Assessed</v>
      </c>
      <c r="P14" s="258" t="str">
        <f>IFERROR($O14/M14,"Not Assessed")</f>
        <v>Not Assessed</v>
      </c>
      <c r="Q14" s="259" t="str">
        <f>IFERROR($P14*$J14*HLOOKUP($C14,'Exposure Factors'!$C$3:$D$8,MATCH($F14,'Exposure Factors'!$E$6:$E$7,0)+3,FALSE)/(365*HLOOKUP($C14,'Exposure Factors'!$C$3:$D$8,MATCH($F14,'Exposure Factors'!$E$6:$E$7,0)+3,FALSE)),"Not Assessed")</f>
        <v>Not Assessed</v>
      </c>
      <c r="R14" s="260" t="str">
        <f>IFERROR($P14*$J14*HLOOKUP($C14,'Exposure Factors'!$C$3:$D$8,MATCH($F14,'Exposure Factors'!$E$6:$E$7,0)+3,FALSE)/(365*HLOOKUP($C14,'Exposure Factors'!$C$3:$D$8,6,FALSE)),"Not Assessed")</f>
        <v>Not Assessed</v>
      </c>
    </row>
    <row r="15" spans="1:18" x14ac:dyDescent="0.25">
      <c r="O15" s="261"/>
      <c r="R15"/>
    </row>
    <row r="16" spans="1:18" x14ac:dyDescent="0.25">
      <c r="O16" s="261"/>
      <c r="R16"/>
    </row>
    <row r="17" spans="15:18" x14ac:dyDescent="0.25">
      <c r="O17" s="261"/>
      <c r="R17"/>
    </row>
    <row r="18" spans="15:18" x14ac:dyDescent="0.25">
      <c r="O18" s="261"/>
      <c r="R18"/>
    </row>
    <row r="19" spans="15:18" x14ac:dyDescent="0.25">
      <c r="O19" s="261"/>
      <c r="R19"/>
    </row>
    <row r="20" spans="15:18" x14ac:dyDescent="0.25">
      <c r="O20" s="261"/>
      <c r="R20"/>
    </row>
    <row r="21" spans="15:18" x14ac:dyDescent="0.25">
      <c r="O21" s="261"/>
      <c r="R21"/>
    </row>
    <row r="22" spans="15:18" x14ac:dyDescent="0.25">
      <c r="O22" s="261"/>
      <c r="R22"/>
    </row>
    <row r="23" spans="15:18" x14ac:dyDescent="0.25">
      <c r="O23" s="261"/>
      <c r="R23"/>
    </row>
    <row r="24" spans="15:18" x14ac:dyDescent="0.25">
      <c r="O24" s="261"/>
      <c r="R24"/>
    </row>
    <row r="25" spans="15:18" x14ac:dyDescent="0.25">
      <c r="O25" s="261"/>
      <c r="R25"/>
    </row>
    <row r="26" spans="15:18" x14ac:dyDescent="0.25">
      <c r="O26" s="261"/>
      <c r="R26"/>
    </row>
    <row r="27" spans="15:18" x14ac:dyDescent="0.25">
      <c r="O27" s="261"/>
      <c r="R27"/>
    </row>
    <row r="28" spans="15:18" x14ac:dyDescent="0.25">
      <c r="O28" s="261"/>
      <c r="R28"/>
    </row>
    <row r="29" spans="15:18" x14ac:dyDescent="0.25">
      <c r="O29" s="261"/>
      <c r="R29"/>
    </row>
  </sheetData>
  <sheetProtection algorithmName="SHA-512" hashValue="xh4f0czTWNDuNAF+Ed0vdXby/pAWbb66qeVaMJEL+gv9+XvqoFZS0P/fMsVB/H6W6BJ2KRFUGziOCuzJBB9n4w==" saltValue="/7L9Lve72L8jMEvCj3vNXg==" spinCount="100000" sheet="1" objects="1" scenarios="1"/>
  <mergeCells count="16">
    <mergeCell ref="Q2:Q3"/>
    <mergeCell ref="R2:R3"/>
    <mergeCell ref="A1:G1"/>
    <mergeCell ref="H1:N1"/>
    <mergeCell ref="O1:R1"/>
    <mergeCell ref="D2:D4"/>
    <mergeCell ref="F2:F4"/>
    <mergeCell ref="H2:H4"/>
    <mergeCell ref="I2:I4"/>
    <mergeCell ref="J2:J4"/>
    <mergeCell ref="K2:K4"/>
    <mergeCell ref="L2:L4"/>
    <mergeCell ref="M2:M4"/>
    <mergeCell ref="N2:N4"/>
    <mergeCell ref="O2:O3"/>
    <mergeCell ref="P2:P3"/>
  </mergeCells>
  <conditionalFormatting sqref="Q5:R6 Q13:R14">
    <cfRule type="cellIs" dxfId="1" priority="3" operator="lessThanOrEqual">
      <formula>0.01</formula>
    </cfRule>
    <cfRule type="cellIs" dxfId="0" priority="4" operator="greaterThan">
      <formula>0.01</formula>
    </cfRule>
  </conditionalFormatting>
  <dataValidations disablePrompts="1" count="1">
    <dataValidation allowBlank="1" showErrorMessage="1" sqref="O2 O4" xr:uid="{A041F13B-266E-4B79-85C8-BC2191A6F1C3}"/>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A03EC-9543-45A2-97D2-A9C05C8E36E2}">
  <sheetPr codeName="Sheet2">
    <tabColor theme="1"/>
  </sheetPr>
  <dimension ref="A1:S147"/>
  <sheetViews>
    <sheetView workbookViewId="0">
      <pane ySplit="4" topLeftCell="A5" activePane="bottomLeft" state="frozen"/>
      <selection activeCell="F24" sqref="F24"/>
      <selection pane="bottomLeft" sqref="A1:XFD1048576"/>
    </sheetView>
  </sheetViews>
  <sheetFormatPr defaultColWidth="9.140625" defaultRowHeight="12.75" x14ac:dyDescent="0.2"/>
  <cols>
    <col min="1" max="1" width="9.140625" style="24"/>
    <col min="2" max="2" width="57.85546875" style="28" bestFit="1" customWidth="1"/>
    <col min="3" max="3" width="12.42578125" style="28" customWidth="1"/>
    <col min="4" max="4" width="12.140625" style="28" bestFit="1" customWidth="1"/>
    <col min="5" max="6" width="12.140625" style="28" customWidth="1"/>
    <col min="7" max="8" width="9.140625" style="28"/>
    <col min="9" max="9" width="10.140625" style="28" customWidth="1"/>
    <col min="10" max="10" width="9.42578125" style="28" customWidth="1"/>
    <col min="11" max="11" width="11" style="28" customWidth="1"/>
    <col min="12" max="12" width="10.140625" style="28" customWidth="1"/>
    <col min="13" max="13" width="11" style="28" customWidth="1"/>
    <col min="14" max="14" width="10.140625" style="28" customWidth="1"/>
    <col min="15" max="15" width="9.140625" style="28"/>
    <col min="16" max="16" width="35.42578125" style="27" bestFit="1" customWidth="1"/>
    <col min="17" max="17" width="16.42578125" style="469" customWidth="1"/>
    <col min="18" max="18" width="28.85546875" style="27" customWidth="1"/>
    <col min="19" max="19" width="17.28515625" style="24" customWidth="1"/>
    <col min="20" max="16384" width="9.140625" style="28"/>
  </cols>
  <sheetData>
    <row r="1" spans="1:19" ht="13.5" thickBot="1" x14ac:dyDescent="0.25">
      <c r="B1" s="25" t="s">
        <v>337</v>
      </c>
      <c r="C1" s="26"/>
      <c r="D1" s="26"/>
      <c r="E1" s="26"/>
      <c r="F1" s="26"/>
      <c r="G1" s="26"/>
      <c r="H1" s="26"/>
      <c r="I1" s="26"/>
      <c r="J1" s="26"/>
      <c r="K1" s="26"/>
      <c r="L1" s="26"/>
      <c r="M1" s="26"/>
      <c r="N1" s="26"/>
      <c r="O1" s="26"/>
      <c r="P1" s="468"/>
    </row>
    <row r="2" spans="1:19" x14ac:dyDescent="0.2">
      <c r="A2" s="612" t="s">
        <v>338</v>
      </c>
      <c r="B2" s="615" t="s">
        <v>366</v>
      </c>
      <c r="C2" s="618" t="s">
        <v>339</v>
      </c>
      <c r="D2" s="618" t="s">
        <v>21</v>
      </c>
      <c r="E2" s="625" t="s">
        <v>340</v>
      </c>
      <c r="F2" s="626"/>
      <c r="G2" s="623" t="s">
        <v>341</v>
      </c>
      <c r="H2" s="624"/>
      <c r="I2" s="623" t="s">
        <v>24</v>
      </c>
      <c r="J2" s="624"/>
      <c r="K2" s="623" t="s">
        <v>25</v>
      </c>
      <c r="L2" s="624"/>
      <c r="M2" s="623" t="s">
        <v>26</v>
      </c>
      <c r="N2" s="624"/>
      <c r="O2" s="618" t="s">
        <v>342</v>
      </c>
      <c r="P2" s="606" t="s">
        <v>343</v>
      </c>
      <c r="Q2" s="609" t="s">
        <v>344</v>
      </c>
      <c r="R2" s="28"/>
      <c r="S2" s="28"/>
    </row>
    <row r="3" spans="1:19" x14ac:dyDescent="0.2">
      <c r="A3" s="613"/>
      <c r="B3" s="616"/>
      <c r="C3" s="619"/>
      <c r="D3" s="619"/>
      <c r="E3" s="627"/>
      <c r="F3" s="628"/>
      <c r="G3" s="621" t="s">
        <v>345</v>
      </c>
      <c r="H3" s="622"/>
      <c r="I3" s="621" t="s">
        <v>346</v>
      </c>
      <c r="J3" s="622"/>
      <c r="K3" s="621" t="s">
        <v>347</v>
      </c>
      <c r="L3" s="622"/>
      <c r="M3" s="621" t="s">
        <v>348</v>
      </c>
      <c r="N3" s="622"/>
      <c r="O3" s="619"/>
      <c r="P3" s="607"/>
      <c r="Q3" s="610"/>
      <c r="R3" s="28"/>
      <c r="S3" s="28"/>
    </row>
    <row r="4" spans="1:19" ht="26.25" thickBot="1" x14ac:dyDescent="0.25">
      <c r="A4" s="614"/>
      <c r="B4" s="617"/>
      <c r="C4" s="620"/>
      <c r="D4" s="620"/>
      <c r="E4" s="445" t="s">
        <v>48</v>
      </c>
      <c r="F4" s="445" t="s">
        <v>51</v>
      </c>
      <c r="G4" s="446" t="s">
        <v>51</v>
      </c>
      <c r="H4" s="446" t="s">
        <v>48</v>
      </c>
      <c r="I4" s="446" t="s">
        <v>51</v>
      </c>
      <c r="J4" s="446" t="s">
        <v>48</v>
      </c>
      <c r="K4" s="446" t="s">
        <v>51</v>
      </c>
      <c r="L4" s="446" t="s">
        <v>48</v>
      </c>
      <c r="M4" s="446" t="s">
        <v>51</v>
      </c>
      <c r="N4" s="446" t="s">
        <v>48</v>
      </c>
      <c r="O4" s="620"/>
      <c r="P4" s="608"/>
      <c r="Q4" s="611"/>
      <c r="R4" s="28"/>
      <c r="S4" s="28"/>
    </row>
    <row r="5" spans="1:19" ht="15" x14ac:dyDescent="0.25">
      <c r="A5" s="447">
        <v>1</v>
      </c>
      <c r="B5" s="448" t="s">
        <v>11</v>
      </c>
      <c r="C5" s="217" t="s">
        <v>13</v>
      </c>
      <c r="D5" s="217" t="s">
        <v>47</v>
      </c>
      <c r="E5" s="217">
        <v>350</v>
      </c>
      <c r="F5" s="217">
        <v>350</v>
      </c>
      <c r="G5" s="449">
        <v>0.36473006134969332</v>
      </c>
      <c r="H5" s="449">
        <v>4.6025460122699391</v>
      </c>
      <c r="I5" s="449">
        <v>0.36473006134969332</v>
      </c>
      <c r="J5" s="449">
        <v>4.6025460122699391</v>
      </c>
      <c r="K5" s="449">
        <v>8.3271703504496183E-2</v>
      </c>
      <c r="L5" s="449">
        <v>1.0508095918424516</v>
      </c>
      <c r="M5" s="449">
        <v>0.14495681925436529</v>
      </c>
      <c r="N5" s="449">
        <v>2.360280006292276</v>
      </c>
      <c r="O5" s="450">
        <v>136</v>
      </c>
      <c r="P5" s="448" t="s">
        <v>359</v>
      </c>
      <c r="Q5" s="470" t="s">
        <v>349</v>
      </c>
      <c r="R5" s="28"/>
      <c r="S5" s="29"/>
    </row>
    <row r="6" spans="1:19" ht="15.75" thickBot="1" x14ac:dyDescent="0.3">
      <c r="A6" s="126">
        <v>1</v>
      </c>
      <c r="B6" s="127" t="s">
        <v>11</v>
      </c>
      <c r="C6" s="128" t="s">
        <v>13</v>
      </c>
      <c r="D6" s="128" t="s">
        <v>50</v>
      </c>
      <c r="E6" s="128">
        <v>350</v>
      </c>
      <c r="F6" s="128">
        <v>350</v>
      </c>
      <c r="G6" s="132"/>
      <c r="H6" s="132"/>
      <c r="I6" s="132"/>
      <c r="J6" s="132"/>
      <c r="K6" s="132"/>
      <c r="L6" s="132"/>
      <c r="M6" s="129"/>
      <c r="N6" s="129"/>
      <c r="O6" s="130"/>
      <c r="P6" s="133"/>
      <c r="Q6" s="471"/>
      <c r="R6" s="28"/>
      <c r="S6" s="29"/>
    </row>
    <row r="7" spans="1:19" ht="15" x14ac:dyDescent="0.25">
      <c r="A7" s="30">
        <v>1</v>
      </c>
      <c r="B7" s="127" t="s">
        <v>11</v>
      </c>
      <c r="C7" s="128" t="s">
        <v>368</v>
      </c>
      <c r="D7" s="128" t="s">
        <v>47</v>
      </c>
      <c r="E7" s="128">
        <v>350</v>
      </c>
      <c r="F7" s="128">
        <v>350</v>
      </c>
      <c r="G7" s="435">
        <v>0.45157055214723935</v>
      </c>
      <c r="H7" s="435">
        <v>12.032618404907966</v>
      </c>
      <c r="I7" s="435">
        <v>0.67735582822085905</v>
      </c>
      <c r="J7" s="435">
        <v>18.04892760736195</v>
      </c>
      <c r="K7" s="435">
        <v>0.15464744936549293</v>
      </c>
      <c r="L7" s="435">
        <v>4.120759727708208</v>
      </c>
      <c r="M7" s="435">
        <v>0.26920552147239274</v>
      </c>
      <c r="N7" s="435">
        <v>9.2558603114676679</v>
      </c>
      <c r="O7" s="135">
        <v>149</v>
      </c>
      <c r="P7" s="448" t="s">
        <v>387</v>
      </c>
      <c r="Q7" s="472" t="s">
        <v>349</v>
      </c>
      <c r="R7" s="28"/>
      <c r="S7" s="28"/>
    </row>
    <row r="8" spans="1:19" ht="15.75" thickBot="1" x14ac:dyDescent="0.3">
      <c r="A8" s="30">
        <v>1</v>
      </c>
      <c r="B8" s="127" t="s">
        <v>11</v>
      </c>
      <c r="C8" s="128" t="s">
        <v>368</v>
      </c>
      <c r="D8" s="136" t="s">
        <v>50</v>
      </c>
      <c r="E8" s="128">
        <v>350</v>
      </c>
      <c r="F8" s="128">
        <v>350</v>
      </c>
      <c r="G8" s="132"/>
      <c r="H8" s="132"/>
      <c r="I8" s="132"/>
      <c r="J8" s="132"/>
      <c r="K8" s="132"/>
      <c r="L8" s="132"/>
      <c r="M8" s="129"/>
      <c r="N8" s="129"/>
      <c r="O8" s="130"/>
      <c r="P8" s="133"/>
      <c r="Q8" s="471"/>
      <c r="R8" s="28"/>
      <c r="S8" s="28"/>
    </row>
    <row r="9" spans="1:19" ht="15" x14ac:dyDescent="0.25">
      <c r="A9" s="30">
        <v>2</v>
      </c>
      <c r="B9" s="133" t="s">
        <v>180</v>
      </c>
      <c r="C9" s="128" t="s">
        <v>13</v>
      </c>
      <c r="D9" s="128" t="s">
        <v>47</v>
      </c>
      <c r="E9" s="128">
        <v>350</v>
      </c>
      <c r="F9" s="128">
        <v>350</v>
      </c>
      <c r="G9" s="435">
        <v>1.6326012269938652</v>
      </c>
      <c r="H9" s="435">
        <v>107.84066339309797</v>
      </c>
      <c r="I9" s="435">
        <v>1.6326012269938652</v>
      </c>
      <c r="J9" s="435">
        <v>107.84066339309797</v>
      </c>
      <c r="K9" s="435">
        <v>0.37274000616298297</v>
      </c>
      <c r="L9" s="435">
        <v>24.621156025821456</v>
      </c>
      <c r="M9" s="435">
        <v>0.64885433380525415</v>
      </c>
      <c r="N9" s="435">
        <v>55.302904304152811</v>
      </c>
      <c r="O9" s="135">
        <v>29</v>
      </c>
      <c r="P9" s="448" t="s">
        <v>387</v>
      </c>
      <c r="Q9" s="471" t="s">
        <v>349</v>
      </c>
      <c r="R9" s="28"/>
      <c r="S9" s="28"/>
    </row>
    <row r="10" spans="1:19" ht="15" x14ac:dyDescent="0.25">
      <c r="A10" s="30">
        <v>2</v>
      </c>
      <c r="B10" s="133" t="s">
        <v>180</v>
      </c>
      <c r="C10" s="136" t="s">
        <v>13</v>
      </c>
      <c r="D10" s="136" t="s">
        <v>50</v>
      </c>
      <c r="E10" s="128">
        <v>350</v>
      </c>
      <c r="F10" s="128">
        <v>350</v>
      </c>
      <c r="G10" s="129"/>
      <c r="H10" s="129"/>
      <c r="I10" s="129"/>
      <c r="J10" s="129"/>
      <c r="K10" s="129"/>
      <c r="L10" s="129"/>
      <c r="M10" s="129"/>
      <c r="N10" s="129"/>
      <c r="O10" s="130"/>
      <c r="P10" s="133"/>
      <c r="Q10" s="471"/>
      <c r="R10" s="28"/>
      <c r="S10" s="28"/>
    </row>
    <row r="11" spans="1:19" ht="30" x14ac:dyDescent="0.25">
      <c r="A11" s="30">
        <v>3</v>
      </c>
      <c r="B11" s="133" t="s">
        <v>375</v>
      </c>
      <c r="C11" s="136" t="s">
        <v>13</v>
      </c>
      <c r="D11" s="136" t="s">
        <v>47</v>
      </c>
      <c r="E11" s="128">
        <v>300</v>
      </c>
      <c r="F11" s="128">
        <v>300</v>
      </c>
      <c r="G11" s="129">
        <v>101.70250172151458</v>
      </c>
      <c r="H11" s="129">
        <v>537.72698075153403</v>
      </c>
      <c r="I11" s="129">
        <v>101.70250172151458</v>
      </c>
      <c r="J11" s="129">
        <v>537.72698075153403</v>
      </c>
      <c r="K11" s="129">
        <v>23.219749251487347</v>
      </c>
      <c r="L11" s="129">
        <v>122.76871706656027</v>
      </c>
      <c r="M11" s="129">
        <v>40.420225043166056</v>
      </c>
      <c r="N11" s="129">
        <v>275.75742602642771</v>
      </c>
      <c r="O11" s="130">
        <v>55</v>
      </c>
      <c r="P11" s="133" t="s">
        <v>391</v>
      </c>
      <c r="Q11" s="471" t="s">
        <v>349</v>
      </c>
      <c r="R11" s="28"/>
      <c r="S11" s="28"/>
    </row>
    <row r="12" spans="1:19" ht="30" x14ac:dyDescent="0.25">
      <c r="A12" s="30">
        <v>3</v>
      </c>
      <c r="B12" s="133" t="s">
        <v>375</v>
      </c>
      <c r="C12" s="136" t="s">
        <v>13</v>
      </c>
      <c r="D12" s="136" t="s">
        <v>50</v>
      </c>
      <c r="E12" s="128">
        <v>300</v>
      </c>
      <c r="F12" s="128">
        <v>300</v>
      </c>
      <c r="G12" s="129"/>
      <c r="H12" s="129"/>
      <c r="I12" s="129"/>
      <c r="J12" s="129"/>
      <c r="K12" s="129"/>
      <c r="L12" s="129"/>
      <c r="M12" s="129"/>
      <c r="N12" s="129"/>
      <c r="O12" s="130"/>
      <c r="P12" s="133"/>
      <c r="Q12" s="471"/>
      <c r="R12" s="28"/>
      <c r="S12" s="28"/>
    </row>
    <row r="13" spans="1:19" ht="15" x14ac:dyDescent="0.25">
      <c r="A13" s="30">
        <v>4</v>
      </c>
      <c r="B13" s="133" t="s">
        <v>182</v>
      </c>
      <c r="C13" s="136" t="s">
        <v>13</v>
      </c>
      <c r="D13" s="136" t="s">
        <v>47</v>
      </c>
      <c r="E13" s="128">
        <v>250</v>
      </c>
      <c r="F13" s="128">
        <v>250</v>
      </c>
      <c r="G13" s="129">
        <v>8.822993865030675</v>
      </c>
      <c r="H13" s="129">
        <v>137.69428220858899</v>
      </c>
      <c r="I13" s="129">
        <v>8.822993865030675</v>
      </c>
      <c r="J13" s="129">
        <v>137.69428220858899</v>
      </c>
      <c r="K13" s="129">
        <v>2.0143821609659076</v>
      </c>
      <c r="L13" s="129">
        <v>31.437050732554567</v>
      </c>
      <c r="M13" s="129">
        <v>3.5065744848198834</v>
      </c>
      <c r="N13" s="129">
        <v>70.612452414661021</v>
      </c>
      <c r="O13" s="130">
        <v>5</v>
      </c>
      <c r="P13" s="133" t="s">
        <v>388</v>
      </c>
      <c r="Q13" s="471" t="s">
        <v>349</v>
      </c>
      <c r="R13" s="28"/>
      <c r="S13" s="28"/>
    </row>
    <row r="14" spans="1:19" ht="15" x14ac:dyDescent="0.25">
      <c r="A14" s="30">
        <v>4</v>
      </c>
      <c r="B14" s="133" t="s">
        <v>182</v>
      </c>
      <c r="C14" s="136" t="s">
        <v>13</v>
      </c>
      <c r="D14" s="136" t="s">
        <v>50</v>
      </c>
      <c r="E14" s="128">
        <v>250</v>
      </c>
      <c r="F14" s="128">
        <v>250</v>
      </c>
      <c r="G14" s="129"/>
      <c r="H14" s="129"/>
      <c r="I14" s="129"/>
      <c r="J14" s="129"/>
      <c r="K14" s="129"/>
      <c r="L14" s="129"/>
      <c r="M14" s="129"/>
      <c r="N14" s="129"/>
      <c r="O14" s="130"/>
      <c r="P14" s="133"/>
      <c r="Q14" s="471"/>
      <c r="R14" s="28"/>
      <c r="S14" s="28"/>
    </row>
    <row r="15" spans="1:19" ht="15" x14ac:dyDescent="0.25">
      <c r="A15" s="30">
        <v>5</v>
      </c>
      <c r="B15" s="127" t="s">
        <v>183</v>
      </c>
      <c r="C15" s="128" t="s">
        <v>13</v>
      </c>
      <c r="D15" s="128" t="s">
        <v>47</v>
      </c>
      <c r="E15" s="128">
        <v>250</v>
      </c>
      <c r="F15" s="128">
        <v>250</v>
      </c>
      <c r="G15" s="435">
        <v>168.3</v>
      </c>
      <c r="H15" s="435">
        <v>744.8</v>
      </c>
      <c r="I15" s="435">
        <v>168.3</v>
      </c>
      <c r="J15" s="435">
        <v>744.8</v>
      </c>
      <c r="K15" s="435">
        <v>38.424657534246577</v>
      </c>
      <c r="L15" s="435">
        <v>170.04566210045661</v>
      </c>
      <c r="M15" s="435">
        <v>66.888461538461542</v>
      </c>
      <c r="N15" s="435">
        <v>381.94871794871796</v>
      </c>
      <c r="O15" s="135" t="s">
        <v>350</v>
      </c>
      <c r="P15" s="473" t="s">
        <v>353</v>
      </c>
      <c r="Q15" s="472" t="s">
        <v>352</v>
      </c>
      <c r="R15" s="28"/>
      <c r="S15" s="28"/>
    </row>
    <row r="16" spans="1:19" ht="15" x14ac:dyDescent="0.25">
      <c r="A16" s="30">
        <v>5</v>
      </c>
      <c r="B16" s="133" t="s">
        <v>183</v>
      </c>
      <c r="C16" s="128" t="s">
        <v>13</v>
      </c>
      <c r="D16" s="128" t="s">
        <v>50</v>
      </c>
      <c r="E16" s="128">
        <v>250</v>
      </c>
      <c r="F16" s="128">
        <v>250</v>
      </c>
      <c r="G16" s="435">
        <v>86.47</v>
      </c>
      <c r="H16" s="435">
        <v>455.63</v>
      </c>
      <c r="I16" s="435">
        <v>86.47</v>
      </c>
      <c r="J16" s="435">
        <v>455.63</v>
      </c>
      <c r="K16" s="435">
        <v>19.74200913242009</v>
      </c>
      <c r="L16" s="435">
        <v>104.02511415525115</v>
      </c>
      <c r="M16" s="435">
        <v>34.366282051282049</v>
      </c>
      <c r="N16" s="435">
        <v>233.65641025641025</v>
      </c>
      <c r="O16" s="130" t="s">
        <v>350</v>
      </c>
      <c r="P16" s="474" t="s">
        <v>353</v>
      </c>
      <c r="Q16" s="471" t="s">
        <v>352</v>
      </c>
      <c r="R16" s="28"/>
      <c r="S16" s="28"/>
    </row>
    <row r="17" spans="1:19" ht="15" x14ac:dyDescent="0.25">
      <c r="A17" s="30">
        <v>6</v>
      </c>
      <c r="B17" s="133" t="s">
        <v>184</v>
      </c>
      <c r="C17" s="128" t="s">
        <v>13</v>
      </c>
      <c r="D17" s="128" t="s">
        <v>47</v>
      </c>
      <c r="E17" s="128">
        <v>250</v>
      </c>
      <c r="F17" s="128">
        <v>250</v>
      </c>
      <c r="G17" s="435">
        <v>486.4</v>
      </c>
      <c r="H17" s="435">
        <v>1395</v>
      </c>
      <c r="I17" s="435">
        <v>486.4</v>
      </c>
      <c r="J17" s="435">
        <v>1395</v>
      </c>
      <c r="K17" s="435">
        <v>111.05022831050228</v>
      </c>
      <c r="L17" s="435">
        <v>318.49315068493149</v>
      </c>
      <c r="M17" s="435">
        <v>193.31282051282051</v>
      </c>
      <c r="N17" s="435">
        <v>715.38461538461536</v>
      </c>
      <c r="O17" s="130" t="s">
        <v>350</v>
      </c>
      <c r="P17" s="133" t="s">
        <v>354</v>
      </c>
      <c r="Q17" s="471" t="s">
        <v>352</v>
      </c>
      <c r="R17" s="28"/>
      <c r="S17" s="28"/>
    </row>
    <row r="18" spans="1:19" ht="15" x14ac:dyDescent="0.25">
      <c r="A18" s="30">
        <v>6</v>
      </c>
      <c r="B18" s="133" t="s">
        <v>184</v>
      </c>
      <c r="C18" s="128" t="s">
        <v>13</v>
      </c>
      <c r="D18" s="128" t="s">
        <v>50</v>
      </c>
      <c r="E18" s="128">
        <v>250</v>
      </c>
      <c r="F18" s="128">
        <v>250</v>
      </c>
      <c r="G18" s="435">
        <v>252.98985842955139</v>
      </c>
      <c r="H18" s="435">
        <v>899.96649601038746</v>
      </c>
      <c r="I18" s="435">
        <v>252.98985842955139</v>
      </c>
      <c r="J18" s="435">
        <v>899.96649601038746</v>
      </c>
      <c r="K18" s="435">
        <v>57.760241650582508</v>
      </c>
      <c r="L18" s="435">
        <v>205.47180274209759</v>
      </c>
      <c r="M18" s="435">
        <v>100.5472514271294</v>
      </c>
      <c r="N18" s="435">
        <v>461.5212800053269</v>
      </c>
      <c r="O18" s="130" t="s">
        <v>350</v>
      </c>
      <c r="P18" s="133" t="s">
        <v>354</v>
      </c>
      <c r="Q18" s="471" t="s">
        <v>352</v>
      </c>
      <c r="R18" s="28"/>
      <c r="S18" s="28"/>
    </row>
    <row r="19" spans="1:19" ht="15" x14ac:dyDescent="0.25">
      <c r="A19" s="30">
        <v>7</v>
      </c>
      <c r="B19" s="133" t="s">
        <v>185</v>
      </c>
      <c r="C19" s="128" t="s">
        <v>13</v>
      </c>
      <c r="D19" s="128" t="s">
        <v>47</v>
      </c>
      <c r="E19" s="128">
        <v>250</v>
      </c>
      <c r="F19" s="128">
        <v>250</v>
      </c>
      <c r="G19" s="435">
        <v>280</v>
      </c>
      <c r="H19" s="435">
        <v>1000</v>
      </c>
      <c r="I19" s="435">
        <v>280</v>
      </c>
      <c r="J19" s="435">
        <v>1000</v>
      </c>
      <c r="K19" s="435">
        <v>63.926940639269404</v>
      </c>
      <c r="L19" s="435">
        <v>228.31050228310502</v>
      </c>
      <c r="M19" s="435">
        <v>111.28205128205128</v>
      </c>
      <c r="N19" s="435">
        <v>512.82051282051282</v>
      </c>
      <c r="O19" s="130" t="s">
        <v>355</v>
      </c>
      <c r="P19" s="133" t="s">
        <v>389</v>
      </c>
      <c r="Q19" s="471" t="s">
        <v>349</v>
      </c>
      <c r="R19" s="28"/>
      <c r="S19" s="28"/>
    </row>
    <row r="20" spans="1:19" ht="15" x14ac:dyDescent="0.25">
      <c r="A20" s="30">
        <v>7</v>
      </c>
      <c r="B20" s="133" t="s">
        <v>185</v>
      </c>
      <c r="C20" s="128" t="s">
        <v>13</v>
      </c>
      <c r="D20" s="128" t="s">
        <v>50</v>
      </c>
      <c r="E20" s="128">
        <v>250</v>
      </c>
      <c r="F20" s="128">
        <v>250</v>
      </c>
      <c r="G20" s="435"/>
      <c r="H20" s="435"/>
      <c r="I20" s="435"/>
      <c r="J20" s="435"/>
      <c r="K20" s="435"/>
      <c r="L20" s="435"/>
      <c r="M20" s="435"/>
      <c r="N20" s="435"/>
      <c r="O20" s="130"/>
      <c r="P20" s="133"/>
      <c r="Q20" s="471"/>
      <c r="R20" s="28"/>
      <c r="S20" s="28"/>
    </row>
    <row r="21" spans="1:19" ht="30" x14ac:dyDescent="0.25">
      <c r="A21" s="30">
        <v>8</v>
      </c>
      <c r="B21" s="133" t="s">
        <v>376</v>
      </c>
      <c r="C21" s="128" t="s">
        <v>13</v>
      </c>
      <c r="D21" s="128" t="s">
        <v>47</v>
      </c>
      <c r="E21" s="128">
        <v>250</v>
      </c>
      <c r="F21" s="128">
        <v>250</v>
      </c>
      <c r="G21" s="435">
        <v>22</v>
      </c>
      <c r="H21" s="435">
        <v>78.7</v>
      </c>
      <c r="I21" s="435">
        <v>22</v>
      </c>
      <c r="J21" s="435">
        <v>78.7</v>
      </c>
      <c r="K21" s="435">
        <v>5.0228310502283104</v>
      </c>
      <c r="L21" s="435">
        <v>17.968036529680365</v>
      </c>
      <c r="M21" s="435">
        <v>8.7435897435897427</v>
      </c>
      <c r="N21" s="435">
        <v>40.358974358974358</v>
      </c>
      <c r="O21" s="130" t="s">
        <v>350</v>
      </c>
      <c r="P21" s="133" t="s">
        <v>351</v>
      </c>
      <c r="Q21" s="471" t="s">
        <v>352</v>
      </c>
      <c r="R21" s="28"/>
      <c r="S21" s="28"/>
    </row>
    <row r="22" spans="1:19" ht="30" x14ac:dyDescent="0.25">
      <c r="A22" s="30">
        <v>8</v>
      </c>
      <c r="B22" s="133" t="s">
        <v>376</v>
      </c>
      <c r="C22" s="128" t="s">
        <v>13</v>
      </c>
      <c r="D22" s="128" t="s">
        <v>50</v>
      </c>
      <c r="E22" s="128">
        <v>250</v>
      </c>
      <c r="F22" s="128">
        <v>250</v>
      </c>
      <c r="G22" s="129">
        <v>0.4</v>
      </c>
      <c r="H22" s="129">
        <v>3.26</v>
      </c>
      <c r="I22" s="129">
        <v>0.4</v>
      </c>
      <c r="J22" s="129">
        <v>3.26</v>
      </c>
      <c r="K22" s="129">
        <v>9.1324200913242004E-2</v>
      </c>
      <c r="L22" s="129">
        <v>0.74429223744292239</v>
      </c>
      <c r="M22" s="129">
        <v>0.15897435897435896</v>
      </c>
      <c r="N22" s="129">
        <v>1.6717948717948719</v>
      </c>
      <c r="O22" s="130" t="s">
        <v>350</v>
      </c>
      <c r="P22" s="133" t="s">
        <v>351</v>
      </c>
      <c r="Q22" s="471" t="s">
        <v>352</v>
      </c>
      <c r="R22" s="28"/>
      <c r="S22" s="28"/>
    </row>
    <row r="23" spans="1:19" ht="30" x14ac:dyDescent="0.25">
      <c r="A23" s="30">
        <v>8</v>
      </c>
      <c r="B23" s="133" t="s">
        <v>377</v>
      </c>
      <c r="C23" s="128" t="s">
        <v>13</v>
      </c>
      <c r="D23" s="128" t="s">
        <v>47</v>
      </c>
      <c r="E23" s="128">
        <v>250</v>
      </c>
      <c r="F23" s="128">
        <v>250</v>
      </c>
      <c r="G23" s="435">
        <v>6.031750150915145</v>
      </c>
      <c r="H23" s="435">
        <v>227.58132892613423</v>
      </c>
      <c r="I23" s="435">
        <v>6.031750150915145</v>
      </c>
      <c r="J23" s="435">
        <v>227.58132892613423</v>
      </c>
      <c r="K23" s="435">
        <v>1.3771119066016313</v>
      </c>
      <c r="L23" s="435">
        <v>51.959207517382247</v>
      </c>
      <c r="M23" s="435">
        <v>2.3972340343380707</v>
      </c>
      <c r="N23" s="435">
        <v>116.70837380827398</v>
      </c>
      <c r="O23" s="130">
        <v>21</v>
      </c>
      <c r="P23" s="133" t="s">
        <v>390</v>
      </c>
      <c r="Q23" s="471" t="s">
        <v>349</v>
      </c>
      <c r="R23" s="28"/>
      <c r="S23" s="28"/>
    </row>
    <row r="24" spans="1:19" ht="30" x14ac:dyDescent="0.25">
      <c r="A24" s="30">
        <v>8</v>
      </c>
      <c r="B24" s="133" t="s">
        <v>377</v>
      </c>
      <c r="C24" s="128" t="s">
        <v>13</v>
      </c>
      <c r="D24" s="128" t="s">
        <v>50</v>
      </c>
      <c r="E24" s="128">
        <v>250</v>
      </c>
      <c r="F24" s="128">
        <v>250</v>
      </c>
      <c r="G24" s="435"/>
      <c r="H24" s="435"/>
      <c r="I24" s="435"/>
      <c r="J24" s="435"/>
      <c r="K24" s="435"/>
      <c r="L24" s="435"/>
      <c r="M24" s="435"/>
      <c r="N24" s="435"/>
      <c r="O24" s="130"/>
      <c r="P24" s="133"/>
      <c r="Q24" s="471"/>
      <c r="R24" s="28"/>
      <c r="S24" s="28"/>
    </row>
    <row r="25" spans="1:19" ht="30" x14ac:dyDescent="0.25">
      <c r="A25" s="30">
        <v>9</v>
      </c>
      <c r="B25" s="127" t="s">
        <v>378</v>
      </c>
      <c r="C25" s="128" t="s">
        <v>13</v>
      </c>
      <c r="D25" s="128" t="s">
        <v>47</v>
      </c>
      <c r="E25" s="128">
        <v>250</v>
      </c>
      <c r="F25" s="128">
        <v>250</v>
      </c>
      <c r="G25" s="435">
        <v>39.018000000000001</v>
      </c>
      <c r="H25" s="435">
        <v>558</v>
      </c>
      <c r="I25" s="435">
        <v>39.018000000000001</v>
      </c>
      <c r="J25" s="435">
        <v>558</v>
      </c>
      <c r="K25" s="435">
        <v>8.9082191780821915</v>
      </c>
      <c r="L25" s="435">
        <v>127.39726027397261</v>
      </c>
      <c r="M25" s="435">
        <v>15.507153846153846</v>
      </c>
      <c r="N25" s="435">
        <v>286.15384615384613</v>
      </c>
      <c r="O25" s="130">
        <v>16</v>
      </c>
      <c r="P25" s="133" t="s">
        <v>394</v>
      </c>
      <c r="Q25" s="471" t="s">
        <v>349</v>
      </c>
      <c r="R25" s="28"/>
      <c r="S25" s="28"/>
    </row>
    <row r="26" spans="1:19" ht="15" x14ac:dyDescent="0.25">
      <c r="A26" s="30">
        <v>9</v>
      </c>
      <c r="B26" s="127" t="s">
        <v>378</v>
      </c>
      <c r="C26" s="128" t="s">
        <v>13</v>
      </c>
      <c r="D26" s="128" t="s">
        <v>50</v>
      </c>
      <c r="E26" s="128">
        <v>250</v>
      </c>
      <c r="F26" s="128">
        <v>250</v>
      </c>
      <c r="G26" s="129"/>
      <c r="H26" s="129"/>
      <c r="I26" s="129"/>
      <c r="J26" s="129"/>
      <c r="K26" s="129"/>
      <c r="L26" s="129"/>
      <c r="M26" s="129"/>
      <c r="N26" s="129"/>
      <c r="O26" s="130"/>
      <c r="P26" s="133"/>
      <c r="Q26" s="471"/>
      <c r="R26" s="28"/>
      <c r="S26" s="28"/>
    </row>
    <row r="27" spans="1:19" ht="30" x14ac:dyDescent="0.25">
      <c r="A27" s="30">
        <v>9</v>
      </c>
      <c r="B27" s="127" t="s">
        <v>379</v>
      </c>
      <c r="C27" s="128" t="s">
        <v>13</v>
      </c>
      <c r="D27" s="136" t="s">
        <v>47</v>
      </c>
      <c r="E27" s="128">
        <v>250</v>
      </c>
      <c r="F27" s="128">
        <v>250</v>
      </c>
      <c r="G27" s="129">
        <v>10.47</v>
      </c>
      <c r="H27" s="129">
        <v>295.60503067484666</v>
      </c>
      <c r="I27" s="129">
        <v>10.47</v>
      </c>
      <c r="J27" s="129">
        <v>295.60503067484666</v>
      </c>
      <c r="K27" s="129">
        <v>2.3904109589041096</v>
      </c>
      <c r="L27" s="129">
        <v>67.489733030786908</v>
      </c>
      <c r="M27" s="129">
        <v>4.1611538461538462</v>
      </c>
      <c r="N27" s="129">
        <v>151.59232342299828</v>
      </c>
      <c r="O27" s="130">
        <v>100</v>
      </c>
      <c r="P27" s="133" t="s">
        <v>393</v>
      </c>
      <c r="Q27" s="475" t="s">
        <v>349</v>
      </c>
      <c r="R27" s="28"/>
      <c r="S27" s="28"/>
    </row>
    <row r="28" spans="1:19" ht="15" x14ac:dyDescent="0.25">
      <c r="A28" s="30">
        <v>9</v>
      </c>
      <c r="B28" s="127" t="s">
        <v>379</v>
      </c>
      <c r="C28" s="128" t="s">
        <v>13</v>
      </c>
      <c r="D28" s="136" t="s">
        <v>50</v>
      </c>
      <c r="E28" s="128">
        <v>250</v>
      </c>
      <c r="F28" s="128">
        <v>250</v>
      </c>
      <c r="G28" s="129"/>
      <c r="H28" s="129"/>
      <c r="I28" s="129"/>
      <c r="J28" s="129"/>
      <c r="K28" s="129"/>
      <c r="L28" s="129"/>
      <c r="M28" s="129"/>
      <c r="N28" s="129"/>
      <c r="O28" s="130"/>
      <c r="P28" s="133"/>
      <c r="Q28" s="471"/>
      <c r="R28" s="28"/>
      <c r="S28" s="28"/>
    </row>
    <row r="29" spans="1:19" ht="15" x14ac:dyDescent="0.25">
      <c r="A29" s="30">
        <v>9</v>
      </c>
      <c r="B29" s="127" t="s">
        <v>380</v>
      </c>
      <c r="C29" s="128" t="s">
        <v>13</v>
      </c>
      <c r="D29" s="128" t="s">
        <v>47</v>
      </c>
      <c r="E29" s="128">
        <v>250</v>
      </c>
      <c r="F29" s="128">
        <v>250</v>
      </c>
      <c r="G29" s="129">
        <v>27.198908203197856</v>
      </c>
      <c r="H29" s="129">
        <v>688.99683219580663</v>
      </c>
      <c r="I29" s="129">
        <v>27.198908203197856</v>
      </c>
      <c r="J29" s="129">
        <v>688.99683219580663</v>
      </c>
      <c r="K29" s="129">
        <v>6.2097963934241687</v>
      </c>
      <c r="L29" s="129">
        <v>157.30521283009284</v>
      </c>
      <c r="M29" s="129">
        <v>10.809822491014533</v>
      </c>
      <c r="N29" s="129">
        <v>353.33170881836242</v>
      </c>
      <c r="O29" s="130">
        <v>468</v>
      </c>
      <c r="P29" s="133" t="s">
        <v>390</v>
      </c>
      <c r="Q29" s="471" t="s">
        <v>349</v>
      </c>
      <c r="R29" s="28"/>
      <c r="S29" s="28"/>
    </row>
    <row r="30" spans="1:19" ht="15" x14ac:dyDescent="0.25">
      <c r="A30" s="30">
        <v>9</v>
      </c>
      <c r="B30" s="127" t="s">
        <v>380</v>
      </c>
      <c r="C30" s="128" t="s">
        <v>13</v>
      </c>
      <c r="D30" s="128" t="s">
        <v>50</v>
      </c>
      <c r="E30" s="128">
        <v>250</v>
      </c>
      <c r="F30" s="128">
        <v>250</v>
      </c>
      <c r="G30" s="129"/>
      <c r="H30" s="129"/>
      <c r="I30" s="129"/>
      <c r="J30" s="129"/>
      <c r="K30" s="129"/>
      <c r="L30" s="129"/>
      <c r="M30" s="129"/>
      <c r="N30" s="129"/>
      <c r="O30" s="130"/>
      <c r="P30" s="133"/>
      <c r="Q30" s="471"/>
      <c r="R30" s="28"/>
      <c r="S30" s="28"/>
    </row>
    <row r="31" spans="1:19" ht="15" x14ac:dyDescent="0.25">
      <c r="A31" s="30">
        <v>10</v>
      </c>
      <c r="B31" s="133" t="s">
        <v>189</v>
      </c>
      <c r="C31" s="128" t="s">
        <v>13</v>
      </c>
      <c r="D31" s="128" t="s">
        <v>47</v>
      </c>
      <c r="E31" s="128">
        <v>250</v>
      </c>
      <c r="F31" s="128">
        <v>250</v>
      </c>
      <c r="G31" s="129">
        <v>69.8</v>
      </c>
      <c r="H31" s="129">
        <v>364.5075999999998</v>
      </c>
      <c r="I31" s="129">
        <v>69.8</v>
      </c>
      <c r="J31" s="129">
        <v>364.5075999999998</v>
      </c>
      <c r="K31" s="129">
        <v>15.93607305936073</v>
      </c>
      <c r="L31" s="129">
        <v>83.22091324200909</v>
      </c>
      <c r="M31" s="129">
        <v>27.74102564102564</v>
      </c>
      <c r="N31" s="129">
        <v>186.92697435897426</v>
      </c>
      <c r="O31" s="130">
        <v>27</v>
      </c>
      <c r="P31" s="133" t="s">
        <v>395</v>
      </c>
      <c r="Q31" s="471" t="s">
        <v>349</v>
      </c>
      <c r="R31" s="28"/>
      <c r="S31" s="28"/>
    </row>
    <row r="32" spans="1:19" ht="15" x14ac:dyDescent="0.25">
      <c r="A32" s="30">
        <v>10</v>
      </c>
      <c r="B32" s="133" t="s">
        <v>189</v>
      </c>
      <c r="C32" s="128" t="s">
        <v>13</v>
      </c>
      <c r="D32" s="128" t="s">
        <v>50</v>
      </c>
      <c r="E32" s="128">
        <v>250</v>
      </c>
      <c r="F32" s="128">
        <v>250</v>
      </c>
      <c r="G32" s="129"/>
      <c r="H32" s="129"/>
      <c r="I32" s="129"/>
      <c r="J32" s="129"/>
      <c r="K32" s="129"/>
      <c r="L32" s="129"/>
      <c r="M32" s="129"/>
      <c r="N32" s="129"/>
      <c r="O32" s="130"/>
      <c r="P32" s="133"/>
      <c r="Q32" s="471"/>
      <c r="R32" s="28"/>
      <c r="S32" s="28"/>
    </row>
    <row r="33" spans="1:19" ht="15" x14ac:dyDescent="0.25">
      <c r="A33" s="30">
        <v>10</v>
      </c>
      <c r="B33" s="132" t="s">
        <v>190</v>
      </c>
      <c r="C33" s="128" t="s">
        <v>13</v>
      </c>
      <c r="D33" s="128" t="s">
        <v>47</v>
      </c>
      <c r="E33" s="128">
        <v>250</v>
      </c>
      <c r="F33" s="128">
        <v>250</v>
      </c>
      <c r="G33" s="129">
        <v>12.327873359854296</v>
      </c>
      <c r="H33" s="129">
        <v>261.27997380670899</v>
      </c>
      <c r="I33" s="129">
        <v>12.327873359854296</v>
      </c>
      <c r="J33" s="129">
        <v>261.27997380670899</v>
      </c>
      <c r="K33" s="129">
        <v>2.8145829588708442</v>
      </c>
      <c r="L33" s="129">
        <v>59.65296205632626</v>
      </c>
      <c r="M33" s="129">
        <v>4.8995394122497853</v>
      </c>
      <c r="N33" s="129">
        <v>133.98973015728666</v>
      </c>
      <c r="O33" s="130">
        <v>271</v>
      </c>
      <c r="P33" s="133" t="s">
        <v>396</v>
      </c>
      <c r="Q33" s="471" t="s">
        <v>349</v>
      </c>
      <c r="R33" s="28"/>
      <c r="S33" s="28"/>
    </row>
    <row r="34" spans="1:19" ht="15" x14ac:dyDescent="0.25">
      <c r="A34" s="30">
        <v>10</v>
      </c>
      <c r="B34" s="132" t="s">
        <v>190</v>
      </c>
      <c r="C34" s="128" t="s">
        <v>13</v>
      </c>
      <c r="D34" s="136" t="s">
        <v>50</v>
      </c>
      <c r="E34" s="128">
        <v>250</v>
      </c>
      <c r="F34" s="128">
        <v>250</v>
      </c>
      <c r="G34" s="132"/>
      <c r="H34" s="132"/>
      <c r="I34" s="132"/>
      <c r="J34" s="132"/>
      <c r="K34" s="132"/>
      <c r="L34" s="132"/>
      <c r="M34" s="129"/>
      <c r="N34" s="129"/>
      <c r="O34" s="130"/>
      <c r="P34" s="133"/>
      <c r="Q34" s="471"/>
      <c r="R34" s="28"/>
      <c r="S34" s="28"/>
    </row>
    <row r="35" spans="1:19" ht="60" x14ac:dyDescent="0.25">
      <c r="A35" s="30">
        <v>11</v>
      </c>
      <c r="B35" s="133" t="s">
        <v>192</v>
      </c>
      <c r="C35" s="128" t="s">
        <v>13</v>
      </c>
      <c r="D35" s="128" t="s">
        <v>47</v>
      </c>
      <c r="E35" s="128">
        <v>250</v>
      </c>
      <c r="F35" s="128">
        <v>250</v>
      </c>
      <c r="G35" s="129">
        <v>1520</v>
      </c>
      <c r="H35" s="129">
        <v>2980</v>
      </c>
      <c r="I35" s="129">
        <v>1520</v>
      </c>
      <c r="J35" s="129">
        <v>2980</v>
      </c>
      <c r="K35" s="129">
        <v>347.03196347031962</v>
      </c>
      <c r="L35" s="129">
        <v>680.365296803653</v>
      </c>
      <c r="M35" s="129">
        <v>604.10256410256409</v>
      </c>
      <c r="N35" s="129">
        <v>1528.2051282051282</v>
      </c>
      <c r="O35" s="130" t="s">
        <v>356</v>
      </c>
      <c r="P35" s="133" t="s">
        <v>397</v>
      </c>
      <c r="Q35" s="471" t="s">
        <v>357</v>
      </c>
      <c r="R35" s="28"/>
      <c r="S35" s="28"/>
    </row>
    <row r="36" spans="1:19" ht="15" x14ac:dyDescent="0.25">
      <c r="A36" s="30">
        <v>11</v>
      </c>
      <c r="B36" s="133" t="s">
        <v>192</v>
      </c>
      <c r="C36" s="128" t="s">
        <v>13</v>
      </c>
      <c r="D36" s="128" t="s">
        <v>50</v>
      </c>
      <c r="E36" s="128">
        <v>250</v>
      </c>
      <c r="F36" s="128">
        <v>250</v>
      </c>
      <c r="G36" s="129"/>
      <c r="H36" s="129"/>
      <c r="I36" s="129"/>
      <c r="J36" s="129"/>
      <c r="K36" s="129"/>
      <c r="L36" s="129"/>
      <c r="M36" s="435"/>
      <c r="N36" s="435"/>
      <c r="O36" s="130"/>
      <c r="P36" s="133"/>
      <c r="Q36" s="471"/>
    </row>
    <row r="37" spans="1:19" ht="30" x14ac:dyDescent="0.25">
      <c r="A37" s="30">
        <v>12</v>
      </c>
      <c r="B37" s="133" t="s">
        <v>193</v>
      </c>
      <c r="C37" s="128" t="s">
        <v>13</v>
      </c>
      <c r="D37" s="128" t="s">
        <v>47</v>
      </c>
      <c r="E37" s="128">
        <v>250</v>
      </c>
      <c r="F37" s="128">
        <v>250</v>
      </c>
      <c r="G37" s="129">
        <v>7.8141172264826295</v>
      </c>
      <c r="H37" s="129">
        <v>135.64859234560342</v>
      </c>
      <c r="I37" s="129">
        <v>7.8141172264826295</v>
      </c>
      <c r="J37" s="129">
        <v>135.64859234560342</v>
      </c>
      <c r="K37" s="129">
        <v>1.7840450288773126</v>
      </c>
      <c r="L37" s="129">
        <v>30.969998252420872</v>
      </c>
      <c r="M37" s="435">
        <v>3.1056106925764295</v>
      </c>
      <c r="N37" s="435">
        <v>69.563380690053037</v>
      </c>
      <c r="O37" s="130">
        <v>39</v>
      </c>
      <c r="P37" s="133" t="s">
        <v>398</v>
      </c>
      <c r="Q37" s="471" t="s">
        <v>349</v>
      </c>
    </row>
    <row r="38" spans="1:19" ht="15" x14ac:dyDescent="0.25">
      <c r="A38" s="30">
        <v>12</v>
      </c>
      <c r="B38" s="133" t="s">
        <v>193</v>
      </c>
      <c r="C38" s="128" t="s">
        <v>13</v>
      </c>
      <c r="D38" s="128" t="s">
        <v>50</v>
      </c>
      <c r="E38" s="128">
        <v>250</v>
      </c>
      <c r="F38" s="128">
        <v>250</v>
      </c>
      <c r="G38" s="129">
        <v>1.1868200408997955</v>
      </c>
      <c r="H38" s="129">
        <v>1.1868200408997955</v>
      </c>
      <c r="I38" s="129">
        <v>1.1868200408997955</v>
      </c>
      <c r="J38" s="129">
        <v>1.1868200408997955</v>
      </c>
      <c r="K38" s="129">
        <v>0.27096347965748757</v>
      </c>
      <c r="L38" s="129">
        <v>0.27096347965748757</v>
      </c>
      <c r="M38" s="129">
        <v>0.4716848880499187</v>
      </c>
      <c r="N38" s="435">
        <v>0.6086256619998951</v>
      </c>
      <c r="O38" s="130">
        <v>1</v>
      </c>
      <c r="P38" s="133" t="s">
        <v>399</v>
      </c>
      <c r="Q38" s="471" t="s">
        <v>349</v>
      </c>
    </row>
    <row r="39" spans="1:19" ht="15" x14ac:dyDescent="0.25">
      <c r="A39" s="30">
        <v>13</v>
      </c>
      <c r="B39" s="133" t="s">
        <v>194</v>
      </c>
      <c r="C39" s="128" t="s">
        <v>13</v>
      </c>
      <c r="D39" s="128" t="s">
        <v>47</v>
      </c>
      <c r="E39" s="128">
        <v>250</v>
      </c>
      <c r="F39" s="128">
        <v>250</v>
      </c>
      <c r="G39" s="435">
        <v>0.66540078732106223</v>
      </c>
      <c r="H39" s="435">
        <v>185.49982628351194</v>
      </c>
      <c r="I39" s="435">
        <v>0.66540078732106223</v>
      </c>
      <c r="J39" s="435">
        <v>185.49982628351194</v>
      </c>
      <c r="K39" s="435">
        <v>0.15191798797284528</v>
      </c>
      <c r="L39" s="435">
        <v>42.351558512217338</v>
      </c>
      <c r="M39" s="435">
        <v>0.26445415906349912</v>
      </c>
      <c r="N39" s="435">
        <v>95.128116042826633</v>
      </c>
      <c r="O39" s="130">
        <v>18</v>
      </c>
      <c r="P39" s="133" t="s">
        <v>390</v>
      </c>
      <c r="Q39" s="471" t="s">
        <v>349</v>
      </c>
    </row>
    <row r="40" spans="1:19" ht="15" x14ac:dyDescent="0.25">
      <c r="A40" s="30">
        <v>13</v>
      </c>
      <c r="B40" s="133" t="s">
        <v>194</v>
      </c>
      <c r="C40" s="128" t="s">
        <v>13</v>
      </c>
      <c r="D40" s="128" t="s">
        <v>50</v>
      </c>
      <c r="E40" s="128">
        <v>250</v>
      </c>
      <c r="F40" s="128">
        <v>250</v>
      </c>
      <c r="G40" s="435"/>
      <c r="H40" s="435"/>
      <c r="I40" s="435"/>
      <c r="J40" s="435"/>
      <c r="K40" s="435"/>
      <c r="L40" s="435"/>
      <c r="M40" s="435"/>
      <c r="N40" s="435"/>
      <c r="O40" s="130"/>
      <c r="P40" s="133"/>
      <c r="Q40" s="471"/>
    </row>
    <row r="41" spans="1:19" ht="15" x14ac:dyDescent="0.25">
      <c r="A41" s="30">
        <v>14</v>
      </c>
      <c r="B41" s="133" t="s">
        <v>381</v>
      </c>
      <c r="C41" s="128" t="s">
        <v>13</v>
      </c>
      <c r="D41" s="128" t="s">
        <v>47</v>
      </c>
      <c r="E41" s="128">
        <v>250</v>
      </c>
      <c r="F41" s="128">
        <v>250</v>
      </c>
      <c r="G41" s="129">
        <v>1036.2965235173826</v>
      </c>
      <c r="H41" s="129">
        <v>1398.3311520109069</v>
      </c>
      <c r="I41" s="129">
        <v>1036.2965235173826</v>
      </c>
      <c r="J41" s="129">
        <v>1398.3311520109069</v>
      </c>
      <c r="K41" s="129">
        <v>236.59737979848921</v>
      </c>
      <c r="L41" s="129">
        <v>319.25368767372305</v>
      </c>
      <c r="M41" s="129">
        <v>411.86143883383158</v>
      </c>
      <c r="N41" s="129">
        <v>555.74699631202714</v>
      </c>
      <c r="O41" s="130">
        <v>1332</v>
      </c>
      <c r="P41" s="133" t="s">
        <v>400</v>
      </c>
      <c r="Q41" s="471" t="s">
        <v>349</v>
      </c>
    </row>
    <row r="42" spans="1:19" ht="15" x14ac:dyDescent="0.25">
      <c r="A42" s="30">
        <v>14</v>
      </c>
      <c r="B42" s="133" t="s">
        <v>381</v>
      </c>
      <c r="C42" s="128" t="s">
        <v>13</v>
      </c>
      <c r="D42" s="128" t="s">
        <v>50</v>
      </c>
      <c r="E42" s="128">
        <v>250</v>
      </c>
      <c r="F42" s="128">
        <v>250</v>
      </c>
      <c r="G42" s="129"/>
      <c r="H42" s="129"/>
      <c r="I42" s="129"/>
      <c r="J42" s="129"/>
      <c r="K42" s="129"/>
      <c r="L42" s="129"/>
      <c r="M42" s="129"/>
      <c r="N42" s="129"/>
      <c r="O42" s="130"/>
      <c r="P42" s="133"/>
      <c r="Q42" s="471"/>
    </row>
    <row r="43" spans="1:19" ht="75" x14ac:dyDescent="0.25">
      <c r="A43" s="30">
        <v>15</v>
      </c>
      <c r="B43" s="133" t="s">
        <v>382</v>
      </c>
      <c r="C43" s="128" t="s">
        <v>13</v>
      </c>
      <c r="D43" s="128" t="s">
        <v>47</v>
      </c>
      <c r="E43" s="128">
        <v>250</v>
      </c>
      <c r="F43" s="128">
        <v>250</v>
      </c>
      <c r="G43" s="129">
        <v>191.04907975460125</v>
      </c>
      <c r="H43" s="129">
        <v>997.50702453987708</v>
      </c>
      <c r="I43" s="129">
        <v>191.04907975460125</v>
      </c>
      <c r="J43" s="129">
        <v>997.50702453987708</v>
      </c>
      <c r="K43" s="129">
        <v>43.618511359498008</v>
      </c>
      <c r="L43" s="129">
        <v>227.74132980362492</v>
      </c>
      <c r="M43" s="129">
        <v>75.929762466572299</v>
      </c>
      <c r="N43" s="129">
        <v>511.54206386660366</v>
      </c>
      <c r="O43" s="130">
        <v>84</v>
      </c>
      <c r="P43" s="133" t="s">
        <v>411</v>
      </c>
      <c r="Q43" s="471" t="s">
        <v>349</v>
      </c>
    </row>
    <row r="44" spans="1:19" ht="15" x14ac:dyDescent="0.25">
      <c r="A44" s="30">
        <v>15</v>
      </c>
      <c r="B44" s="133" t="s">
        <v>382</v>
      </c>
      <c r="C44" s="128" t="s">
        <v>13</v>
      </c>
      <c r="D44" s="128" t="s">
        <v>50</v>
      </c>
      <c r="E44" s="128">
        <v>250</v>
      </c>
      <c r="F44" s="128">
        <v>250</v>
      </c>
      <c r="G44" s="129"/>
      <c r="H44" s="129"/>
      <c r="I44" s="129"/>
      <c r="J44" s="129"/>
      <c r="K44" s="129"/>
      <c r="L44" s="129"/>
      <c r="M44" s="129"/>
      <c r="N44" s="129"/>
      <c r="O44" s="130"/>
      <c r="P44" s="133"/>
      <c r="Q44" s="471"/>
    </row>
    <row r="45" spans="1:19" ht="45" x14ac:dyDescent="0.25">
      <c r="A45" s="30">
        <v>16</v>
      </c>
      <c r="B45" s="132" t="s">
        <v>197</v>
      </c>
      <c r="C45" s="128" t="s">
        <v>13</v>
      </c>
      <c r="D45" s="128" t="s">
        <v>47</v>
      </c>
      <c r="E45" s="128">
        <v>250</v>
      </c>
      <c r="F45" s="128">
        <v>250</v>
      </c>
      <c r="G45" s="129">
        <v>6.0390486852926966</v>
      </c>
      <c r="H45" s="129">
        <v>101.9348045846115</v>
      </c>
      <c r="I45" s="129">
        <v>6.0390486852926966</v>
      </c>
      <c r="J45" s="129">
        <v>101.9348045846115</v>
      </c>
      <c r="K45" s="129">
        <v>1.3787782386513008</v>
      </c>
      <c r="L45" s="129">
        <v>23.272786434842807</v>
      </c>
      <c r="M45" s="129">
        <v>2.4001347338983798</v>
      </c>
      <c r="N45" s="129">
        <v>52.274258761339233</v>
      </c>
      <c r="O45" s="130">
        <v>76</v>
      </c>
      <c r="P45" s="133" t="s">
        <v>401</v>
      </c>
      <c r="Q45" s="471" t="s">
        <v>349</v>
      </c>
    </row>
    <row r="46" spans="1:19" ht="15" x14ac:dyDescent="0.25">
      <c r="A46" s="30">
        <v>16</v>
      </c>
      <c r="B46" s="132" t="s">
        <v>197</v>
      </c>
      <c r="C46" s="128" t="s">
        <v>13</v>
      </c>
      <c r="D46" s="128" t="s">
        <v>50</v>
      </c>
      <c r="E46" s="128">
        <v>250</v>
      </c>
      <c r="F46" s="128">
        <v>250</v>
      </c>
      <c r="G46" s="129"/>
      <c r="H46" s="129"/>
      <c r="I46" s="129"/>
      <c r="J46" s="129"/>
      <c r="K46" s="129"/>
      <c r="L46" s="129"/>
      <c r="M46" s="129"/>
      <c r="N46" s="129"/>
      <c r="O46" s="130"/>
      <c r="P46" s="133"/>
      <c r="Q46" s="471"/>
    </row>
    <row r="47" spans="1:19" ht="30" x14ac:dyDescent="0.25">
      <c r="A47" s="30">
        <v>17</v>
      </c>
      <c r="B47" s="133" t="s">
        <v>198</v>
      </c>
      <c r="C47" s="128" t="s">
        <v>13</v>
      </c>
      <c r="D47" s="128" t="s">
        <v>47</v>
      </c>
      <c r="E47" s="128">
        <v>250</v>
      </c>
      <c r="F47" s="128">
        <v>250</v>
      </c>
      <c r="G47" s="129">
        <v>8.5018230055371333</v>
      </c>
      <c r="H47" s="129">
        <v>206.11036809815934</v>
      </c>
      <c r="I47" s="129">
        <v>8.5018230055371333</v>
      </c>
      <c r="J47" s="129">
        <v>206.11036809815934</v>
      </c>
      <c r="K47" s="129">
        <v>1.9410554807162403</v>
      </c>
      <c r="L47" s="129">
        <v>47.057161666246422</v>
      </c>
      <c r="M47" s="129">
        <v>3.3789296560468092</v>
      </c>
      <c r="N47" s="129">
        <v>105.69762466572274</v>
      </c>
      <c r="O47" s="130">
        <v>62</v>
      </c>
      <c r="P47" s="133" t="s">
        <v>402</v>
      </c>
      <c r="Q47" s="471" t="s">
        <v>349</v>
      </c>
    </row>
    <row r="48" spans="1:19" ht="15" x14ac:dyDescent="0.25">
      <c r="A48" s="30">
        <v>17</v>
      </c>
      <c r="B48" s="133" t="s">
        <v>198</v>
      </c>
      <c r="C48" s="128" t="s">
        <v>13</v>
      </c>
      <c r="D48" s="128" t="s">
        <v>50</v>
      </c>
      <c r="E48" s="128">
        <v>250</v>
      </c>
      <c r="F48" s="128">
        <v>250</v>
      </c>
      <c r="G48" s="129">
        <v>9.6890106595092043</v>
      </c>
      <c r="H48" s="129">
        <v>10.280850314417179</v>
      </c>
      <c r="I48" s="129">
        <v>9.6890106595092043</v>
      </c>
      <c r="J48" s="129">
        <v>10.280850314417179</v>
      </c>
      <c r="K48" s="129">
        <v>2.2121028902989051</v>
      </c>
      <c r="L48" s="129">
        <v>2.3472260991820044</v>
      </c>
      <c r="M48" s="129">
        <v>3.8507606467280167</v>
      </c>
      <c r="N48" s="129">
        <v>5.2722309304703483</v>
      </c>
      <c r="O48" s="130">
        <v>2</v>
      </c>
      <c r="P48" s="133" t="s">
        <v>399</v>
      </c>
      <c r="Q48" s="471" t="s">
        <v>349</v>
      </c>
    </row>
    <row r="49" spans="1:17" ht="30" x14ac:dyDescent="0.25">
      <c r="A49" s="30">
        <v>18</v>
      </c>
      <c r="B49" s="133" t="s">
        <v>383</v>
      </c>
      <c r="C49" s="128" t="s">
        <v>13</v>
      </c>
      <c r="D49" s="128" t="s">
        <v>47</v>
      </c>
      <c r="E49" s="128">
        <v>250</v>
      </c>
      <c r="F49" s="128">
        <v>250</v>
      </c>
      <c r="G49" s="129">
        <v>8.7107250311860849</v>
      </c>
      <c r="H49" s="129">
        <v>160.26380324172365</v>
      </c>
      <c r="I49" s="129">
        <v>8.7107250311860849</v>
      </c>
      <c r="J49" s="129">
        <v>160.26380324172365</v>
      </c>
      <c r="K49" s="129">
        <v>1.9887500071201107</v>
      </c>
      <c r="L49" s="129">
        <v>36.58990941591864</v>
      </c>
      <c r="M49" s="129">
        <v>3.4619548200867771</v>
      </c>
      <c r="N49" s="129">
        <v>82.186565764986497</v>
      </c>
      <c r="O49" s="130">
        <v>130</v>
      </c>
      <c r="P49" s="133" t="s">
        <v>410</v>
      </c>
      <c r="Q49" s="471" t="s">
        <v>349</v>
      </c>
    </row>
    <row r="50" spans="1:17" ht="15" x14ac:dyDescent="0.25">
      <c r="A50" s="30">
        <v>18</v>
      </c>
      <c r="B50" s="133" t="s">
        <v>383</v>
      </c>
      <c r="C50" s="128" t="s">
        <v>13</v>
      </c>
      <c r="D50" s="136" t="s">
        <v>50</v>
      </c>
      <c r="E50" s="128">
        <v>250</v>
      </c>
      <c r="F50" s="128">
        <v>250</v>
      </c>
      <c r="G50" s="132"/>
      <c r="H50" s="132"/>
      <c r="I50" s="132"/>
      <c r="J50" s="132"/>
      <c r="K50" s="132"/>
      <c r="L50" s="132"/>
      <c r="M50" s="129"/>
      <c r="N50" s="129"/>
      <c r="O50" s="130"/>
      <c r="P50" s="133"/>
      <c r="Q50" s="471"/>
    </row>
    <row r="51" spans="1:17" ht="15" x14ac:dyDescent="0.25">
      <c r="A51" s="30">
        <v>19</v>
      </c>
      <c r="B51" s="133" t="s">
        <v>384</v>
      </c>
      <c r="C51" s="128" t="s">
        <v>13</v>
      </c>
      <c r="D51" s="128" t="s">
        <v>47</v>
      </c>
      <c r="E51" s="128">
        <v>250</v>
      </c>
      <c r="F51" s="128">
        <v>250</v>
      </c>
      <c r="G51" s="129">
        <v>56.656499999999994</v>
      </c>
      <c r="H51" s="129">
        <v>930.08499999999913</v>
      </c>
      <c r="I51" s="129">
        <v>56.656499999999994</v>
      </c>
      <c r="J51" s="129">
        <v>930.08499999999913</v>
      </c>
      <c r="K51" s="129">
        <v>12.935273972602738</v>
      </c>
      <c r="L51" s="129">
        <v>212.34817351598153</v>
      </c>
      <c r="M51" s="129">
        <v>22.517326923076919</v>
      </c>
      <c r="N51" s="129">
        <v>476.96666666666619</v>
      </c>
      <c r="O51" s="130">
        <v>108</v>
      </c>
      <c r="P51" s="133" t="s">
        <v>392</v>
      </c>
      <c r="Q51" s="471" t="s">
        <v>349</v>
      </c>
    </row>
    <row r="52" spans="1:17" ht="15" x14ac:dyDescent="0.25">
      <c r="A52" s="30">
        <v>19</v>
      </c>
      <c r="B52" s="133" t="s">
        <v>384</v>
      </c>
      <c r="C52" s="128" t="s">
        <v>13</v>
      </c>
      <c r="D52" s="128" t="s">
        <v>50</v>
      </c>
      <c r="E52" s="128">
        <v>250</v>
      </c>
      <c r="F52" s="128">
        <v>250</v>
      </c>
      <c r="G52" s="132"/>
      <c r="H52" s="132"/>
      <c r="I52" s="132"/>
      <c r="J52" s="132"/>
      <c r="K52" s="132"/>
      <c r="L52" s="132"/>
      <c r="M52" s="129"/>
      <c r="N52" s="129"/>
      <c r="O52" s="130"/>
      <c r="P52" s="133"/>
      <c r="Q52" s="471"/>
    </row>
    <row r="53" spans="1:17" ht="30" x14ac:dyDescent="0.25">
      <c r="A53" s="30">
        <v>20</v>
      </c>
      <c r="B53" s="127" t="s">
        <v>202</v>
      </c>
      <c r="C53" s="128" t="s">
        <v>13</v>
      </c>
      <c r="D53" s="128" t="s">
        <v>47</v>
      </c>
      <c r="E53" s="128">
        <v>250</v>
      </c>
      <c r="F53" s="128">
        <v>250</v>
      </c>
      <c r="G53" s="129">
        <v>2.3441666666666667</v>
      </c>
      <c r="H53" s="129">
        <v>80.677739906428926</v>
      </c>
      <c r="I53" s="129">
        <v>2.3441666666666667</v>
      </c>
      <c r="J53" s="129">
        <v>80.677739906428926</v>
      </c>
      <c r="K53" s="129">
        <v>0.53519786910197864</v>
      </c>
      <c r="L53" s="129">
        <v>18.419575321102492</v>
      </c>
      <c r="M53" s="129">
        <v>0.93165598290598273</v>
      </c>
      <c r="N53" s="129">
        <v>41.373199952014829</v>
      </c>
      <c r="O53" s="130">
        <v>22</v>
      </c>
      <c r="P53" s="127" t="s">
        <v>403</v>
      </c>
      <c r="Q53" s="472" t="s">
        <v>349</v>
      </c>
    </row>
    <row r="54" spans="1:17" ht="15.75" thickBot="1" x14ac:dyDescent="0.3">
      <c r="A54" s="30">
        <v>20</v>
      </c>
      <c r="B54" s="451" t="s">
        <v>202</v>
      </c>
      <c r="C54" s="452" t="s">
        <v>13</v>
      </c>
      <c r="D54" s="452" t="s">
        <v>50</v>
      </c>
      <c r="E54" s="452">
        <v>250</v>
      </c>
      <c r="F54" s="452">
        <v>250</v>
      </c>
      <c r="G54" s="453"/>
      <c r="H54" s="453"/>
      <c r="I54" s="453"/>
      <c r="J54" s="453"/>
      <c r="K54" s="453"/>
      <c r="L54" s="453"/>
      <c r="M54" s="454"/>
      <c r="N54" s="454"/>
      <c r="O54" s="455"/>
      <c r="P54" s="451"/>
      <c r="Q54" s="476"/>
    </row>
    <row r="55" spans="1:17" ht="15" x14ac:dyDescent="0.25">
      <c r="A55" s="126">
        <v>1</v>
      </c>
      <c r="B55" s="448" t="s">
        <v>11</v>
      </c>
      <c r="C55" s="131" t="s">
        <v>14</v>
      </c>
      <c r="D55" s="128" t="s">
        <v>47</v>
      </c>
      <c r="E55" s="128"/>
      <c r="F55" s="128"/>
      <c r="G55" s="129">
        <v>9.5524539877300612</v>
      </c>
      <c r="H55" s="129">
        <v>184.10184049079757</v>
      </c>
      <c r="I55" s="129"/>
      <c r="J55" s="129"/>
      <c r="K55" s="129"/>
      <c r="L55" s="129"/>
      <c r="M55" s="129"/>
      <c r="N55" s="129"/>
      <c r="O55" s="136">
        <v>148</v>
      </c>
      <c r="P55" s="127" t="s">
        <v>359</v>
      </c>
      <c r="Q55" s="472" t="s">
        <v>349</v>
      </c>
    </row>
    <row r="56" spans="1:17" ht="15" x14ac:dyDescent="0.25">
      <c r="A56" s="126">
        <v>1</v>
      </c>
      <c r="B56" s="127" t="s">
        <v>11</v>
      </c>
      <c r="C56" s="131" t="s">
        <v>15</v>
      </c>
      <c r="D56" s="128" t="s">
        <v>47</v>
      </c>
      <c r="E56" s="128"/>
      <c r="F56" s="128"/>
      <c r="G56" s="129">
        <v>2.6052147239263808</v>
      </c>
      <c r="H56" s="129">
        <v>2.6052147239263808</v>
      </c>
      <c r="I56" s="129"/>
      <c r="J56" s="129"/>
      <c r="K56" s="129"/>
      <c r="L56" s="129"/>
      <c r="M56" s="129"/>
      <c r="N56" s="129"/>
      <c r="O56" s="136">
        <v>1</v>
      </c>
      <c r="P56" s="133" t="s">
        <v>359</v>
      </c>
      <c r="Q56" s="471" t="s">
        <v>349</v>
      </c>
    </row>
    <row r="57" spans="1:17" ht="15" x14ac:dyDescent="0.25">
      <c r="A57" s="30">
        <v>1</v>
      </c>
      <c r="B57" s="127" t="s">
        <v>11</v>
      </c>
      <c r="C57" s="131" t="s">
        <v>16</v>
      </c>
      <c r="D57" s="128" t="s">
        <v>47</v>
      </c>
      <c r="E57" s="128"/>
      <c r="F57" s="128"/>
      <c r="G57" s="134">
        <v>4.2551840490797552</v>
      </c>
      <c r="H57" s="134">
        <v>15.978650306748465</v>
      </c>
      <c r="I57" s="134"/>
      <c r="J57" s="134"/>
      <c r="K57" s="134"/>
      <c r="L57" s="134"/>
      <c r="M57" s="134"/>
      <c r="N57" s="134"/>
      <c r="O57" s="128">
        <v>4</v>
      </c>
      <c r="P57" s="127" t="s">
        <v>359</v>
      </c>
      <c r="Q57" s="472" t="s">
        <v>349</v>
      </c>
    </row>
    <row r="58" spans="1:17" ht="15" x14ac:dyDescent="0.25">
      <c r="A58" s="30">
        <v>1</v>
      </c>
      <c r="B58" s="127" t="s">
        <v>11</v>
      </c>
      <c r="C58" s="131"/>
      <c r="D58" s="128" t="s">
        <v>50</v>
      </c>
      <c r="E58" s="128"/>
      <c r="F58" s="128"/>
      <c r="G58" s="134"/>
      <c r="H58" s="134"/>
      <c r="I58" s="134"/>
      <c r="J58" s="134"/>
      <c r="K58" s="134"/>
      <c r="L58" s="134"/>
      <c r="M58" s="134"/>
      <c r="N58" s="134"/>
      <c r="O58" s="136"/>
      <c r="P58" s="133"/>
      <c r="Q58" s="471"/>
    </row>
    <row r="59" spans="1:17" ht="15" x14ac:dyDescent="0.25">
      <c r="A59" s="30">
        <v>2</v>
      </c>
      <c r="B59" s="132" t="s">
        <v>180</v>
      </c>
      <c r="C59" s="131" t="s">
        <v>14</v>
      </c>
      <c r="D59" s="128" t="s">
        <v>47</v>
      </c>
      <c r="E59" s="128"/>
      <c r="F59" s="128"/>
      <c r="G59" s="134"/>
      <c r="H59" s="134">
        <v>350</v>
      </c>
      <c r="I59" s="134"/>
      <c r="J59" s="134"/>
      <c r="K59" s="134"/>
      <c r="L59" s="134"/>
      <c r="M59" s="134"/>
      <c r="N59" s="134"/>
      <c r="O59" s="136">
        <v>1</v>
      </c>
      <c r="P59" s="127" t="s">
        <v>404</v>
      </c>
      <c r="Q59" s="472" t="s">
        <v>349</v>
      </c>
    </row>
    <row r="60" spans="1:17" ht="15" x14ac:dyDescent="0.25">
      <c r="A60" s="30">
        <v>2</v>
      </c>
      <c r="B60" s="132" t="s">
        <v>180</v>
      </c>
      <c r="C60" s="131"/>
      <c r="D60" s="128" t="s">
        <v>50</v>
      </c>
      <c r="E60" s="128"/>
      <c r="F60" s="128"/>
      <c r="G60" s="147"/>
      <c r="H60" s="147"/>
      <c r="I60" s="134"/>
      <c r="J60" s="134"/>
      <c r="K60" s="134"/>
      <c r="L60" s="134"/>
      <c r="M60" s="134"/>
      <c r="N60" s="134"/>
      <c r="O60" s="136"/>
      <c r="P60" s="127"/>
      <c r="Q60" s="472"/>
    </row>
    <row r="61" spans="1:17" ht="30" x14ac:dyDescent="0.25">
      <c r="A61" s="30">
        <v>3</v>
      </c>
      <c r="B61" s="133" t="s">
        <v>375</v>
      </c>
      <c r="C61" s="131"/>
      <c r="D61" s="128" t="s">
        <v>47</v>
      </c>
      <c r="E61" s="128"/>
      <c r="F61" s="128"/>
      <c r="G61" s="134"/>
      <c r="H61" s="134"/>
      <c r="I61" s="134"/>
      <c r="J61" s="134"/>
      <c r="K61" s="134"/>
      <c r="L61" s="134"/>
      <c r="M61" s="134"/>
      <c r="N61" s="134"/>
      <c r="O61" s="136"/>
      <c r="P61" s="127"/>
      <c r="Q61" s="472"/>
    </row>
    <row r="62" spans="1:17" ht="30" x14ac:dyDescent="0.25">
      <c r="A62" s="30">
        <v>3</v>
      </c>
      <c r="B62" s="133" t="s">
        <v>375</v>
      </c>
      <c r="C62" s="131"/>
      <c r="D62" s="128" t="s">
        <v>50</v>
      </c>
      <c r="E62" s="128"/>
      <c r="F62" s="128"/>
      <c r="G62" s="134"/>
      <c r="H62" s="134"/>
      <c r="I62" s="134"/>
      <c r="J62" s="134"/>
      <c r="K62" s="134"/>
      <c r="L62" s="134"/>
      <c r="M62" s="134"/>
      <c r="N62" s="134"/>
      <c r="O62" s="136"/>
      <c r="P62" s="127"/>
      <c r="Q62" s="472"/>
    </row>
    <row r="63" spans="1:17" ht="15" x14ac:dyDescent="0.25">
      <c r="A63" s="30">
        <v>4</v>
      </c>
      <c r="B63" s="133" t="s">
        <v>182</v>
      </c>
      <c r="C63" s="131" t="s">
        <v>15</v>
      </c>
      <c r="D63" s="128" t="s">
        <v>47</v>
      </c>
      <c r="E63" s="128"/>
      <c r="F63" s="128"/>
      <c r="G63" s="134">
        <v>17.5417791411043</v>
      </c>
      <c r="H63" s="134">
        <v>34.736196319018411</v>
      </c>
      <c r="I63" s="134"/>
      <c r="J63" s="134"/>
      <c r="K63" s="134"/>
      <c r="L63" s="134"/>
      <c r="M63" s="134"/>
      <c r="N63" s="134"/>
      <c r="O63" s="136">
        <v>2</v>
      </c>
      <c r="P63" s="127" t="s">
        <v>388</v>
      </c>
      <c r="Q63" s="472" t="s">
        <v>349</v>
      </c>
    </row>
    <row r="64" spans="1:17" ht="15" x14ac:dyDescent="0.25">
      <c r="A64" s="30">
        <v>4</v>
      </c>
      <c r="B64" s="133" t="s">
        <v>182</v>
      </c>
      <c r="C64" s="131" t="s">
        <v>16</v>
      </c>
      <c r="D64" s="128" t="s">
        <v>47</v>
      </c>
      <c r="E64" s="128"/>
      <c r="F64" s="128"/>
      <c r="G64" s="134">
        <v>178.19668711656445</v>
      </c>
      <c r="H64" s="134">
        <v>326.52024539877306</v>
      </c>
      <c r="I64" s="134"/>
      <c r="J64" s="134"/>
      <c r="K64" s="134"/>
      <c r="L64" s="134"/>
      <c r="M64" s="134"/>
      <c r="N64" s="134"/>
      <c r="O64" s="136">
        <v>2</v>
      </c>
      <c r="P64" s="127" t="s">
        <v>388</v>
      </c>
      <c r="Q64" s="472" t="s">
        <v>349</v>
      </c>
    </row>
    <row r="65" spans="1:17" ht="15" x14ac:dyDescent="0.25">
      <c r="A65" s="30">
        <v>5</v>
      </c>
      <c r="B65" s="132" t="s">
        <v>183</v>
      </c>
      <c r="C65" s="131"/>
      <c r="D65" s="128" t="s">
        <v>47</v>
      </c>
      <c r="E65" s="128"/>
      <c r="F65" s="128"/>
      <c r="G65" s="134"/>
      <c r="H65" s="134"/>
      <c r="I65" s="134"/>
      <c r="J65" s="134"/>
      <c r="K65" s="134"/>
      <c r="L65" s="134"/>
      <c r="M65" s="134"/>
      <c r="N65" s="134"/>
      <c r="O65" s="136"/>
      <c r="P65" s="127"/>
      <c r="Q65" s="472"/>
    </row>
    <row r="66" spans="1:17" ht="15" x14ac:dyDescent="0.25">
      <c r="A66" s="30">
        <v>5</v>
      </c>
      <c r="B66" s="132" t="s">
        <v>183</v>
      </c>
      <c r="C66" s="131"/>
      <c r="D66" s="128" t="s">
        <v>50</v>
      </c>
      <c r="E66" s="128"/>
      <c r="F66" s="128"/>
      <c r="G66" s="134"/>
      <c r="H66" s="134"/>
      <c r="I66" s="134"/>
      <c r="J66" s="134"/>
      <c r="K66" s="134"/>
      <c r="L66" s="134"/>
      <c r="M66" s="134"/>
      <c r="N66" s="134"/>
      <c r="O66" s="136"/>
      <c r="P66" s="133"/>
      <c r="Q66" s="471"/>
    </row>
    <row r="67" spans="1:17" ht="15" x14ac:dyDescent="0.25">
      <c r="A67" s="30">
        <v>6</v>
      </c>
      <c r="B67" s="132" t="s">
        <v>184</v>
      </c>
      <c r="C67" s="131"/>
      <c r="D67" s="128" t="s">
        <v>47</v>
      </c>
      <c r="E67" s="128"/>
      <c r="F67" s="128"/>
      <c r="G67" s="134"/>
      <c r="H67" s="134"/>
      <c r="I67" s="134"/>
      <c r="J67" s="134"/>
      <c r="K67" s="134"/>
      <c r="L67" s="134"/>
      <c r="M67" s="134"/>
      <c r="N67" s="134"/>
      <c r="O67" s="136"/>
      <c r="P67" s="474"/>
      <c r="Q67" s="471"/>
    </row>
    <row r="68" spans="1:17" ht="15" x14ac:dyDescent="0.25">
      <c r="A68" s="30">
        <v>6</v>
      </c>
      <c r="B68" s="132" t="s">
        <v>184</v>
      </c>
      <c r="C68" s="131"/>
      <c r="D68" s="128" t="s">
        <v>50</v>
      </c>
      <c r="E68" s="128"/>
      <c r="F68" s="128"/>
      <c r="G68" s="134"/>
      <c r="H68" s="134"/>
      <c r="I68" s="134"/>
      <c r="J68" s="134"/>
      <c r="K68" s="134"/>
      <c r="L68" s="134"/>
      <c r="M68" s="134"/>
      <c r="N68" s="134"/>
      <c r="O68" s="136"/>
      <c r="P68" s="474"/>
      <c r="Q68" s="471"/>
    </row>
    <row r="69" spans="1:17" ht="15" x14ac:dyDescent="0.25">
      <c r="A69" s="30">
        <v>7</v>
      </c>
      <c r="B69" s="132" t="s">
        <v>185</v>
      </c>
      <c r="C69" s="131"/>
      <c r="D69" s="128" t="s">
        <v>47</v>
      </c>
      <c r="E69" s="128"/>
      <c r="F69" s="128"/>
      <c r="G69" s="134"/>
      <c r="H69" s="134"/>
      <c r="I69" s="134"/>
      <c r="J69" s="134"/>
      <c r="K69" s="134"/>
      <c r="L69" s="134"/>
      <c r="M69" s="134"/>
      <c r="N69" s="134"/>
      <c r="O69" s="136"/>
      <c r="P69" s="133"/>
      <c r="Q69" s="471"/>
    </row>
    <row r="70" spans="1:17" ht="15" x14ac:dyDescent="0.25">
      <c r="A70" s="30">
        <v>7</v>
      </c>
      <c r="B70" s="132" t="s">
        <v>185</v>
      </c>
      <c r="C70" s="131"/>
      <c r="D70" s="128" t="s">
        <v>50</v>
      </c>
      <c r="E70" s="128"/>
      <c r="F70" s="128"/>
      <c r="G70" s="134"/>
      <c r="H70" s="134"/>
      <c r="I70" s="134"/>
      <c r="J70" s="134"/>
      <c r="K70" s="134"/>
      <c r="L70" s="134"/>
      <c r="M70" s="134"/>
      <c r="N70" s="134"/>
      <c r="O70" s="136"/>
      <c r="P70" s="133"/>
      <c r="Q70" s="471"/>
    </row>
    <row r="71" spans="1:17" ht="15" x14ac:dyDescent="0.25">
      <c r="A71" s="30">
        <v>8</v>
      </c>
      <c r="B71" s="132" t="s">
        <v>186</v>
      </c>
      <c r="C71" s="131" t="s">
        <v>16</v>
      </c>
      <c r="D71" s="128" t="s">
        <v>47</v>
      </c>
      <c r="E71" s="128"/>
      <c r="F71" s="128"/>
      <c r="G71" s="134">
        <v>68</v>
      </c>
      <c r="H71" s="134">
        <v>230.3</v>
      </c>
      <c r="I71" s="134"/>
      <c r="J71" s="134"/>
      <c r="K71" s="134"/>
      <c r="L71" s="134"/>
      <c r="M71" s="134"/>
      <c r="N71" s="134"/>
      <c r="O71" s="136" t="s">
        <v>350</v>
      </c>
      <c r="P71" s="133" t="s">
        <v>351</v>
      </c>
      <c r="Q71" s="471" t="s">
        <v>352</v>
      </c>
    </row>
    <row r="72" spans="1:17" ht="15" x14ac:dyDescent="0.25">
      <c r="A72" s="30">
        <v>8</v>
      </c>
      <c r="B72" s="132" t="s">
        <v>186</v>
      </c>
      <c r="C72" s="131" t="s">
        <v>16</v>
      </c>
      <c r="D72" s="128" t="s">
        <v>50</v>
      </c>
      <c r="E72" s="128"/>
      <c r="F72" s="128"/>
      <c r="G72" s="134">
        <v>1.2</v>
      </c>
      <c r="H72" s="134">
        <v>9.6999999999999993</v>
      </c>
      <c r="I72" s="134"/>
      <c r="J72" s="134"/>
      <c r="K72" s="134"/>
      <c r="L72" s="134"/>
      <c r="M72" s="134"/>
      <c r="N72" s="134"/>
      <c r="O72" s="136" t="s">
        <v>350</v>
      </c>
      <c r="P72" s="133" t="s">
        <v>351</v>
      </c>
      <c r="Q72" s="471" t="s">
        <v>352</v>
      </c>
    </row>
    <row r="73" spans="1:17" ht="15" x14ac:dyDescent="0.25">
      <c r="A73" s="30">
        <v>8</v>
      </c>
      <c r="B73" s="132" t="s">
        <v>370</v>
      </c>
      <c r="C73" s="131"/>
      <c r="D73" s="128" t="s">
        <v>47</v>
      </c>
      <c r="E73" s="128"/>
      <c r="F73" s="128"/>
      <c r="G73" s="435"/>
      <c r="H73" s="435"/>
      <c r="I73" s="435"/>
      <c r="J73" s="435"/>
      <c r="K73" s="435"/>
      <c r="L73" s="435"/>
      <c r="M73" s="435"/>
      <c r="N73" s="435"/>
      <c r="O73" s="136"/>
      <c r="P73" s="133"/>
      <c r="Q73" s="471"/>
    </row>
    <row r="74" spans="1:17" ht="15" x14ac:dyDescent="0.25">
      <c r="A74" s="30">
        <v>8</v>
      </c>
      <c r="B74" s="132" t="s">
        <v>370</v>
      </c>
      <c r="C74" s="131"/>
      <c r="D74" s="128" t="s">
        <v>50</v>
      </c>
      <c r="E74" s="128"/>
      <c r="F74" s="128"/>
      <c r="G74" s="435"/>
      <c r="H74" s="435"/>
      <c r="I74" s="435"/>
      <c r="J74" s="435"/>
      <c r="K74" s="435"/>
      <c r="L74" s="435"/>
      <c r="M74" s="435"/>
      <c r="N74" s="435"/>
      <c r="O74" s="136"/>
      <c r="P74" s="133"/>
      <c r="Q74" s="471"/>
    </row>
    <row r="75" spans="1:17" ht="15" x14ac:dyDescent="0.25">
      <c r="A75" s="30">
        <v>9</v>
      </c>
      <c r="B75" s="127" t="s">
        <v>378</v>
      </c>
      <c r="C75" s="131" t="s">
        <v>14</v>
      </c>
      <c r="D75" s="128" t="s">
        <v>47</v>
      </c>
      <c r="E75" s="128"/>
      <c r="F75" s="128"/>
      <c r="G75" s="134">
        <v>284.83680981595091</v>
      </c>
      <c r="H75" s="134">
        <v>662.07190184049091</v>
      </c>
      <c r="I75" s="134"/>
      <c r="J75" s="134"/>
      <c r="K75" s="134"/>
      <c r="L75" s="134"/>
      <c r="M75" s="134"/>
      <c r="N75" s="134"/>
      <c r="O75" s="136">
        <v>9</v>
      </c>
      <c r="P75" s="133" t="s">
        <v>399</v>
      </c>
      <c r="Q75" s="471" t="s">
        <v>349</v>
      </c>
    </row>
    <row r="76" spans="1:17" ht="15" x14ac:dyDescent="0.25">
      <c r="A76" s="30">
        <v>9</v>
      </c>
      <c r="B76" s="127" t="s">
        <v>378</v>
      </c>
      <c r="C76" s="131"/>
      <c r="D76" s="128" t="s">
        <v>50</v>
      </c>
      <c r="E76" s="128"/>
      <c r="F76" s="128"/>
      <c r="G76" s="129"/>
      <c r="H76" s="129"/>
      <c r="I76" s="129"/>
      <c r="J76" s="129"/>
      <c r="K76" s="129"/>
      <c r="L76" s="129"/>
      <c r="M76" s="129"/>
      <c r="N76" s="129"/>
      <c r="O76" s="136"/>
      <c r="P76" s="133"/>
      <c r="Q76" s="471"/>
    </row>
    <row r="77" spans="1:17" ht="15" x14ac:dyDescent="0.25">
      <c r="A77" s="30">
        <v>9</v>
      </c>
      <c r="B77" s="127" t="s">
        <v>379</v>
      </c>
      <c r="C77" s="131" t="s">
        <v>16</v>
      </c>
      <c r="D77" s="128" t="s">
        <v>47</v>
      </c>
      <c r="E77" s="128"/>
      <c r="F77" s="128"/>
      <c r="G77" s="134">
        <v>63.428294478527619</v>
      </c>
      <c r="H77" s="134">
        <v>63.428294478527619</v>
      </c>
      <c r="I77" s="134"/>
      <c r="J77" s="134"/>
      <c r="K77" s="134"/>
      <c r="L77" s="134"/>
      <c r="M77" s="134"/>
      <c r="N77" s="134"/>
      <c r="O77" s="136">
        <v>1</v>
      </c>
      <c r="P77" s="133" t="s">
        <v>399</v>
      </c>
      <c r="Q77" s="471" t="s">
        <v>349</v>
      </c>
    </row>
    <row r="78" spans="1:17" ht="15" x14ac:dyDescent="0.25">
      <c r="A78" s="30">
        <v>9</v>
      </c>
      <c r="B78" s="127" t="s">
        <v>379</v>
      </c>
      <c r="C78" s="131" t="s">
        <v>14</v>
      </c>
      <c r="D78" s="128" t="s">
        <v>47</v>
      </c>
      <c r="E78" s="128"/>
      <c r="F78" s="128"/>
      <c r="G78" s="129">
        <v>496.72760736196324</v>
      </c>
      <c r="H78" s="129">
        <v>569.67361963190183</v>
      </c>
      <c r="I78" s="129"/>
      <c r="J78" s="129"/>
      <c r="K78" s="129"/>
      <c r="L78" s="129"/>
      <c r="M78" s="129"/>
      <c r="N78" s="129"/>
      <c r="O78" s="136">
        <v>2</v>
      </c>
      <c r="P78" s="133" t="s">
        <v>405</v>
      </c>
      <c r="Q78" s="471" t="s">
        <v>349</v>
      </c>
    </row>
    <row r="79" spans="1:17" ht="15" x14ac:dyDescent="0.25">
      <c r="A79" s="30">
        <v>9</v>
      </c>
      <c r="B79" s="127" t="s">
        <v>379</v>
      </c>
      <c r="C79" s="131"/>
      <c r="D79" s="128" t="s">
        <v>50</v>
      </c>
      <c r="E79" s="128"/>
      <c r="F79" s="128"/>
      <c r="G79" s="134"/>
      <c r="H79" s="134"/>
      <c r="I79" s="134"/>
      <c r="J79" s="134"/>
      <c r="K79" s="134"/>
      <c r="L79" s="134"/>
      <c r="M79" s="134"/>
      <c r="N79" s="134"/>
      <c r="O79" s="136"/>
      <c r="P79" s="133"/>
      <c r="Q79" s="471"/>
    </row>
    <row r="80" spans="1:17" ht="15" x14ac:dyDescent="0.25">
      <c r="A80" s="30">
        <v>9</v>
      </c>
      <c r="B80" s="127" t="s">
        <v>380</v>
      </c>
      <c r="C80" s="131"/>
      <c r="D80" s="128" t="s">
        <v>47</v>
      </c>
      <c r="E80" s="128"/>
      <c r="F80" s="128"/>
      <c r="G80" s="435"/>
      <c r="H80" s="435"/>
      <c r="I80" s="435"/>
      <c r="J80" s="435"/>
      <c r="K80" s="435"/>
      <c r="L80" s="435"/>
      <c r="M80" s="435"/>
      <c r="N80" s="435"/>
      <c r="O80" s="136"/>
      <c r="P80" s="133"/>
      <c r="Q80" s="471"/>
    </row>
    <row r="81" spans="1:17" ht="15" x14ac:dyDescent="0.25">
      <c r="A81" s="30">
        <v>9</v>
      </c>
      <c r="B81" s="133" t="s">
        <v>371</v>
      </c>
      <c r="C81" s="131"/>
      <c r="D81" s="128" t="s">
        <v>50</v>
      </c>
      <c r="E81" s="128"/>
      <c r="F81" s="128"/>
      <c r="G81" s="435"/>
      <c r="H81" s="435"/>
      <c r="I81" s="435"/>
      <c r="J81" s="435"/>
      <c r="K81" s="435"/>
      <c r="L81" s="435"/>
      <c r="M81" s="435"/>
      <c r="N81" s="435"/>
      <c r="O81" s="136"/>
      <c r="P81" s="133"/>
      <c r="Q81" s="471"/>
    </row>
    <row r="82" spans="1:17" ht="15" x14ac:dyDescent="0.25">
      <c r="A82" s="30">
        <v>10</v>
      </c>
      <c r="B82" s="133" t="s">
        <v>189</v>
      </c>
      <c r="C82" s="131" t="s">
        <v>15</v>
      </c>
      <c r="D82" s="128" t="s">
        <v>47</v>
      </c>
      <c r="E82" s="128"/>
      <c r="F82" s="128"/>
      <c r="G82" s="134">
        <v>54</v>
      </c>
      <c r="H82" s="134">
        <v>71</v>
      </c>
      <c r="I82" s="134"/>
      <c r="J82" s="134"/>
      <c r="K82" s="134"/>
      <c r="L82" s="134"/>
      <c r="M82" s="134"/>
      <c r="N82" s="134"/>
      <c r="O82" s="136">
        <v>7</v>
      </c>
      <c r="P82" s="133" t="s">
        <v>358</v>
      </c>
      <c r="Q82" s="471" t="s">
        <v>349</v>
      </c>
    </row>
    <row r="83" spans="1:17" ht="15" x14ac:dyDescent="0.25">
      <c r="A83" s="30">
        <v>10</v>
      </c>
      <c r="B83" s="133" t="s">
        <v>189</v>
      </c>
      <c r="C83" s="131" t="s">
        <v>16</v>
      </c>
      <c r="D83" s="128" t="s">
        <v>47</v>
      </c>
      <c r="E83" s="128"/>
      <c r="F83" s="128"/>
      <c r="G83" s="134">
        <v>66.959018404907994</v>
      </c>
      <c r="H83" s="134">
        <v>127.21313496932518</v>
      </c>
      <c r="I83" s="134"/>
      <c r="J83" s="134"/>
      <c r="K83" s="134"/>
      <c r="L83" s="134"/>
      <c r="M83" s="134"/>
      <c r="N83" s="134"/>
      <c r="O83" s="136">
        <v>2</v>
      </c>
      <c r="P83" s="133" t="s">
        <v>358</v>
      </c>
      <c r="Q83" s="471" t="s">
        <v>349</v>
      </c>
    </row>
    <row r="84" spans="1:17" ht="15" x14ac:dyDescent="0.25">
      <c r="A84" s="30">
        <v>10</v>
      </c>
      <c r="B84" s="133" t="s">
        <v>189</v>
      </c>
      <c r="C84" s="131"/>
      <c r="D84" s="128" t="s">
        <v>50</v>
      </c>
      <c r="E84" s="128"/>
      <c r="F84" s="128"/>
      <c r="G84" s="134"/>
      <c r="H84" s="134"/>
      <c r="I84" s="134"/>
      <c r="J84" s="134"/>
      <c r="K84" s="134"/>
      <c r="L84" s="134"/>
      <c r="M84" s="134"/>
      <c r="N84" s="134"/>
      <c r="O84" s="136"/>
      <c r="P84" s="133"/>
      <c r="Q84" s="471"/>
    </row>
    <row r="85" spans="1:17" ht="15" x14ac:dyDescent="0.25">
      <c r="A85" s="30">
        <v>10</v>
      </c>
      <c r="B85" s="133" t="s">
        <v>190</v>
      </c>
      <c r="C85" s="131" t="s">
        <v>14</v>
      </c>
      <c r="D85" s="128" t="s">
        <v>47</v>
      </c>
      <c r="E85" s="128"/>
      <c r="F85" s="128"/>
      <c r="G85" s="134">
        <v>4.1399999999999997</v>
      </c>
      <c r="H85" s="134">
        <v>24.755000000000003</v>
      </c>
      <c r="I85" s="134"/>
      <c r="J85" s="134"/>
      <c r="K85" s="134"/>
      <c r="L85" s="134"/>
      <c r="M85" s="134"/>
      <c r="N85" s="134"/>
      <c r="O85" s="136">
        <v>5</v>
      </c>
      <c r="P85" s="133" t="s">
        <v>406</v>
      </c>
      <c r="Q85" s="471" t="s">
        <v>349</v>
      </c>
    </row>
    <row r="86" spans="1:17" ht="15" x14ac:dyDescent="0.25">
      <c r="A86" s="30">
        <v>10</v>
      </c>
      <c r="B86" s="133" t="s">
        <v>190</v>
      </c>
      <c r="C86" s="131"/>
      <c r="D86" s="128" t="s">
        <v>50</v>
      </c>
      <c r="E86" s="128"/>
      <c r="F86" s="128"/>
      <c r="G86" s="134"/>
      <c r="H86" s="134"/>
      <c r="I86" s="134"/>
      <c r="J86" s="134"/>
      <c r="K86" s="134"/>
      <c r="L86" s="134"/>
      <c r="M86" s="134"/>
      <c r="N86" s="134"/>
      <c r="O86" s="136"/>
      <c r="P86" s="133"/>
      <c r="Q86" s="471"/>
    </row>
    <row r="87" spans="1:17" ht="15" x14ac:dyDescent="0.25">
      <c r="A87" s="30">
        <v>11</v>
      </c>
      <c r="B87" s="132" t="s">
        <v>192</v>
      </c>
      <c r="C87" s="131"/>
      <c r="D87" s="128" t="s">
        <v>47</v>
      </c>
      <c r="E87" s="128"/>
      <c r="F87" s="128"/>
      <c r="G87" s="134"/>
      <c r="H87" s="134"/>
      <c r="I87" s="134"/>
      <c r="J87" s="134"/>
      <c r="K87" s="134"/>
      <c r="L87" s="134"/>
      <c r="M87" s="134"/>
      <c r="N87" s="134"/>
      <c r="O87" s="136"/>
      <c r="P87" s="133"/>
      <c r="Q87" s="471"/>
    </row>
    <row r="88" spans="1:17" ht="15" x14ac:dyDescent="0.25">
      <c r="A88" s="30">
        <v>11</v>
      </c>
      <c r="B88" s="132" t="s">
        <v>192</v>
      </c>
      <c r="C88" s="132"/>
      <c r="D88" s="136" t="s">
        <v>50</v>
      </c>
      <c r="E88" s="136"/>
      <c r="F88" s="136"/>
      <c r="G88" s="129"/>
      <c r="H88" s="129"/>
      <c r="I88" s="129"/>
      <c r="J88" s="129"/>
      <c r="K88" s="129"/>
      <c r="L88" s="129"/>
      <c r="M88" s="129"/>
      <c r="N88" s="129"/>
      <c r="O88" s="136"/>
      <c r="P88" s="133"/>
      <c r="Q88" s="133"/>
    </row>
    <row r="89" spans="1:17" ht="15" x14ac:dyDescent="0.25">
      <c r="A89" s="30">
        <v>12</v>
      </c>
      <c r="B89" s="132" t="s">
        <v>193</v>
      </c>
      <c r="C89" s="131"/>
      <c r="D89" s="128" t="s">
        <v>47</v>
      </c>
      <c r="E89" s="128"/>
      <c r="F89" s="128"/>
      <c r="G89" s="134"/>
      <c r="H89" s="134"/>
      <c r="I89" s="134"/>
      <c r="J89" s="134"/>
      <c r="K89" s="134"/>
      <c r="L89" s="134"/>
      <c r="M89" s="134"/>
      <c r="N89" s="134"/>
      <c r="O89" s="136"/>
      <c r="P89" s="133"/>
      <c r="Q89" s="471"/>
    </row>
    <row r="90" spans="1:17" ht="15" x14ac:dyDescent="0.25">
      <c r="A90" s="30">
        <v>12</v>
      </c>
      <c r="B90" s="132" t="s">
        <v>193</v>
      </c>
      <c r="C90" s="131"/>
      <c r="D90" s="128" t="s">
        <v>50</v>
      </c>
      <c r="E90" s="128"/>
      <c r="F90" s="128"/>
      <c r="G90" s="134"/>
      <c r="H90" s="134"/>
      <c r="I90" s="134"/>
      <c r="J90" s="134"/>
      <c r="K90" s="134"/>
      <c r="L90" s="134"/>
      <c r="M90" s="134"/>
      <c r="N90" s="134"/>
      <c r="O90" s="136"/>
      <c r="P90" s="133"/>
      <c r="Q90" s="471"/>
    </row>
    <row r="91" spans="1:17" ht="15" x14ac:dyDescent="0.25">
      <c r="A91" s="30">
        <v>13</v>
      </c>
      <c r="B91" s="132" t="s">
        <v>194</v>
      </c>
      <c r="C91" s="131"/>
      <c r="D91" s="128" t="s">
        <v>47</v>
      </c>
      <c r="E91" s="128"/>
      <c r="F91" s="128"/>
      <c r="G91" s="134"/>
      <c r="H91" s="134"/>
      <c r="I91" s="134"/>
      <c r="J91" s="134"/>
      <c r="K91" s="134"/>
      <c r="L91" s="134"/>
      <c r="M91" s="134"/>
      <c r="N91" s="134"/>
      <c r="O91" s="136"/>
      <c r="P91" s="133"/>
      <c r="Q91" s="471"/>
    </row>
    <row r="92" spans="1:17" ht="15" x14ac:dyDescent="0.25">
      <c r="A92" s="30">
        <v>13</v>
      </c>
      <c r="B92" s="132" t="s">
        <v>194</v>
      </c>
      <c r="C92" s="131"/>
      <c r="D92" s="128" t="s">
        <v>50</v>
      </c>
      <c r="E92" s="128"/>
      <c r="F92" s="128"/>
      <c r="G92" s="129"/>
      <c r="H92" s="129"/>
      <c r="I92" s="129"/>
      <c r="J92" s="129"/>
      <c r="K92" s="129"/>
      <c r="L92" s="129"/>
      <c r="M92" s="129"/>
      <c r="N92" s="134"/>
      <c r="O92" s="136"/>
      <c r="P92" s="133"/>
      <c r="Q92" s="471"/>
    </row>
    <row r="93" spans="1:17" ht="15" x14ac:dyDescent="0.25">
      <c r="A93" s="30">
        <v>14</v>
      </c>
      <c r="B93" s="133" t="s">
        <v>381</v>
      </c>
      <c r="C93" s="131"/>
      <c r="D93" s="128" t="s">
        <v>47</v>
      </c>
      <c r="E93" s="128"/>
      <c r="F93" s="128"/>
      <c r="G93" s="134"/>
      <c r="H93" s="134"/>
      <c r="I93" s="134"/>
      <c r="J93" s="134"/>
      <c r="K93" s="134"/>
      <c r="L93" s="134"/>
      <c r="M93" s="134"/>
      <c r="N93" s="134"/>
      <c r="O93" s="136"/>
      <c r="P93" s="127"/>
      <c r="Q93" s="472"/>
    </row>
    <row r="94" spans="1:17" ht="15" x14ac:dyDescent="0.25">
      <c r="A94" s="30">
        <v>14</v>
      </c>
      <c r="B94" s="133" t="s">
        <v>381</v>
      </c>
      <c r="C94" s="131"/>
      <c r="D94" s="128" t="s">
        <v>50</v>
      </c>
      <c r="E94" s="128"/>
      <c r="F94" s="128"/>
      <c r="G94" s="134"/>
      <c r="H94" s="134"/>
      <c r="I94" s="134"/>
      <c r="J94" s="134"/>
      <c r="K94" s="134"/>
      <c r="L94" s="134"/>
      <c r="M94" s="134"/>
      <c r="N94" s="134"/>
      <c r="O94" s="136"/>
      <c r="P94" s="127"/>
      <c r="Q94" s="472"/>
    </row>
    <row r="95" spans="1:17" ht="15" x14ac:dyDescent="0.25">
      <c r="A95" s="30">
        <v>15</v>
      </c>
      <c r="B95" s="133" t="s">
        <v>382</v>
      </c>
      <c r="C95" s="131" t="s">
        <v>15</v>
      </c>
      <c r="D95" s="128" t="s">
        <v>47</v>
      </c>
      <c r="E95" s="128"/>
      <c r="F95" s="128"/>
      <c r="G95" s="434"/>
      <c r="H95" s="434">
        <v>54.530999999999999</v>
      </c>
      <c r="I95" s="134"/>
      <c r="J95" s="134"/>
      <c r="K95" s="134"/>
      <c r="L95" s="134"/>
      <c r="M95" s="134"/>
      <c r="N95" s="134"/>
      <c r="O95" s="136">
        <v>1</v>
      </c>
      <c r="P95" s="127" t="s">
        <v>392</v>
      </c>
      <c r="Q95" s="472" t="s">
        <v>349</v>
      </c>
    </row>
    <row r="96" spans="1:17" ht="15" x14ac:dyDescent="0.25">
      <c r="A96" s="30">
        <v>15</v>
      </c>
      <c r="B96" s="133" t="s">
        <v>382</v>
      </c>
      <c r="C96" s="131"/>
      <c r="D96" s="128" t="s">
        <v>50</v>
      </c>
      <c r="E96" s="128"/>
      <c r="F96" s="128"/>
      <c r="G96" s="134"/>
      <c r="H96" s="134"/>
      <c r="I96" s="134"/>
      <c r="J96" s="134"/>
      <c r="K96" s="134"/>
      <c r="L96" s="134"/>
      <c r="M96" s="134"/>
      <c r="N96" s="134"/>
      <c r="O96" s="136"/>
      <c r="P96" s="127"/>
      <c r="Q96" s="472"/>
    </row>
    <row r="97" spans="1:17" ht="15" x14ac:dyDescent="0.25">
      <c r="A97" s="30">
        <v>16</v>
      </c>
      <c r="B97" s="132" t="s">
        <v>197</v>
      </c>
      <c r="C97" s="131" t="s">
        <v>14</v>
      </c>
      <c r="D97" s="128" t="s">
        <v>47</v>
      </c>
      <c r="E97" s="128"/>
      <c r="F97" s="128"/>
      <c r="G97" s="134">
        <v>6.67</v>
      </c>
      <c r="H97" s="134">
        <v>77.667607361963121</v>
      </c>
      <c r="I97" s="134"/>
      <c r="J97" s="134"/>
      <c r="K97" s="134"/>
      <c r="L97" s="134"/>
      <c r="M97" s="134"/>
      <c r="N97" s="134"/>
      <c r="O97" s="136">
        <v>15</v>
      </c>
      <c r="P97" s="127" t="s">
        <v>407</v>
      </c>
      <c r="Q97" s="471" t="s">
        <v>349</v>
      </c>
    </row>
    <row r="98" spans="1:17" ht="15" x14ac:dyDescent="0.25">
      <c r="A98" s="30">
        <v>16</v>
      </c>
      <c r="B98" s="132" t="s">
        <v>197</v>
      </c>
      <c r="C98" s="131" t="s">
        <v>15</v>
      </c>
      <c r="D98" s="128" t="s">
        <v>47</v>
      </c>
      <c r="E98" s="128"/>
      <c r="F98" s="128"/>
      <c r="G98" s="134">
        <v>4.415</v>
      </c>
      <c r="H98" s="134">
        <v>1454.2499999999991</v>
      </c>
      <c r="I98" s="134"/>
      <c r="J98" s="134"/>
      <c r="K98" s="134"/>
      <c r="L98" s="134"/>
      <c r="M98" s="134"/>
      <c r="N98" s="134"/>
      <c r="O98" s="136">
        <v>10</v>
      </c>
      <c r="P98" s="127" t="s">
        <v>407</v>
      </c>
      <c r="Q98" s="472" t="s">
        <v>349</v>
      </c>
    </row>
    <row r="99" spans="1:17" ht="15" x14ac:dyDescent="0.25">
      <c r="A99" s="30">
        <v>16</v>
      </c>
      <c r="B99" s="132" t="s">
        <v>197</v>
      </c>
      <c r="C99" s="131" t="s">
        <v>16</v>
      </c>
      <c r="D99" s="128" t="s">
        <v>47</v>
      </c>
      <c r="E99" s="128"/>
      <c r="F99" s="128"/>
      <c r="G99" s="134">
        <v>2.0660368098159498</v>
      </c>
      <c r="H99" s="134">
        <v>2.3936036809815953</v>
      </c>
      <c r="I99" s="134"/>
      <c r="J99" s="134"/>
      <c r="K99" s="134"/>
      <c r="L99" s="134"/>
      <c r="M99" s="134"/>
      <c r="N99" s="134"/>
      <c r="O99" s="136">
        <v>2</v>
      </c>
      <c r="P99" s="127" t="s">
        <v>407</v>
      </c>
      <c r="Q99" s="472" t="s">
        <v>349</v>
      </c>
    </row>
    <row r="100" spans="1:17" ht="15" x14ac:dyDescent="0.25">
      <c r="A100" s="30">
        <v>16</v>
      </c>
      <c r="B100" s="132" t="s">
        <v>197</v>
      </c>
      <c r="C100" s="131" t="s">
        <v>17</v>
      </c>
      <c r="D100" s="128" t="s">
        <v>47</v>
      </c>
      <c r="E100" s="128"/>
      <c r="F100" s="128"/>
      <c r="G100" s="129">
        <v>3.5225</v>
      </c>
      <c r="H100" s="129">
        <v>4.4249999999999998</v>
      </c>
      <c r="I100" s="129"/>
      <c r="J100" s="129"/>
      <c r="K100" s="129"/>
      <c r="L100" s="129"/>
      <c r="M100" s="129"/>
      <c r="N100" s="129"/>
      <c r="O100" s="136">
        <v>6</v>
      </c>
      <c r="P100" s="127" t="s">
        <v>407</v>
      </c>
      <c r="Q100" s="472" t="s">
        <v>349</v>
      </c>
    </row>
    <row r="101" spans="1:17" ht="15" x14ac:dyDescent="0.25">
      <c r="A101" s="30">
        <v>16</v>
      </c>
      <c r="B101" s="132" t="s">
        <v>197</v>
      </c>
      <c r="C101" s="131"/>
      <c r="D101" s="128" t="s">
        <v>50</v>
      </c>
      <c r="E101" s="128"/>
      <c r="F101" s="128"/>
      <c r="G101" s="129"/>
      <c r="H101" s="129"/>
      <c r="I101" s="129"/>
      <c r="J101" s="129"/>
      <c r="K101" s="129"/>
      <c r="L101" s="129"/>
      <c r="M101" s="129"/>
      <c r="N101" s="129"/>
      <c r="O101" s="137"/>
      <c r="P101" s="133"/>
      <c r="Q101" s="471"/>
    </row>
    <row r="102" spans="1:17" ht="15" x14ac:dyDescent="0.25">
      <c r="A102" s="30">
        <v>17</v>
      </c>
      <c r="B102" s="132" t="s">
        <v>198</v>
      </c>
      <c r="C102" s="131" t="s">
        <v>14</v>
      </c>
      <c r="D102" s="128" t="s">
        <v>47</v>
      </c>
      <c r="E102" s="128"/>
      <c r="F102" s="128"/>
      <c r="G102" s="129">
        <v>82.463730061349693</v>
      </c>
      <c r="H102" s="129">
        <v>129.83000736196317</v>
      </c>
      <c r="I102" s="129"/>
      <c r="J102" s="129"/>
      <c r="K102" s="129"/>
      <c r="L102" s="129"/>
      <c r="M102" s="129"/>
      <c r="N102" s="129"/>
      <c r="O102" s="136">
        <v>21</v>
      </c>
      <c r="P102" s="133" t="s">
        <v>408</v>
      </c>
      <c r="Q102" s="471" t="s">
        <v>349</v>
      </c>
    </row>
    <row r="103" spans="1:17" ht="15" x14ac:dyDescent="0.25">
      <c r="A103" s="30">
        <v>17</v>
      </c>
      <c r="B103" s="132" t="s">
        <v>198</v>
      </c>
      <c r="C103" s="131" t="s">
        <v>15</v>
      </c>
      <c r="D103" s="128" t="s">
        <v>47</v>
      </c>
      <c r="E103" s="128"/>
      <c r="F103" s="128"/>
      <c r="G103" s="129"/>
      <c r="H103" s="129">
        <v>59.758415337423315</v>
      </c>
      <c r="I103" s="129"/>
      <c r="J103" s="129"/>
      <c r="K103" s="129"/>
      <c r="L103" s="129"/>
      <c r="M103" s="129"/>
      <c r="N103" s="129"/>
      <c r="O103" s="136">
        <v>2</v>
      </c>
      <c r="P103" s="133" t="s">
        <v>359</v>
      </c>
      <c r="Q103" s="471" t="s">
        <v>349</v>
      </c>
    </row>
    <row r="104" spans="1:17" ht="15" x14ac:dyDescent="0.25">
      <c r="A104" s="30">
        <v>17</v>
      </c>
      <c r="B104" s="132" t="s">
        <v>198</v>
      </c>
      <c r="C104" s="131" t="s">
        <v>14</v>
      </c>
      <c r="D104" s="128" t="s">
        <v>50</v>
      </c>
      <c r="E104" s="128"/>
      <c r="F104" s="128"/>
      <c r="G104" s="129"/>
      <c r="H104" s="129"/>
      <c r="I104" s="129"/>
      <c r="J104" s="129"/>
      <c r="K104" s="129"/>
      <c r="L104" s="129"/>
      <c r="M104" s="129"/>
      <c r="N104" s="129"/>
      <c r="O104" s="136"/>
      <c r="P104" s="133"/>
      <c r="Q104" s="471"/>
    </row>
    <row r="105" spans="1:17" ht="15" x14ac:dyDescent="0.25">
      <c r="A105" s="30">
        <v>18</v>
      </c>
      <c r="B105" s="133" t="s">
        <v>383</v>
      </c>
      <c r="C105" s="131" t="s">
        <v>17</v>
      </c>
      <c r="D105" s="128" t="s">
        <v>47</v>
      </c>
      <c r="E105" s="128"/>
      <c r="F105" s="128"/>
      <c r="G105" s="134">
        <v>239.67975460122702</v>
      </c>
      <c r="H105" s="134">
        <v>937.87730061349703</v>
      </c>
      <c r="I105" s="134"/>
      <c r="J105" s="134"/>
      <c r="K105" s="134"/>
      <c r="L105" s="134"/>
      <c r="M105" s="134"/>
      <c r="N105" s="134"/>
      <c r="O105" s="136">
        <v>4</v>
      </c>
      <c r="P105" s="127" t="s">
        <v>360</v>
      </c>
      <c r="Q105" s="472" t="s">
        <v>349</v>
      </c>
    </row>
    <row r="106" spans="1:17" ht="15" x14ac:dyDescent="0.25">
      <c r="A106" s="30">
        <v>18</v>
      </c>
      <c r="B106" s="133" t="s">
        <v>383</v>
      </c>
      <c r="C106" s="131"/>
      <c r="D106" s="128" t="s">
        <v>50</v>
      </c>
      <c r="E106" s="128"/>
      <c r="F106" s="128"/>
      <c r="G106" s="134"/>
      <c r="H106" s="134"/>
      <c r="I106" s="134"/>
      <c r="J106" s="134"/>
      <c r="K106" s="134"/>
      <c r="L106" s="134"/>
      <c r="M106" s="134"/>
      <c r="N106" s="134"/>
      <c r="O106" s="136"/>
      <c r="P106" s="127"/>
      <c r="Q106" s="472"/>
    </row>
    <row r="107" spans="1:17" ht="15" x14ac:dyDescent="0.25">
      <c r="A107" s="30">
        <v>19</v>
      </c>
      <c r="B107" s="133" t="s">
        <v>384</v>
      </c>
      <c r="C107" s="131" t="s">
        <v>14</v>
      </c>
      <c r="D107" s="128" t="s">
        <v>47</v>
      </c>
      <c r="E107" s="128"/>
      <c r="F107" s="128"/>
      <c r="G107" s="134"/>
      <c r="H107" s="134"/>
      <c r="I107" s="134"/>
      <c r="J107" s="134"/>
      <c r="K107" s="134"/>
      <c r="L107" s="134"/>
      <c r="M107" s="134"/>
      <c r="N107" s="134"/>
      <c r="O107" s="136"/>
      <c r="P107" s="133"/>
      <c r="Q107" s="471"/>
    </row>
    <row r="108" spans="1:17" ht="15" x14ac:dyDescent="0.25">
      <c r="A108" s="30">
        <v>19</v>
      </c>
      <c r="B108" s="133" t="s">
        <v>384</v>
      </c>
      <c r="C108" s="131" t="s">
        <v>14</v>
      </c>
      <c r="D108" s="128" t="s">
        <v>50</v>
      </c>
      <c r="E108" s="128"/>
      <c r="F108" s="128"/>
      <c r="G108" s="134"/>
      <c r="H108" s="134"/>
      <c r="I108" s="134"/>
      <c r="J108" s="134"/>
      <c r="K108" s="134"/>
      <c r="L108" s="134"/>
      <c r="M108" s="134"/>
      <c r="N108" s="134"/>
      <c r="O108" s="136"/>
      <c r="P108" s="133"/>
      <c r="Q108" s="471"/>
    </row>
    <row r="109" spans="1:17" ht="15" x14ac:dyDescent="0.25">
      <c r="A109" s="30">
        <v>20</v>
      </c>
      <c r="B109" s="132" t="s">
        <v>369</v>
      </c>
      <c r="C109" s="131" t="s">
        <v>15</v>
      </c>
      <c r="D109" s="128" t="s">
        <v>47</v>
      </c>
      <c r="E109" s="128"/>
      <c r="F109" s="128"/>
      <c r="G109" s="435">
        <v>2.9</v>
      </c>
      <c r="H109" s="435">
        <v>2.9</v>
      </c>
      <c r="I109" s="435"/>
      <c r="J109" s="435"/>
      <c r="K109" s="435"/>
      <c r="L109" s="435"/>
      <c r="M109" s="435"/>
      <c r="N109" s="435"/>
      <c r="O109" s="136"/>
      <c r="P109" s="133"/>
      <c r="Q109" s="471"/>
    </row>
    <row r="110" spans="1:17" ht="15" x14ac:dyDescent="0.25">
      <c r="A110" s="30">
        <v>20</v>
      </c>
      <c r="B110" s="132" t="s">
        <v>369</v>
      </c>
      <c r="C110" s="131"/>
      <c r="D110" s="128" t="s">
        <v>47</v>
      </c>
      <c r="E110" s="128"/>
      <c r="F110" s="128"/>
      <c r="G110" s="435"/>
      <c r="H110" s="435"/>
      <c r="I110" s="435"/>
      <c r="J110" s="435"/>
      <c r="K110" s="435"/>
      <c r="L110" s="435"/>
      <c r="M110" s="435"/>
      <c r="N110" s="435"/>
      <c r="O110" s="136"/>
      <c r="P110" s="133"/>
      <c r="Q110" s="471"/>
    </row>
    <row r="111" spans="1:17" ht="15" x14ac:dyDescent="0.25">
      <c r="A111" s="30"/>
      <c r="B111" s="132" t="s">
        <v>191</v>
      </c>
      <c r="C111" s="131" t="s">
        <v>14</v>
      </c>
      <c r="D111" s="128" t="s">
        <v>47</v>
      </c>
      <c r="E111" s="128">
        <v>250</v>
      </c>
      <c r="F111" s="128">
        <v>250</v>
      </c>
      <c r="G111" s="435">
        <v>27.4</v>
      </c>
      <c r="H111" s="435">
        <v>289.29999999999984</v>
      </c>
      <c r="I111" s="435">
        <f>G111</f>
        <v>27.4</v>
      </c>
      <c r="J111" s="435">
        <f>H111</f>
        <v>289.29999999999984</v>
      </c>
      <c r="K111" s="435">
        <f>I111*8/24*E111/365</f>
        <v>6.2557077625570772</v>
      </c>
      <c r="L111" s="435">
        <f>J111*8/24*F111/365</f>
        <v>66.050228310502249</v>
      </c>
      <c r="M111" s="435">
        <f>I111*40/78</f>
        <v>14.051282051282051</v>
      </c>
      <c r="N111" s="435">
        <f>J111*40/78</f>
        <v>148.35897435897428</v>
      </c>
      <c r="O111" s="136">
        <v>324</v>
      </c>
      <c r="P111" s="133" t="s">
        <v>409</v>
      </c>
      <c r="Q111" s="471" t="s">
        <v>349</v>
      </c>
    </row>
    <row r="112" spans="1:17" ht="15" x14ac:dyDescent="0.25">
      <c r="A112" s="30"/>
      <c r="B112" s="132" t="s">
        <v>191</v>
      </c>
      <c r="C112" s="131" t="s">
        <v>13</v>
      </c>
      <c r="D112" s="128" t="s">
        <v>47</v>
      </c>
      <c r="E112" s="128">
        <v>250</v>
      </c>
      <c r="F112" s="128">
        <v>250</v>
      </c>
      <c r="G112" s="435">
        <v>4.9729166666666664</v>
      </c>
      <c r="H112" s="435">
        <v>47.101166666666671</v>
      </c>
      <c r="I112" s="435">
        <f>G112</f>
        <v>4.9729166666666664</v>
      </c>
      <c r="J112" s="435">
        <f>H112</f>
        <v>47.101166666666671</v>
      </c>
      <c r="K112" s="435">
        <f>I112*8/24*E112/365</f>
        <v>1.1353691019786911</v>
      </c>
      <c r="L112" s="435">
        <f>J112*8/24*F112/365</f>
        <v>10.753691019786912</v>
      </c>
      <c r="M112" s="435">
        <f>I112*31/78</f>
        <v>1.9764155982905982</v>
      </c>
      <c r="N112" s="435">
        <f>J112*40/78</f>
        <v>24.154444444444447</v>
      </c>
      <c r="O112" s="136">
        <v>11</v>
      </c>
      <c r="P112" s="133" t="s">
        <v>409</v>
      </c>
      <c r="Q112" s="471" t="s">
        <v>349</v>
      </c>
    </row>
    <row r="113" spans="1:17" x14ac:dyDescent="0.2">
      <c r="A113" s="30"/>
      <c r="B113" s="54"/>
      <c r="C113" s="52"/>
      <c r="D113" s="55"/>
      <c r="E113" s="55"/>
      <c r="F113" s="55"/>
      <c r="G113" s="56"/>
      <c r="H113" s="56"/>
      <c r="I113" s="56"/>
      <c r="J113" s="56"/>
      <c r="K113" s="56"/>
      <c r="L113" s="56"/>
      <c r="M113" s="56"/>
      <c r="N113" s="56"/>
      <c r="O113" s="57"/>
      <c r="P113" s="477"/>
      <c r="Q113" s="478"/>
    </row>
    <row r="114" spans="1:17" x14ac:dyDescent="0.2">
      <c r="A114" s="30"/>
      <c r="B114" s="54"/>
      <c r="C114" s="52"/>
      <c r="D114" s="55"/>
      <c r="E114" s="55"/>
      <c r="F114" s="55"/>
      <c r="G114" s="56"/>
      <c r="H114" s="56"/>
      <c r="I114" s="56"/>
      <c r="J114" s="56"/>
      <c r="K114" s="56"/>
      <c r="L114" s="56"/>
      <c r="M114" s="56"/>
      <c r="N114" s="56"/>
      <c r="O114" s="57"/>
      <c r="P114" s="477"/>
      <c r="Q114" s="478"/>
    </row>
    <row r="115" spans="1:17" x14ac:dyDescent="0.2">
      <c r="A115" s="30"/>
      <c r="B115" s="54"/>
      <c r="C115" s="52"/>
      <c r="D115" s="55"/>
      <c r="E115" s="55"/>
      <c r="F115" s="55"/>
      <c r="G115" s="56"/>
      <c r="H115" s="56"/>
      <c r="I115" s="56"/>
      <c r="J115" s="56"/>
      <c r="K115" s="56"/>
      <c r="L115" s="56"/>
      <c r="M115" s="56"/>
      <c r="N115" s="56"/>
      <c r="O115" s="57"/>
      <c r="P115" s="477"/>
      <c r="Q115" s="478"/>
    </row>
    <row r="116" spans="1:17" x14ac:dyDescent="0.2">
      <c r="A116" s="30"/>
      <c r="B116" s="54"/>
      <c r="C116" s="52"/>
      <c r="D116" s="55"/>
      <c r="E116" s="55"/>
      <c r="F116" s="55"/>
      <c r="G116" s="56"/>
      <c r="H116" s="56"/>
      <c r="I116" s="56"/>
      <c r="J116" s="56"/>
      <c r="K116" s="56"/>
      <c r="L116" s="56"/>
      <c r="M116" s="56"/>
      <c r="N116" s="56"/>
      <c r="O116" s="57"/>
      <c r="P116" s="477"/>
      <c r="Q116" s="478"/>
    </row>
    <row r="117" spans="1:17" x14ac:dyDescent="0.2">
      <c r="A117" s="30"/>
      <c r="B117" s="54"/>
      <c r="C117" s="52"/>
      <c r="D117" s="55"/>
      <c r="E117" s="55"/>
      <c r="F117" s="55"/>
      <c r="G117" s="56"/>
      <c r="H117" s="56"/>
      <c r="I117" s="56"/>
      <c r="J117" s="56"/>
      <c r="K117" s="56"/>
      <c r="L117" s="56"/>
      <c r="M117" s="56"/>
      <c r="N117" s="56"/>
      <c r="O117" s="57"/>
      <c r="P117" s="477"/>
      <c r="Q117" s="478"/>
    </row>
    <row r="118" spans="1:17" x14ac:dyDescent="0.2">
      <c r="A118" s="30"/>
      <c r="B118" s="54"/>
      <c r="C118" s="52"/>
      <c r="D118" s="55"/>
      <c r="E118" s="55"/>
      <c r="F118" s="55"/>
      <c r="G118" s="56"/>
      <c r="H118" s="56"/>
      <c r="I118" s="56"/>
      <c r="J118" s="56"/>
      <c r="K118" s="56"/>
      <c r="L118" s="56"/>
      <c r="M118" s="56"/>
      <c r="N118" s="56"/>
      <c r="O118" s="57"/>
      <c r="P118" s="477"/>
      <c r="Q118" s="478"/>
    </row>
    <row r="119" spans="1:17" x14ac:dyDescent="0.2">
      <c r="A119" s="30"/>
      <c r="B119" s="54"/>
      <c r="C119" s="52"/>
      <c r="D119" s="55"/>
      <c r="E119" s="55"/>
      <c r="F119" s="55"/>
      <c r="G119" s="56"/>
      <c r="H119" s="56"/>
      <c r="I119" s="56"/>
      <c r="J119" s="56"/>
      <c r="K119" s="56"/>
      <c r="L119" s="56"/>
      <c r="M119" s="56"/>
      <c r="N119" s="56"/>
      <c r="O119" s="57"/>
      <c r="P119" s="477"/>
      <c r="Q119" s="478"/>
    </row>
    <row r="120" spans="1:17" x14ac:dyDescent="0.2">
      <c r="A120" s="30"/>
      <c r="B120" s="54"/>
      <c r="C120" s="52"/>
      <c r="D120" s="55"/>
      <c r="E120" s="55"/>
      <c r="F120" s="55"/>
      <c r="G120" s="56"/>
      <c r="H120" s="56"/>
      <c r="I120" s="56"/>
      <c r="J120" s="56"/>
      <c r="K120" s="56"/>
      <c r="L120" s="56"/>
      <c r="M120" s="56"/>
      <c r="N120" s="56"/>
      <c r="O120" s="57"/>
      <c r="P120" s="477"/>
      <c r="Q120" s="478"/>
    </row>
    <row r="121" spans="1:17" x14ac:dyDescent="0.2">
      <c r="A121" s="30"/>
      <c r="B121" s="54"/>
      <c r="C121" s="52"/>
      <c r="D121" s="55"/>
      <c r="E121" s="55"/>
      <c r="F121" s="55"/>
      <c r="G121" s="56"/>
      <c r="H121" s="56"/>
      <c r="I121" s="56"/>
      <c r="J121" s="56"/>
      <c r="K121" s="56"/>
      <c r="L121" s="56"/>
      <c r="M121" s="56"/>
      <c r="N121" s="56"/>
      <c r="O121" s="57"/>
      <c r="P121" s="477"/>
      <c r="Q121" s="478"/>
    </row>
    <row r="122" spans="1:17" x14ac:dyDescent="0.2">
      <c r="A122" s="30"/>
      <c r="B122" s="54"/>
      <c r="C122" s="52"/>
      <c r="D122" s="55"/>
      <c r="E122" s="55"/>
      <c r="F122" s="55"/>
      <c r="G122" s="56"/>
      <c r="H122" s="56"/>
      <c r="I122" s="56"/>
      <c r="J122" s="56"/>
      <c r="K122" s="56"/>
      <c r="L122" s="56"/>
      <c r="M122" s="56"/>
      <c r="N122" s="56"/>
      <c r="O122" s="57"/>
      <c r="P122" s="477"/>
      <c r="Q122" s="478"/>
    </row>
    <row r="123" spans="1:17" x14ac:dyDescent="0.2">
      <c r="A123" s="30"/>
      <c r="B123" s="54"/>
      <c r="C123" s="52"/>
      <c r="D123" s="55"/>
      <c r="E123" s="55"/>
      <c r="F123" s="55"/>
      <c r="G123" s="56"/>
      <c r="H123" s="56"/>
      <c r="I123" s="56"/>
      <c r="J123" s="56"/>
      <c r="K123" s="56"/>
      <c r="L123" s="56"/>
      <c r="M123" s="56"/>
      <c r="N123" s="56"/>
      <c r="O123" s="57"/>
      <c r="P123" s="477"/>
      <c r="Q123" s="478"/>
    </row>
    <row r="124" spans="1:17" x14ac:dyDescent="0.2">
      <c r="A124" s="30"/>
      <c r="B124" s="54"/>
      <c r="C124" s="52"/>
      <c r="D124" s="55"/>
      <c r="E124" s="55"/>
      <c r="F124" s="55"/>
      <c r="G124" s="56"/>
      <c r="H124" s="56"/>
      <c r="I124" s="56"/>
      <c r="J124" s="56"/>
      <c r="K124" s="56"/>
      <c r="L124" s="56"/>
      <c r="M124" s="56"/>
      <c r="N124" s="56"/>
      <c r="O124" s="57"/>
      <c r="P124" s="477"/>
      <c r="Q124" s="478"/>
    </row>
    <row r="125" spans="1:17" x14ac:dyDescent="0.2">
      <c r="A125" s="30"/>
      <c r="B125" s="54"/>
      <c r="C125" s="52"/>
      <c r="D125" s="55"/>
      <c r="E125" s="55"/>
      <c r="F125" s="55"/>
      <c r="G125" s="56"/>
      <c r="H125" s="56"/>
      <c r="I125" s="56"/>
      <c r="J125" s="56"/>
      <c r="K125" s="56"/>
      <c r="L125" s="56"/>
      <c r="M125" s="56"/>
      <c r="N125" s="56"/>
      <c r="O125" s="57"/>
      <c r="P125" s="477"/>
      <c r="Q125" s="478"/>
    </row>
    <row r="126" spans="1:17" x14ac:dyDescent="0.2">
      <c r="A126" s="30"/>
      <c r="B126" s="54"/>
      <c r="C126" s="52"/>
      <c r="D126" s="55"/>
      <c r="E126" s="55"/>
      <c r="F126" s="55"/>
      <c r="G126" s="56"/>
      <c r="H126" s="56"/>
      <c r="I126" s="56"/>
      <c r="J126" s="56"/>
      <c r="K126" s="56"/>
      <c r="L126" s="56"/>
      <c r="M126" s="56"/>
      <c r="N126" s="56"/>
      <c r="O126" s="57"/>
      <c r="P126" s="477"/>
      <c r="Q126" s="478"/>
    </row>
    <row r="127" spans="1:17" x14ac:dyDescent="0.2">
      <c r="A127" s="30"/>
      <c r="B127" s="54"/>
      <c r="C127" s="52"/>
      <c r="D127" s="55"/>
      <c r="E127" s="55"/>
      <c r="F127" s="55"/>
      <c r="G127" s="56"/>
      <c r="H127" s="56"/>
      <c r="I127" s="56"/>
      <c r="J127" s="56"/>
      <c r="K127" s="56"/>
      <c r="L127" s="56"/>
      <c r="M127" s="56"/>
      <c r="N127" s="56"/>
      <c r="O127" s="57"/>
      <c r="P127" s="477"/>
      <c r="Q127" s="478"/>
    </row>
    <row r="128" spans="1:17" x14ac:dyDescent="0.2">
      <c r="A128" s="30"/>
      <c r="B128" s="54"/>
      <c r="C128" s="52"/>
      <c r="D128" s="55"/>
      <c r="E128" s="55"/>
      <c r="F128" s="55"/>
      <c r="G128" s="56"/>
      <c r="H128" s="56"/>
      <c r="I128" s="56"/>
      <c r="J128" s="56"/>
      <c r="K128" s="56"/>
      <c r="L128" s="56"/>
      <c r="M128" s="56"/>
      <c r="N128" s="56"/>
      <c r="O128" s="57"/>
      <c r="P128" s="477"/>
      <c r="Q128" s="478"/>
    </row>
    <row r="129" spans="1:17" x14ac:dyDescent="0.2">
      <c r="A129" s="30"/>
      <c r="B129" s="54"/>
      <c r="C129" s="52"/>
      <c r="D129" s="55"/>
      <c r="E129" s="55"/>
      <c r="F129" s="55"/>
      <c r="G129" s="56"/>
      <c r="H129" s="56"/>
      <c r="I129" s="56"/>
      <c r="J129" s="56"/>
      <c r="K129" s="56"/>
      <c r="L129" s="56"/>
      <c r="M129" s="56"/>
      <c r="N129" s="56"/>
      <c r="O129" s="57"/>
      <c r="P129" s="477"/>
      <c r="Q129" s="478"/>
    </row>
    <row r="130" spans="1:17" x14ac:dyDescent="0.2">
      <c r="A130" s="30"/>
      <c r="B130" s="54"/>
      <c r="C130" s="52"/>
      <c r="D130" s="55"/>
      <c r="E130" s="55"/>
      <c r="F130" s="55"/>
      <c r="G130" s="56"/>
      <c r="H130" s="56"/>
      <c r="I130" s="56"/>
      <c r="J130" s="56"/>
      <c r="K130" s="56"/>
      <c r="L130" s="56"/>
      <c r="M130" s="56"/>
      <c r="N130" s="56"/>
      <c r="O130" s="57"/>
      <c r="P130" s="477"/>
      <c r="Q130" s="478"/>
    </row>
    <row r="131" spans="1:17" x14ac:dyDescent="0.2">
      <c r="A131" s="30"/>
      <c r="B131" s="54"/>
      <c r="C131" s="52"/>
      <c r="D131" s="55"/>
      <c r="E131" s="55"/>
      <c r="F131" s="55"/>
      <c r="G131" s="56"/>
      <c r="H131" s="56"/>
      <c r="I131" s="56"/>
      <c r="J131" s="56"/>
      <c r="K131" s="56"/>
      <c r="L131" s="56"/>
      <c r="M131" s="56"/>
      <c r="N131" s="56"/>
      <c r="O131" s="57"/>
      <c r="P131" s="477"/>
      <c r="Q131" s="478"/>
    </row>
    <row r="132" spans="1:17" x14ac:dyDescent="0.2">
      <c r="A132" s="30"/>
      <c r="B132" s="54"/>
      <c r="C132" s="52"/>
      <c r="D132" s="55"/>
      <c r="E132" s="55"/>
      <c r="F132" s="55"/>
      <c r="G132" s="56"/>
      <c r="H132" s="56"/>
      <c r="I132" s="56"/>
      <c r="J132" s="56"/>
      <c r="K132" s="56"/>
      <c r="L132" s="56"/>
      <c r="M132" s="56"/>
      <c r="N132" s="56"/>
      <c r="O132" s="57"/>
      <c r="P132" s="477"/>
      <c r="Q132" s="478"/>
    </row>
    <row r="133" spans="1:17" x14ac:dyDescent="0.2">
      <c r="A133" s="30"/>
      <c r="B133" s="54"/>
      <c r="C133" s="52"/>
      <c r="D133" s="55"/>
      <c r="E133" s="55"/>
      <c r="F133" s="55"/>
      <c r="G133" s="56"/>
      <c r="H133" s="56"/>
      <c r="I133" s="56"/>
      <c r="J133" s="56"/>
      <c r="K133" s="56"/>
      <c r="L133" s="56"/>
      <c r="M133" s="56"/>
      <c r="N133" s="56"/>
      <c r="O133" s="57"/>
      <c r="P133" s="477"/>
      <c r="Q133" s="478"/>
    </row>
    <row r="134" spans="1:17" x14ac:dyDescent="0.2">
      <c r="A134" s="30"/>
      <c r="B134" s="54"/>
      <c r="C134" s="52"/>
      <c r="D134" s="55"/>
      <c r="E134" s="55"/>
      <c r="F134" s="55"/>
      <c r="G134" s="56"/>
      <c r="H134" s="56"/>
      <c r="I134" s="56"/>
      <c r="J134" s="56"/>
      <c r="K134" s="56"/>
      <c r="L134" s="56"/>
      <c r="M134" s="56"/>
      <c r="N134" s="56"/>
      <c r="O134" s="57"/>
      <c r="P134" s="477"/>
      <c r="Q134" s="478"/>
    </row>
    <row r="135" spans="1:17" x14ac:dyDescent="0.2">
      <c r="A135" s="30"/>
      <c r="B135" s="54"/>
      <c r="C135" s="52"/>
      <c r="D135" s="55"/>
      <c r="E135" s="55"/>
      <c r="F135" s="55"/>
      <c r="G135" s="56"/>
      <c r="H135" s="56"/>
      <c r="I135" s="56"/>
      <c r="J135" s="56"/>
      <c r="K135" s="56"/>
      <c r="L135" s="56"/>
      <c r="M135" s="56"/>
      <c r="N135" s="56"/>
      <c r="O135" s="57"/>
      <c r="P135" s="477"/>
      <c r="Q135" s="478"/>
    </row>
    <row r="136" spans="1:17" x14ac:dyDescent="0.2">
      <c r="A136" s="30"/>
      <c r="B136" s="54"/>
      <c r="C136" s="52"/>
      <c r="D136" s="55"/>
      <c r="E136" s="55"/>
      <c r="F136" s="55"/>
      <c r="G136" s="56"/>
      <c r="H136" s="56"/>
      <c r="I136" s="56"/>
      <c r="J136" s="56"/>
      <c r="K136" s="56"/>
      <c r="L136" s="56"/>
      <c r="M136" s="56"/>
      <c r="N136" s="56"/>
      <c r="O136" s="57"/>
      <c r="P136" s="477"/>
      <c r="Q136" s="478"/>
    </row>
    <row r="137" spans="1:17" x14ac:dyDescent="0.2">
      <c r="A137" s="30"/>
      <c r="B137" s="54"/>
      <c r="C137" s="52"/>
      <c r="D137" s="55"/>
      <c r="E137" s="55"/>
      <c r="F137" s="55"/>
      <c r="G137" s="56"/>
      <c r="H137" s="56"/>
      <c r="I137" s="56"/>
      <c r="J137" s="56"/>
      <c r="K137" s="56"/>
      <c r="L137" s="56"/>
      <c r="M137" s="56"/>
      <c r="N137" s="56"/>
      <c r="O137" s="57"/>
      <c r="P137" s="477"/>
      <c r="Q137" s="478"/>
    </row>
    <row r="138" spans="1:17" x14ac:dyDescent="0.2">
      <c r="A138" s="30"/>
      <c r="B138" s="54"/>
      <c r="C138" s="52"/>
      <c r="D138" s="55"/>
      <c r="E138" s="55"/>
      <c r="F138" s="55"/>
      <c r="G138" s="56"/>
      <c r="H138" s="56"/>
      <c r="I138" s="56"/>
      <c r="J138" s="56"/>
      <c r="K138" s="56"/>
      <c r="L138" s="56"/>
      <c r="M138" s="56"/>
      <c r="N138" s="56"/>
      <c r="O138" s="57"/>
      <c r="P138" s="477"/>
      <c r="Q138" s="478"/>
    </row>
    <row r="139" spans="1:17" x14ac:dyDescent="0.2">
      <c r="A139" s="30"/>
      <c r="B139" s="54"/>
      <c r="C139" s="52"/>
      <c r="D139" s="55"/>
      <c r="E139" s="55"/>
      <c r="F139" s="55"/>
      <c r="G139" s="56"/>
      <c r="H139" s="56"/>
      <c r="I139" s="56"/>
      <c r="J139" s="56"/>
      <c r="K139" s="56"/>
      <c r="L139" s="56"/>
      <c r="M139" s="56"/>
      <c r="N139" s="56"/>
      <c r="O139" s="57"/>
      <c r="P139" s="477"/>
      <c r="Q139" s="478"/>
    </row>
    <row r="140" spans="1:17" x14ac:dyDescent="0.2">
      <c r="A140" s="30"/>
      <c r="B140" s="54"/>
      <c r="C140" s="52"/>
      <c r="D140" s="55"/>
      <c r="E140" s="55"/>
      <c r="F140" s="55"/>
      <c r="G140" s="56"/>
      <c r="H140" s="56"/>
      <c r="I140" s="56"/>
      <c r="J140" s="56"/>
      <c r="K140" s="56"/>
      <c r="L140" s="56"/>
      <c r="M140" s="56"/>
      <c r="N140" s="56"/>
      <c r="O140" s="57"/>
      <c r="P140" s="477"/>
      <c r="Q140" s="478"/>
    </row>
    <row r="141" spans="1:17" x14ac:dyDescent="0.2">
      <c r="A141" s="30"/>
      <c r="B141" s="54"/>
      <c r="C141" s="52"/>
      <c r="D141" s="55"/>
      <c r="E141" s="55"/>
      <c r="F141" s="55"/>
      <c r="G141" s="56"/>
      <c r="H141" s="56"/>
      <c r="I141" s="56"/>
      <c r="J141" s="56"/>
      <c r="K141" s="56"/>
      <c r="L141" s="56"/>
      <c r="M141" s="56"/>
      <c r="N141" s="56"/>
      <c r="O141" s="57"/>
      <c r="P141" s="477"/>
      <c r="Q141" s="478"/>
    </row>
    <row r="142" spans="1:17" x14ac:dyDescent="0.2">
      <c r="A142" s="30"/>
      <c r="B142" s="54"/>
      <c r="C142" s="52"/>
      <c r="D142" s="55"/>
      <c r="E142" s="55"/>
      <c r="F142" s="55"/>
      <c r="G142" s="56"/>
      <c r="H142" s="56"/>
      <c r="I142" s="56"/>
      <c r="J142" s="56"/>
      <c r="K142" s="56"/>
      <c r="L142" s="56"/>
      <c r="M142" s="56"/>
      <c r="N142" s="56"/>
      <c r="O142" s="57"/>
      <c r="P142" s="477"/>
      <c r="Q142" s="478"/>
    </row>
    <row r="143" spans="1:17" x14ac:dyDescent="0.2">
      <c r="A143" s="30"/>
      <c r="B143" s="54"/>
      <c r="C143" s="52"/>
      <c r="D143" s="55"/>
      <c r="E143" s="55"/>
      <c r="F143" s="55"/>
      <c r="G143" s="56"/>
      <c r="H143" s="56"/>
      <c r="I143" s="56"/>
      <c r="J143" s="56"/>
      <c r="K143" s="56"/>
      <c r="L143" s="56"/>
      <c r="M143" s="56"/>
      <c r="N143" s="56"/>
      <c r="O143" s="57"/>
      <c r="P143" s="477"/>
      <c r="Q143" s="478"/>
    </row>
    <row r="144" spans="1:17" x14ac:dyDescent="0.2">
      <c r="A144" s="30"/>
      <c r="B144" s="54"/>
      <c r="C144" s="52"/>
      <c r="D144" s="55"/>
      <c r="E144" s="55"/>
      <c r="F144" s="55"/>
      <c r="G144" s="56"/>
      <c r="H144" s="56"/>
      <c r="I144" s="56"/>
      <c r="J144" s="56"/>
      <c r="K144" s="56"/>
      <c r="L144" s="56"/>
      <c r="M144" s="56"/>
      <c r="N144" s="56"/>
      <c r="O144" s="57"/>
      <c r="P144" s="477"/>
      <c r="Q144" s="478"/>
    </row>
    <row r="145" spans="1:17" x14ac:dyDescent="0.2">
      <c r="A145" s="30"/>
      <c r="B145" s="54"/>
      <c r="C145" s="52"/>
      <c r="D145" s="55"/>
      <c r="E145" s="55"/>
      <c r="F145" s="55"/>
      <c r="G145" s="56"/>
      <c r="H145" s="56"/>
      <c r="I145" s="56"/>
      <c r="J145" s="56"/>
      <c r="K145" s="56"/>
      <c r="L145" s="56"/>
      <c r="M145" s="56"/>
      <c r="N145" s="56"/>
      <c r="O145" s="57"/>
      <c r="P145" s="477"/>
      <c r="Q145" s="478"/>
    </row>
    <row r="146" spans="1:17" x14ac:dyDescent="0.2">
      <c r="A146" s="30"/>
      <c r="B146" s="54"/>
      <c r="C146" s="52"/>
      <c r="D146" s="55"/>
      <c r="E146" s="55"/>
      <c r="F146" s="55"/>
      <c r="G146" s="56"/>
      <c r="H146" s="56"/>
      <c r="I146" s="56"/>
      <c r="J146" s="56"/>
      <c r="K146" s="56"/>
      <c r="L146" s="56"/>
      <c r="M146" s="56"/>
      <c r="N146" s="56"/>
      <c r="O146" s="57"/>
      <c r="P146" s="477"/>
      <c r="Q146" s="478"/>
    </row>
    <row r="147" spans="1:17" x14ac:dyDescent="0.2">
      <c r="A147" s="30"/>
      <c r="B147" s="54"/>
      <c r="C147" s="52"/>
      <c r="D147" s="55"/>
      <c r="E147" s="55"/>
      <c r="F147" s="55"/>
      <c r="G147" s="56"/>
      <c r="H147" s="56"/>
      <c r="I147" s="56"/>
      <c r="J147" s="56"/>
      <c r="K147" s="56"/>
      <c r="L147" s="56"/>
      <c r="M147" s="56"/>
      <c r="N147" s="56"/>
      <c r="O147" s="57"/>
      <c r="P147" s="477"/>
      <c r="Q147" s="478"/>
    </row>
  </sheetData>
  <sheetProtection algorithmName="SHA-512" hashValue="LZyVropX+bs3IuM++gkbEHDJbrMBn1+sJVfLwo42WrEbedjd6yPaKURsVo3MJF4NHZ/fjpp6xzDEQbjKiB6x3g==" saltValue="w9lnFR6YLWw5+4Eom8sJoA==" spinCount="100000" sheet="1" objects="1" scenarios="1"/>
  <mergeCells count="16">
    <mergeCell ref="P2:P4"/>
    <mergeCell ref="Q2:Q4"/>
    <mergeCell ref="A2:A4"/>
    <mergeCell ref="B2:B4"/>
    <mergeCell ref="C2:C4"/>
    <mergeCell ref="D2:D4"/>
    <mergeCell ref="O2:O4"/>
    <mergeCell ref="G3:H3"/>
    <mergeCell ref="I3:J3"/>
    <mergeCell ref="K3:L3"/>
    <mergeCell ref="M3:N3"/>
    <mergeCell ref="G2:H2"/>
    <mergeCell ref="I2:J2"/>
    <mergeCell ref="K2:L2"/>
    <mergeCell ref="M2:N2"/>
    <mergeCell ref="E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022C7-49CD-4D39-9362-D8A824E6A0E6}">
  <sheetPr codeName="Sheet10">
    <tabColor theme="1"/>
  </sheetPr>
  <dimension ref="B2:Q45"/>
  <sheetViews>
    <sheetView workbookViewId="0">
      <selection sqref="A1:XFD1048576"/>
    </sheetView>
  </sheetViews>
  <sheetFormatPr defaultColWidth="8.85546875" defaultRowHeight="15" x14ac:dyDescent="0.25"/>
  <cols>
    <col min="1" max="1" width="3.5703125" style="2" customWidth="1"/>
    <col min="2" max="2" width="20.85546875" style="2" customWidth="1"/>
    <col min="3" max="3" width="14.85546875" style="2" bestFit="1" customWidth="1"/>
    <col min="4" max="4" width="13.28515625" style="2" customWidth="1"/>
    <col min="5" max="5" width="28" style="2" customWidth="1"/>
    <col min="6" max="6" width="18.28515625" style="2" customWidth="1"/>
    <col min="7" max="8" width="18.85546875" style="2" customWidth="1"/>
    <col min="9" max="10" width="22.140625" style="2" customWidth="1"/>
    <col min="11" max="11" width="12.85546875" style="2" customWidth="1"/>
    <col min="12" max="12" width="14" style="2" customWidth="1"/>
    <col min="13" max="13" width="12.5703125" style="2" customWidth="1"/>
    <col min="14" max="14" width="18.5703125" style="2" bestFit="1" customWidth="1"/>
    <col min="15" max="15" width="18" style="2" bestFit="1" customWidth="1"/>
    <col min="16" max="16" width="20.85546875" style="2" bestFit="1" customWidth="1"/>
    <col min="17" max="17" width="15.140625" style="2" bestFit="1" customWidth="1"/>
    <col min="18" max="18" width="15.85546875" style="2" bestFit="1" customWidth="1"/>
    <col min="19" max="19" width="10.5703125" style="2" customWidth="1"/>
    <col min="20" max="20" width="19.42578125" style="2" bestFit="1" customWidth="1"/>
    <col min="21" max="21" width="90.5703125" style="2" bestFit="1" customWidth="1"/>
    <col min="22" max="23" width="13.85546875" style="2" customWidth="1"/>
    <col min="24" max="24" width="18.7109375" style="2" bestFit="1" customWidth="1"/>
    <col min="25" max="25" width="18" style="2" bestFit="1" customWidth="1"/>
    <col min="26" max="26" width="17.28515625" style="2" bestFit="1" customWidth="1"/>
    <col min="27" max="27" width="25.85546875" style="2" bestFit="1" customWidth="1"/>
    <col min="28" max="28" width="11.7109375" style="2" customWidth="1"/>
    <col min="29" max="16384" width="8.85546875" style="2"/>
  </cols>
  <sheetData>
    <row r="2" spans="2:10" ht="18.75" x14ac:dyDescent="0.3">
      <c r="B2" s="1" t="s">
        <v>284</v>
      </c>
    </row>
    <row r="3" spans="2:10" ht="18.75" x14ac:dyDescent="0.3">
      <c r="B3" s="1" t="s">
        <v>178</v>
      </c>
      <c r="D3" s="10"/>
      <c r="E3" s="10"/>
    </row>
    <row r="4" spans="2:10" ht="30.75" customHeight="1" x14ac:dyDescent="0.25">
      <c r="B4" s="3"/>
      <c r="C4" s="4"/>
      <c r="F4" s="5"/>
      <c r="G4" s="5"/>
      <c r="H4" s="5" t="s">
        <v>285</v>
      </c>
      <c r="I4" s="5"/>
      <c r="J4" s="6" t="s">
        <v>286</v>
      </c>
    </row>
    <row r="5" spans="2:10" ht="17.25" x14ac:dyDescent="0.25">
      <c r="B5" s="7"/>
      <c r="C5" s="634" t="s">
        <v>134</v>
      </c>
      <c r="D5" s="634"/>
      <c r="E5" s="634"/>
      <c r="F5" s="432" t="s">
        <v>135</v>
      </c>
      <c r="G5" s="432" t="s">
        <v>287</v>
      </c>
      <c r="H5" s="15" t="s">
        <v>288</v>
      </c>
      <c r="I5" s="15" t="s">
        <v>137</v>
      </c>
      <c r="J5" s="12" t="s">
        <v>289</v>
      </c>
    </row>
    <row r="6" spans="2:10" ht="45" x14ac:dyDescent="0.25">
      <c r="B6" s="16" t="s">
        <v>290</v>
      </c>
      <c r="C6" s="19" t="s">
        <v>291</v>
      </c>
      <c r="D6" s="77" t="s">
        <v>292</v>
      </c>
      <c r="E6" s="60" t="s">
        <v>293</v>
      </c>
      <c r="F6" s="60" t="s">
        <v>146</v>
      </c>
      <c r="G6" s="76" t="s">
        <v>65</v>
      </c>
      <c r="H6" s="69">
        <v>3000</v>
      </c>
      <c r="I6" s="70">
        <v>3</v>
      </c>
      <c r="J6" s="71" t="s">
        <v>294</v>
      </c>
    </row>
    <row r="7" spans="2:10" ht="45" customHeight="1" x14ac:dyDescent="0.25">
      <c r="B7" s="7"/>
      <c r="C7" s="19" t="s">
        <v>295</v>
      </c>
      <c r="D7" s="19" t="s">
        <v>292</v>
      </c>
      <c r="E7" s="61" t="s">
        <v>296</v>
      </c>
      <c r="F7" s="61" t="s">
        <v>146</v>
      </c>
      <c r="G7" s="19" t="s">
        <v>79</v>
      </c>
      <c r="H7" s="70">
        <v>6000</v>
      </c>
      <c r="I7" s="70">
        <v>1</v>
      </c>
      <c r="J7" s="72" t="s">
        <v>294</v>
      </c>
    </row>
    <row r="8" spans="2:10" ht="45" customHeight="1" x14ac:dyDescent="0.25">
      <c r="B8" s="7"/>
      <c r="C8" s="19" t="s">
        <v>291</v>
      </c>
      <c r="D8" s="19" t="s">
        <v>297</v>
      </c>
      <c r="E8" s="61" t="s">
        <v>293</v>
      </c>
      <c r="F8" s="61" t="s">
        <v>146</v>
      </c>
      <c r="G8" s="19" t="s">
        <v>67</v>
      </c>
      <c r="H8" s="70">
        <v>2400</v>
      </c>
      <c r="I8" s="70">
        <v>3</v>
      </c>
      <c r="J8" s="72" t="s">
        <v>294</v>
      </c>
    </row>
    <row r="9" spans="2:10" ht="45" customHeight="1" x14ac:dyDescent="0.25">
      <c r="B9" s="7"/>
      <c r="C9" s="19" t="s">
        <v>295</v>
      </c>
      <c r="D9" s="19" t="s">
        <v>297</v>
      </c>
      <c r="E9" s="61" t="s">
        <v>296</v>
      </c>
      <c r="F9" s="61" t="s">
        <v>146</v>
      </c>
      <c r="G9" s="19" t="s">
        <v>81</v>
      </c>
      <c r="H9" s="70">
        <v>4200</v>
      </c>
      <c r="I9" s="70">
        <v>1</v>
      </c>
      <c r="J9" s="72" t="s">
        <v>294</v>
      </c>
    </row>
    <row r="10" spans="2:10" ht="60" x14ac:dyDescent="0.25">
      <c r="B10" s="7"/>
      <c r="C10" s="19" t="s">
        <v>298</v>
      </c>
      <c r="D10" s="19" t="s">
        <v>299</v>
      </c>
      <c r="E10" s="61" t="s">
        <v>300</v>
      </c>
      <c r="F10" s="61" t="s">
        <v>146</v>
      </c>
      <c r="G10" s="19" t="s">
        <v>69</v>
      </c>
      <c r="H10" s="70">
        <v>350</v>
      </c>
      <c r="I10" s="70">
        <v>10</v>
      </c>
      <c r="J10" s="72" t="s">
        <v>294</v>
      </c>
    </row>
    <row r="11" spans="2:10" x14ac:dyDescent="0.25">
      <c r="B11" s="7"/>
      <c r="C11" s="19" t="s">
        <v>296</v>
      </c>
      <c r="D11" s="19" t="s">
        <v>299</v>
      </c>
      <c r="E11" s="61" t="s">
        <v>301</v>
      </c>
      <c r="F11" s="19" t="s">
        <v>144</v>
      </c>
      <c r="G11" s="19" t="s">
        <v>83</v>
      </c>
      <c r="H11" s="70">
        <v>840</v>
      </c>
      <c r="I11" s="70">
        <v>30</v>
      </c>
      <c r="J11" s="72" t="s">
        <v>294</v>
      </c>
    </row>
    <row r="12" spans="2:10" ht="45" x14ac:dyDescent="0.25">
      <c r="B12" s="7"/>
      <c r="C12" s="19" t="s">
        <v>291</v>
      </c>
      <c r="D12" s="19" t="s">
        <v>299</v>
      </c>
      <c r="E12" s="61" t="s">
        <v>293</v>
      </c>
      <c r="F12" s="61" t="s">
        <v>146</v>
      </c>
      <c r="G12" s="19" t="s">
        <v>89</v>
      </c>
      <c r="H12" s="70">
        <v>2130</v>
      </c>
      <c r="I12" s="70">
        <v>3</v>
      </c>
      <c r="J12" s="72" t="s">
        <v>294</v>
      </c>
    </row>
    <row r="13" spans="2:10" ht="30" x14ac:dyDescent="0.25">
      <c r="B13" s="7"/>
      <c r="C13" s="19" t="s">
        <v>295</v>
      </c>
      <c r="D13" s="19" t="s">
        <v>299</v>
      </c>
      <c r="E13" s="61" t="s">
        <v>302</v>
      </c>
      <c r="F13" s="61" t="s">
        <v>146</v>
      </c>
      <c r="G13" s="19" t="s">
        <v>95</v>
      </c>
      <c r="H13" s="70">
        <v>2000</v>
      </c>
      <c r="I13" s="70">
        <v>1</v>
      </c>
      <c r="J13" s="72" t="s">
        <v>294</v>
      </c>
    </row>
    <row r="14" spans="2:10" ht="30" x14ac:dyDescent="0.25">
      <c r="B14" s="7"/>
      <c r="C14" s="19" t="s">
        <v>295</v>
      </c>
      <c r="D14" s="19" t="s">
        <v>303</v>
      </c>
      <c r="E14" s="61" t="s">
        <v>304</v>
      </c>
      <c r="F14" s="61" t="s">
        <v>146</v>
      </c>
      <c r="G14" s="19" t="s">
        <v>71</v>
      </c>
      <c r="H14" s="70">
        <v>350</v>
      </c>
      <c r="I14" s="70">
        <v>1</v>
      </c>
      <c r="J14" s="72"/>
    </row>
    <row r="15" spans="2:10" x14ac:dyDescent="0.25">
      <c r="B15" s="7"/>
      <c r="C15" s="19" t="s">
        <v>296</v>
      </c>
      <c r="D15" s="19" t="s">
        <v>305</v>
      </c>
      <c r="E15" s="61" t="s">
        <v>306</v>
      </c>
      <c r="F15" s="19" t="s">
        <v>144</v>
      </c>
      <c r="G15" s="19" t="s">
        <v>63</v>
      </c>
      <c r="H15" s="70">
        <v>290</v>
      </c>
      <c r="I15" s="70">
        <v>30</v>
      </c>
      <c r="J15" s="72" t="s">
        <v>294</v>
      </c>
    </row>
    <row r="16" spans="2:10" ht="30" x14ac:dyDescent="0.25">
      <c r="B16" s="7"/>
      <c r="C16" s="337" t="s">
        <v>295</v>
      </c>
      <c r="D16" s="19" t="s">
        <v>305</v>
      </c>
      <c r="E16" s="61" t="s">
        <v>304</v>
      </c>
      <c r="F16" s="61" t="s">
        <v>146</v>
      </c>
      <c r="G16" s="19" t="s">
        <v>77</v>
      </c>
      <c r="H16" s="70">
        <v>210</v>
      </c>
      <c r="I16" s="70">
        <v>1</v>
      </c>
      <c r="J16" s="72" t="s">
        <v>294</v>
      </c>
    </row>
    <row r="17" spans="2:17" x14ac:dyDescent="0.25">
      <c r="B17" s="7"/>
      <c r="C17" s="19" t="s">
        <v>296</v>
      </c>
      <c r="D17" s="19" t="s">
        <v>307</v>
      </c>
      <c r="E17" s="61" t="s">
        <v>296</v>
      </c>
      <c r="F17" s="19" t="s">
        <v>144</v>
      </c>
      <c r="G17" s="19" t="s">
        <v>87</v>
      </c>
      <c r="H17" s="70">
        <v>1706</v>
      </c>
      <c r="I17" s="70">
        <v>30</v>
      </c>
      <c r="J17" s="72"/>
    </row>
    <row r="18" spans="2:17" ht="30" x14ac:dyDescent="0.25">
      <c r="B18" s="58" t="s">
        <v>147</v>
      </c>
      <c r="C18" s="66" t="s">
        <v>294</v>
      </c>
      <c r="D18" s="59" t="s">
        <v>308</v>
      </c>
      <c r="E18" s="62" t="s">
        <v>309</v>
      </c>
      <c r="F18" s="62" t="s">
        <v>146</v>
      </c>
      <c r="G18" s="87" t="s">
        <v>99</v>
      </c>
      <c r="H18" s="73">
        <v>17.2</v>
      </c>
      <c r="I18" s="73">
        <v>10</v>
      </c>
      <c r="J18" s="74" t="s">
        <v>294</v>
      </c>
    </row>
    <row r="19" spans="2:17" ht="30" x14ac:dyDescent="0.25">
      <c r="B19" s="9" t="s">
        <v>151</v>
      </c>
      <c r="C19" s="67" t="s">
        <v>294</v>
      </c>
      <c r="D19" s="64" t="s">
        <v>177</v>
      </c>
      <c r="E19" s="65" t="s">
        <v>310</v>
      </c>
      <c r="F19" s="63" t="s">
        <v>146</v>
      </c>
      <c r="G19" s="88" t="s">
        <v>113</v>
      </c>
      <c r="H19" s="67" t="s">
        <v>294</v>
      </c>
      <c r="I19" s="67" t="s">
        <v>294</v>
      </c>
      <c r="J19" s="84">
        <v>1.3799999999999999E-6</v>
      </c>
    </row>
    <row r="20" spans="2:17" x14ac:dyDescent="0.25">
      <c r="D20" s="19"/>
    </row>
    <row r="21" spans="2:17" x14ac:dyDescent="0.25">
      <c r="D21" s="2" t="s">
        <v>361</v>
      </c>
    </row>
    <row r="22" spans="2:17" x14ac:dyDescent="0.25">
      <c r="B22" s="436"/>
      <c r="C22" s="8"/>
      <c r="D22" s="95">
        <v>1E-4</v>
      </c>
      <c r="E22" s="95">
        <v>7</v>
      </c>
    </row>
    <row r="23" spans="2:17" x14ac:dyDescent="0.25">
      <c r="B23" s="436"/>
      <c r="C23" s="8"/>
      <c r="D23" s="95">
        <v>1E-4</v>
      </c>
      <c r="E23" s="95">
        <v>5</v>
      </c>
    </row>
    <row r="24" spans="2:17" x14ac:dyDescent="0.25">
      <c r="B24" s="436"/>
      <c r="C24" s="8"/>
      <c r="D24" s="95">
        <v>1E-4</v>
      </c>
      <c r="E24" s="95">
        <v>4</v>
      </c>
    </row>
    <row r="25" spans="2:17" x14ac:dyDescent="0.25">
      <c r="B25" s="436"/>
      <c r="C25" s="8"/>
      <c r="D25" s="95">
        <v>1E-4</v>
      </c>
      <c r="E25" s="95">
        <v>3</v>
      </c>
    </row>
    <row r="26" spans="2:17" x14ac:dyDescent="0.25">
      <c r="B26" s="436"/>
      <c r="C26" s="8"/>
      <c r="D26" s="95">
        <v>1E-4</v>
      </c>
      <c r="E26" s="95">
        <v>2</v>
      </c>
    </row>
    <row r="27" spans="2:17" x14ac:dyDescent="0.25">
      <c r="B27" s="436"/>
      <c r="C27" s="8"/>
      <c r="D27" s="95">
        <v>1E-4</v>
      </c>
      <c r="E27" s="95">
        <v>0</v>
      </c>
    </row>
    <row r="28" spans="2:17" x14ac:dyDescent="0.25">
      <c r="M28" s="629" t="s">
        <v>311</v>
      </c>
      <c r="N28" s="630"/>
      <c r="O28" s="631"/>
    </row>
    <row r="29" spans="2:17" ht="30" x14ac:dyDescent="0.25">
      <c r="C29" s="2" t="s">
        <v>312</v>
      </c>
      <c r="D29" t="s">
        <v>313</v>
      </c>
      <c r="M29" s="14" t="s">
        <v>314</v>
      </c>
      <c r="N29" s="15" t="s">
        <v>315</v>
      </c>
      <c r="O29" s="12" t="s">
        <v>316</v>
      </c>
    </row>
    <row r="30" spans="2:17" x14ac:dyDescent="0.25">
      <c r="C30" s="2" t="s">
        <v>317</v>
      </c>
      <c r="D30" s="2" t="s">
        <v>318</v>
      </c>
      <c r="M30" s="7"/>
      <c r="N30" s="2" t="s">
        <v>319</v>
      </c>
      <c r="O30" s="83"/>
      <c r="P30" s="632"/>
      <c r="Q30" s="633"/>
    </row>
    <row r="31" spans="2:17" x14ac:dyDescent="0.25">
      <c r="C31" s="2" t="s">
        <v>291</v>
      </c>
      <c r="D31" s="2" t="s">
        <v>320</v>
      </c>
      <c r="M31" s="7"/>
      <c r="N31" s="2" t="s">
        <v>321</v>
      </c>
      <c r="O31" s="83"/>
    </row>
    <row r="32" spans="2:17" x14ac:dyDescent="0.25">
      <c r="C32" s="2" t="s">
        <v>295</v>
      </c>
      <c r="D32" s="2" t="s">
        <v>322</v>
      </c>
      <c r="M32" s="7" t="s">
        <v>312</v>
      </c>
      <c r="N32" s="2" t="s">
        <v>48</v>
      </c>
      <c r="O32" s="83">
        <f>0.0001</f>
        <v>1E-4</v>
      </c>
    </row>
    <row r="33" spans="2:15" x14ac:dyDescent="0.25">
      <c r="M33" s="7"/>
      <c r="N33" s="2" t="s">
        <v>51</v>
      </c>
      <c r="O33" s="8"/>
    </row>
    <row r="34" spans="2:15" x14ac:dyDescent="0.25">
      <c r="M34" s="7"/>
      <c r="N34" s="2" t="s">
        <v>323</v>
      </c>
      <c r="O34" s="8"/>
    </row>
    <row r="35" spans="2:15" x14ac:dyDescent="0.25">
      <c r="C35" s="2" t="s">
        <v>324</v>
      </c>
      <c r="D35" s="2" t="s">
        <v>325</v>
      </c>
      <c r="M35" s="7"/>
      <c r="N35" s="2" t="s">
        <v>326</v>
      </c>
      <c r="O35" s="8"/>
    </row>
    <row r="36" spans="2:15" x14ac:dyDescent="0.25">
      <c r="M36" s="9"/>
      <c r="N36" s="10" t="s">
        <v>327</v>
      </c>
      <c r="O36" s="11"/>
    </row>
    <row r="40" spans="2:15" ht="15.75" x14ac:dyDescent="0.25">
      <c r="B40" s="333" t="s">
        <v>8</v>
      </c>
      <c r="C40" s="10"/>
      <c r="D40" s="10"/>
      <c r="E40" s="334"/>
      <c r="F40" s="334"/>
      <c r="G40" s="334"/>
      <c r="H40" s="334"/>
      <c r="I40" s="10"/>
      <c r="J40" s="10"/>
    </row>
    <row r="41" spans="2:15" x14ac:dyDescent="0.25">
      <c r="B41" s="3"/>
      <c r="C41" s="4"/>
      <c r="D41" s="4"/>
      <c r="E41" s="4"/>
      <c r="F41" s="5"/>
      <c r="G41" s="5"/>
      <c r="H41" s="5" t="s">
        <v>285</v>
      </c>
      <c r="I41" s="5"/>
      <c r="J41" s="6" t="s">
        <v>286</v>
      </c>
    </row>
    <row r="42" spans="2:15" x14ac:dyDescent="0.25">
      <c r="B42" s="335"/>
      <c r="C42" s="634" t="s">
        <v>134</v>
      </c>
      <c r="D42" s="634"/>
      <c r="E42" s="634"/>
      <c r="F42" s="432" t="s">
        <v>135</v>
      </c>
      <c r="G42" s="432" t="s">
        <v>287</v>
      </c>
      <c r="H42" s="15" t="s">
        <v>136</v>
      </c>
      <c r="I42" s="15" t="s">
        <v>137</v>
      </c>
      <c r="J42" s="12"/>
    </row>
    <row r="43" spans="2:15" x14ac:dyDescent="0.25">
      <c r="B43" s="336" t="s">
        <v>290</v>
      </c>
      <c r="C43" s="59" t="s">
        <v>324</v>
      </c>
      <c r="D43" s="59"/>
      <c r="E43" s="62" t="s">
        <v>306</v>
      </c>
      <c r="F43" s="19"/>
      <c r="G43" s="87" t="s">
        <v>85</v>
      </c>
      <c r="H43" s="345">
        <v>16</v>
      </c>
      <c r="I43" s="345">
        <v>30</v>
      </c>
      <c r="J43" s="74"/>
    </row>
    <row r="44" spans="2:15" ht="90" x14ac:dyDescent="0.25">
      <c r="B44" s="347" t="s">
        <v>147</v>
      </c>
      <c r="C44" s="409" t="s">
        <v>328</v>
      </c>
      <c r="D44" s="59"/>
      <c r="E44" s="62" t="s">
        <v>309</v>
      </c>
      <c r="F44" s="66"/>
      <c r="G44" s="88" t="s">
        <v>97</v>
      </c>
      <c r="H44" s="345">
        <v>2.15</v>
      </c>
      <c r="I44" s="345">
        <v>10</v>
      </c>
      <c r="J44" s="348"/>
    </row>
    <row r="45" spans="2:15" ht="30" x14ac:dyDescent="0.25">
      <c r="B45" s="339" t="s">
        <v>151</v>
      </c>
      <c r="C45" s="410" t="s">
        <v>329</v>
      </c>
      <c r="D45" s="65"/>
      <c r="E45" s="63" t="s">
        <v>310</v>
      </c>
      <c r="F45" s="338"/>
      <c r="G45" s="88" t="s">
        <v>108</v>
      </c>
      <c r="H45" s="346"/>
      <c r="I45" s="346">
        <v>1E-4</v>
      </c>
      <c r="J45" s="84">
        <v>1.1E-5</v>
      </c>
    </row>
  </sheetData>
  <sheetProtection algorithmName="SHA-512" hashValue="zWMa54JaNjkw9XR+TE+7ecoFKGGKaVcuFbz6QbYSe5rgpI2wW/PiJeV1Qgyg0JxdTKZ8XICk5AqdXoLNieSSOQ==" saltValue="L+qrskcYhpOGKK3kSaEpfg==" spinCount="100000" sheet="1" objects="1" scenarios="1"/>
  <mergeCells count="4">
    <mergeCell ref="M28:O28"/>
    <mergeCell ref="P30:Q30"/>
    <mergeCell ref="C5:E5"/>
    <mergeCell ref="C42:E4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7B566-3ABB-44AB-B4F9-89D77B967B1E}">
  <sheetPr>
    <tabColor theme="1"/>
  </sheetPr>
  <dimension ref="A1:I31"/>
  <sheetViews>
    <sheetView workbookViewId="0">
      <selection activeCell="L10" sqref="L10"/>
    </sheetView>
  </sheetViews>
  <sheetFormatPr defaultRowHeight="15" x14ac:dyDescent="0.25"/>
  <cols>
    <col min="1" max="1" width="31.42578125" customWidth="1"/>
    <col min="2" max="2" width="35.5703125" customWidth="1"/>
    <col min="5" max="5" width="18.28515625" customWidth="1"/>
    <col min="6" max="6" width="16.42578125" customWidth="1"/>
    <col min="7" max="7" width="18" customWidth="1"/>
    <col min="9" max="9" width="9.140625" style="462"/>
  </cols>
  <sheetData>
    <row r="1" spans="1:8" ht="15.75" thickBot="1" x14ac:dyDescent="0.3"/>
    <row r="2" spans="1:8" ht="45.75" thickBot="1" x14ac:dyDescent="0.3">
      <c r="A2" s="214" t="s">
        <v>203</v>
      </c>
      <c r="B2" s="467" t="s">
        <v>366</v>
      </c>
      <c r="C2" s="215" t="s">
        <v>204</v>
      </c>
      <c r="D2" s="216" t="s">
        <v>205</v>
      </c>
      <c r="E2" s="216" t="s">
        <v>206</v>
      </c>
      <c r="F2" s="216" t="s">
        <v>207</v>
      </c>
      <c r="G2" s="216" t="s">
        <v>208</v>
      </c>
      <c r="H2" s="433" t="s">
        <v>209</v>
      </c>
    </row>
    <row r="3" spans="1:8" x14ac:dyDescent="0.25">
      <c r="A3" s="466" t="s">
        <v>11</v>
      </c>
      <c r="B3" s="213" t="s">
        <v>11</v>
      </c>
      <c r="C3" s="262">
        <v>1</v>
      </c>
      <c r="D3" s="263">
        <v>1</v>
      </c>
      <c r="E3" s="217" t="s">
        <v>210</v>
      </c>
      <c r="F3" s="218">
        <v>8.0226695303333664E-2</v>
      </c>
      <c r="G3" s="219" t="s">
        <v>179</v>
      </c>
      <c r="H3">
        <v>20</v>
      </c>
    </row>
    <row r="4" spans="1:8" x14ac:dyDescent="0.25">
      <c r="A4" s="466" t="s">
        <v>182</v>
      </c>
      <c r="B4" s="213" t="s">
        <v>182</v>
      </c>
      <c r="C4" s="203">
        <v>1</v>
      </c>
      <c r="D4" s="204">
        <v>1</v>
      </c>
      <c r="E4" s="136" t="s">
        <v>210</v>
      </c>
      <c r="F4" s="220">
        <v>8.0226695303333664E-2</v>
      </c>
      <c r="G4" s="221" t="s">
        <v>179</v>
      </c>
      <c r="H4">
        <v>20</v>
      </c>
    </row>
    <row r="5" spans="1:8" x14ac:dyDescent="0.25">
      <c r="A5" s="466" t="s">
        <v>180</v>
      </c>
      <c r="B5" s="213" t="s">
        <v>180</v>
      </c>
      <c r="C5" s="203">
        <v>1</v>
      </c>
      <c r="D5" s="204">
        <v>1</v>
      </c>
      <c r="E5" s="136" t="s">
        <v>210</v>
      </c>
      <c r="F5" s="220">
        <v>8.0226695303333664E-2</v>
      </c>
      <c r="G5" s="221" t="s">
        <v>179</v>
      </c>
      <c r="H5">
        <v>20</v>
      </c>
    </row>
    <row r="6" spans="1:8" ht="39" x14ac:dyDescent="0.25">
      <c r="A6" s="466" t="s">
        <v>375</v>
      </c>
      <c r="B6" s="213" t="s">
        <v>375</v>
      </c>
      <c r="C6" s="203">
        <v>1</v>
      </c>
      <c r="D6" s="204">
        <v>1</v>
      </c>
      <c r="E6" s="136" t="s">
        <v>210</v>
      </c>
      <c r="F6" s="220">
        <v>8.0226695303333664E-2</v>
      </c>
      <c r="G6" s="221" t="s">
        <v>179</v>
      </c>
      <c r="H6">
        <v>20</v>
      </c>
    </row>
    <row r="7" spans="1:8" x14ac:dyDescent="0.25">
      <c r="A7" s="466" t="s">
        <v>378</v>
      </c>
      <c r="B7" s="213" t="s">
        <v>385</v>
      </c>
      <c r="C7" s="203">
        <v>2</v>
      </c>
      <c r="D7" s="204">
        <v>1</v>
      </c>
      <c r="E7" s="136" t="s">
        <v>211</v>
      </c>
      <c r="F7" s="220">
        <v>8.0226695303333664E-2</v>
      </c>
      <c r="G7" s="221">
        <v>1</v>
      </c>
      <c r="H7">
        <v>20</v>
      </c>
    </row>
    <row r="8" spans="1:8" x14ac:dyDescent="0.25">
      <c r="A8" s="466" t="s">
        <v>379</v>
      </c>
      <c r="B8" s="213" t="s">
        <v>385</v>
      </c>
      <c r="C8" s="203">
        <v>2</v>
      </c>
      <c r="D8" s="204">
        <v>1</v>
      </c>
      <c r="E8" s="136" t="s">
        <v>211</v>
      </c>
      <c r="F8" s="220">
        <v>8.0226695303333664E-2</v>
      </c>
      <c r="G8" s="221">
        <v>1</v>
      </c>
      <c r="H8">
        <v>20</v>
      </c>
    </row>
    <row r="9" spans="1:8" ht="26.25" x14ac:dyDescent="0.25">
      <c r="A9" s="466" t="s">
        <v>380</v>
      </c>
      <c r="B9" s="213" t="s">
        <v>385</v>
      </c>
      <c r="C9" s="203">
        <v>2</v>
      </c>
      <c r="D9" s="204">
        <v>1</v>
      </c>
      <c r="E9" s="136" t="s">
        <v>211</v>
      </c>
      <c r="F9" s="220">
        <v>8.0226695303333664E-2</v>
      </c>
      <c r="G9" s="221">
        <v>1</v>
      </c>
      <c r="H9">
        <v>20</v>
      </c>
    </row>
    <row r="10" spans="1:8" x14ac:dyDescent="0.25">
      <c r="A10" s="466" t="s">
        <v>189</v>
      </c>
      <c r="B10" s="213" t="s">
        <v>212</v>
      </c>
      <c r="C10" s="203">
        <v>2</v>
      </c>
      <c r="D10" s="204">
        <v>1</v>
      </c>
      <c r="E10" s="136" t="s">
        <v>211</v>
      </c>
      <c r="F10" s="220">
        <v>8.0226695303333664E-2</v>
      </c>
      <c r="G10" s="221">
        <v>1</v>
      </c>
      <c r="H10">
        <v>20</v>
      </c>
    </row>
    <row r="11" spans="1:8" ht="26.25" x14ac:dyDescent="0.25">
      <c r="A11" s="466" t="s">
        <v>190</v>
      </c>
      <c r="B11" s="213" t="s">
        <v>212</v>
      </c>
      <c r="C11" s="203">
        <v>2</v>
      </c>
      <c r="D11" s="204">
        <v>1</v>
      </c>
      <c r="E11" s="136" t="s">
        <v>211</v>
      </c>
      <c r="F11" s="220">
        <v>8.0226695303333664E-2</v>
      </c>
      <c r="G11" s="221">
        <v>1</v>
      </c>
      <c r="H11">
        <v>20</v>
      </c>
    </row>
    <row r="12" spans="1:8" ht="26.25" x14ac:dyDescent="0.25">
      <c r="A12" s="466" t="s">
        <v>382</v>
      </c>
      <c r="B12" s="213" t="s">
        <v>382</v>
      </c>
      <c r="C12" s="203">
        <v>2</v>
      </c>
      <c r="D12" s="204">
        <v>1</v>
      </c>
      <c r="E12" s="136" t="s">
        <v>211</v>
      </c>
      <c r="F12" s="220">
        <v>8.0226695303333664E-2</v>
      </c>
      <c r="G12" s="221">
        <v>1</v>
      </c>
      <c r="H12">
        <v>20</v>
      </c>
    </row>
    <row r="13" spans="1:8" ht="26.25" x14ac:dyDescent="0.25">
      <c r="A13" s="466" t="s">
        <v>183</v>
      </c>
      <c r="B13" s="213" t="s">
        <v>374</v>
      </c>
      <c r="C13" s="203">
        <v>2</v>
      </c>
      <c r="D13" s="204">
        <v>1</v>
      </c>
      <c r="E13" s="136" t="s">
        <v>211</v>
      </c>
      <c r="F13" s="220">
        <v>8.0226695303333664E-2</v>
      </c>
      <c r="G13" s="221">
        <v>1</v>
      </c>
      <c r="H13">
        <v>20</v>
      </c>
    </row>
    <row r="14" spans="1:8" ht="26.25" x14ac:dyDescent="0.25">
      <c r="A14" s="466" t="s">
        <v>184</v>
      </c>
      <c r="B14" s="213" t="s">
        <v>373</v>
      </c>
      <c r="C14" s="203">
        <v>2</v>
      </c>
      <c r="D14" s="204">
        <v>1</v>
      </c>
      <c r="E14" s="136" t="s">
        <v>211</v>
      </c>
      <c r="F14" s="220">
        <v>8.0226695303333664E-2</v>
      </c>
      <c r="G14" s="221">
        <v>1</v>
      </c>
      <c r="H14">
        <v>20</v>
      </c>
    </row>
    <row r="15" spans="1:8" x14ac:dyDescent="0.25">
      <c r="A15" s="466" t="s">
        <v>185</v>
      </c>
      <c r="B15" s="213" t="s">
        <v>185</v>
      </c>
      <c r="C15" s="203">
        <v>2</v>
      </c>
      <c r="D15" s="204">
        <v>1</v>
      </c>
      <c r="E15" s="136" t="s">
        <v>211</v>
      </c>
      <c r="F15" s="220">
        <v>8.0226695303333664E-2</v>
      </c>
      <c r="G15" s="221">
        <v>1</v>
      </c>
      <c r="H15">
        <v>20</v>
      </c>
    </row>
    <row r="16" spans="1:8" x14ac:dyDescent="0.25">
      <c r="A16" s="466" t="s">
        <v>381</v>
      </c>
      <c r="B16" s="213" t="s">
        <v>381</v>
      </c>
      <c r="C16" s="203">
        <v>2</v>
      </c>
      <c r="D16" s="204">
        <v>1</v>
      </c>
      <c r="E16" s="136" t="s">
        <v>211</v>
      </c>
      <c r="F16" s="220">
        <v>8.0226695303333664E-2</v>
      </c>
      <c r="G16" s="221">
        <v>1</v>
      </c>
      <c r="H16">
        <v>20</v>
      </c>
    </row>
    <row r="17" spans="1:8" x14ac:dyDescent="0.25">
      <c r="A17" s="466" t="s">
        <v>198</v>
      </c>
      <c r="B17" s="213" t="s">
        <v>198</v>
      </c>
      <c r="C17" s="203">
        <v>2</v>
      </c>
      <c r="D17" s="204">
        <v>1</v>
      </c>
      <c r="E17" s="136" t="s">
        <v>211</v>
      </c>
      <c r="F17" s="220">
        <v>8.0226695303333664E-2</v>
      </c>
      <c r="G17" s="221">
        <v>1</v>
      </c>
      <c r="H17">
        <v>20</v>
      </c>
    </row>
    <row r="18" spans="1:8" ht="26.25" x14ac:dyDescent="0.25">
      <c r="A18" s="466" t="s">
        <v>202</v>
      </c>
      <c r="B18" s="213" t="s">
        <v>202</v>
      </c>
      <c r="C18" s="203">
        <v>2</v>
      </c>
      <c r="D18" s="204">
        <v>1</v>
      </c>
      <c r="E18" s="136" t="s">
        <v>211</v>
      </c>
      <c r="F18" s="220">
        <v>8.0226695303333664E-2</v>
      </c>
      <c r="G18" s="221">
        <v>1</v>
      </c>
      <c r="H18">
        <v>20</v>
      </c>
    </row>
    <row r="19" spans="1:8" x14ac:dyDescent="0.25">
      <c r="A19" s="466" t="s">
        <v>378</v>
      </c>
      <c r="B19" s="213" t="s">
        <v>372</v>
      </c>
      <c r="C19" s="203">
        <v>3</v>
      </c>
      <c r="D19" s="204">
        <v>1</v>
      </c>
      <c r="E19" s="136" t="s">
        <v>211</v>
      </c>
      <c r="F19" s="220">
        <v>0.12609702789537749</v>
      </c>
      <c r="G19" s="221">
        <v>1</v>
      </c>
      <c r="H19">
        <v>10</v>
      </c>
    </row>
    <row r="20" spans="1:8" x14ac:dyDescent="0.25">
      <c r="A20" s="466" t="s">
        <v>379</v>
      </c>
      <c r="B20" s="213" t="s">
        <v>372</v>
      </c>
      <c r="C20" s="203">
        <v>3</v>
      </c>
      <c r="D20" s="204">
        <v>1</v>
      </c>
      <c r="E20" s="136" t="s">
        <v>211</v>
      </c>
      <c r="F20" s="220">
        <v>0.12609702789537749</v>
      </c>
      <c r="G20" s="221">
        <v>1</v>
      </c>
      <c r="H20">
        <v>10</v>
      </c>
    </row>
    <row r="21" spans="1:8" ht="26.25" x14ac:dyDescent="0.25">
      <c r="A21" s="466" t="s">
        <v>380</v>
      </c>
      <c r="B21" s="213" t="s">
        <v>372</v>
      </c>
      <c r="C21" s="203">
        <v>3</v>
      </c>
      <c r="D21" s="204">
        <v>1</v>
      </c>
      <c r="E21" s="136" t="s">
        <v>211</v>
      </c>
      <c r="F21" s="220">
        <v>0.12609702789537749</v>
      </c>
      <c r="G21" s="221">
        <v>1</v>
      </c>
      <c r="H21">
        <v>10</v>
      </c>
    </row>
    <row r="22" spans="1:8" x14ac:dyDescent="0.25">
      <c r="A22" s="466" t="s">
        <v>189</v>
      </c>
      <c r="B22" s="213" t="s">
        <v>212</v>
      </c>
      <c r="C22" s="203">
        <v>3</v>
      </c>
      <c r="D22" s="204">
        <v>1</v>
      </c>
      <c r="E22" s="136" t="s">
        <v>211</v>
      </c>
      <c r="F22" s="220">
        <v>0.12609702789537749</v>
      </c>
      <c r="G22" s="221">
        <v>1</v>
      </c>
      <c r="H22">
        <v>10</v>
      </c>
    </row>
    <row r="23" spans="1:8" ht="26.25" x14ac:dyDescent="0.25">
      <c r="A23" s="466" t="s">
        <v>190</v>
      </c>
      <c r="B23" s="213" t="s">
        <v>212</v>
      </c>
      <c r="C23" s="203">
        <v>3</v>
      </c>
      <c r="D23" s="204">
        <v>1</v>
      </c>
      <c r="E23" s="136" t="s">
        <v>211</v>
      </c>
      <c r="F23" s="220">
        <v>0.12609702789537749</v>
      </c>
      <c r="G23" s="221">
        <v>1</v>
      </c>
      <c r="H23">
        <v>10</v>
      </c>
    </row>
    <row r="24" spans="1:8" x14ac:dyDescent="0.25">
      <c r="A24" s="466" t="s">
        <v>193</v>
      </c>
      <c r="B24" s="213" t="s">
        <v>193</v>
      </c>
      <c r="C24" s="203">
        <v>3</v>
      </c>
      <c r="D24" s="204">
        <v>0.95</v>
      </c>
      <c r="E24" s="136" t="s">
        <v>211</v>
      </c>
      <c r="F24" s="220">
        <v>0.12609702789537749</v>
      </c>
      <c r="G24" s="221">
        <v>1</v>
      </c>
      <c r="H24">
        <v>10</v>
      </c>
    </row>
    <row r="25" spans="1:8" x14ac:dyDescent="0.25">
      <c r="A25" s="466" t="s">
        <v>192</v>
      </c>
      <c r="B25" s="213" t="s">
        <v>192</v>
      </c>
      <c r="C25" s="203">
        <v>3</v>
      </c>
      <c r="D25" s="204">
        <v>0.9</v>
      </c>
      <c r="E25" s="136" t="s">
        <v>211</v>
      </c>
      <c r="F25" s="220">
        <v>0.12609702789537749</v>
      </c>
      <c r="G25" s="221">
        <v>1</v>
      </c>
      <c r="H25">
        <v>10</v>
      </c>
    </row>
    <row r="26" spans="1:8" x14ac:dyDescent="0.25">
      <c r="A26" s="466" t="s">
        <v>194</v>
      </c>
      <c r="B26" s="213" t="s">
        <v>194</v>
      </c>
      <c r="C26" s="203">
        <v>3</v>
      </c>
      <c r="D26" s="204">
        <v>0.9</v>
      </c>
      <c r="E26" s="136" t="s">
        <v>211</v>
      </c>
      <c r="F26" s="220">
        <v>0.12609702789537749</v>
      </c>
      <c r="G26" s="221">
        <v>1</v>
      </c>
      <c r="H26">
        <v>10</v>
      </c>
    </row>
    <row r="27" spans="1:8" x14ac:dyDescent="0.25">
      <c r="A27" s="466" t="s">
        <v>383</v>
      </c>
      <c r="B27" s="213" t="s">
        <v>383</v>
      </c>
      <c r="C27" s="203">
        <v>3</v>
      </c>
      <c r="D27" s="204">
        <v>0.88500000000000001</v>
      </c>
      <c r="E27" s="136" t="s">
        <v>211</v>
      </c>
      <c r="F27" s="220">
        <v>0.12609702789537749</v>
      </c>
      <c r="G27" s="221">
        <v>1</v>
      </c>
      <c r="H27">
        <v>10</v>
      </c>
    </row>
    <row r="28" spans="1:8" x14ac:dyDescent="0.25">
      <c r="A28" s="466" t="s">
        <v>197</v>
      </c>
      <c r="B28" s="213" t="s">
        <v>197</v>
      </c>
      <c r="C28" s="203">
        <v>4</v>
      </c>
      <c r="D28" s="204">
        <v>1</v>
      </c>
      <c r="E28" s="136" t="s">
        <v>211</v>
      </c>
      <c r="F28" s="220">
        <v>0.12609702789537749</v>
      </c>
      <c r="G28" s="221">
        <v>1</v>
      </c>
      <c r="H28">
        <v>20</v>
      </c>
    </row>
    <row r="29" spans="1:8" ht="26.25" x14ac:dyDescent="0.25">
      <c r="A29" s="466" t="s">
        <v>384</v>
      </c>
      <c r="B29" s="213" t="s">
        <v>384</v>
      </c>
      <c r="C29" s="203">
        <v>4</v>
      </c>
      <c r="D29" s="204">
        <v>1</v>
      </c>
      <c r="E29" s="136" t="s">
        <v>211</v>
      </c>
      <c r="F29" s="220">
        <v>0.12609702789537749</v>
      </c>
      <c r="G29" s="221">
        <v>1</v>
      </c>
      <c r="H29">
        <v>20</v>
      </c>
    </row>
    <row r="30" spans="1:8" ht="51.75" x14ac:dyDescent="0.25">
      <c r="A30" s="463" t="s">
        <v>377</v>
      </c>
      <c r="B30" s="213" t="s">
        <v>386</v>
      </c>
      <c r="C30" s="203">
        <v>5</v>
      </c>
      <c r="D30" s="204">
        <v>1</v>
      </c>
      <c r="E30" s="136" t="s">
        <v>210</v>
      </c>
      <c r="F30" s="220">
        <v>0.12609702789537749</v>
      </c>
      <c r="G30" s="221" t="s">
        <v>179</v>
      </c>
      <c r="H30">
        <v>10</v>
      </c>
    </row>
    <row r="31" spans="1:8" ht="52.5" thickBot="1" x14ac:dyDescent="0.3">
      <c r="A31" s="464" t="s">
        <v>376</v>
      </c>
      <c r="B31" s="465" t="s">
        <v>386</v>
      </c>
      <c r="C31" s="458">
        <v>5</v>
      </c>
      <c r="D31" s="459">
        <v>1</v>
      </c>
      <c r="E31" s="452" t="s">
        <v>210</v>
      </c>
      <c r="F31" s="460">
        <v>0.12609702789537749</v>
      </c>
      <c r="G31" s="461" t="s">
        <v>179</v>
      </c>
      <c r="H31">
        <v>10</v>
      </c>
    </row>
  </sheetData>
  <sheetProtection algorithmName="SHA-512" hashValue="14h3WXP+X/Qun6Ij3Cuw8wYMU7PiM5SSXMNAKIUOOHUn8ZGPmbOatwhGq/1kVqFjh+4B0KBD8vEvzpC+8414RQ==" saltValue="YiteYpUmF6GacAX8oUq6xQ==" spinCount="100000" sheet="1" objects="1" scenarios="1"/>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0007E-EEA6-4EDB-AA9A-1D6ACAD7E168}">
  <sheetPr>
    <tabColor theme="1"/>
  </sheetPr>
  <dimension ref="B1:E20"/>
  <sheetViews>
    <sheetView workbookViewId="0">
      <selection sqref="A1:XFD1048576"/>
    </sheetView>
  </sheetViews>
  <sheetFormatPr defaultColWidth="9.140625" defaultRowHeight="15" x14ac:dyDescent="0.25"/>
  <cols>
    <col min="1" max="1" width="4.7109375" style="2" customWidth="1"/>
    <col min="2" max="2" width="33" style="2" customWidth="1"/>
    <col min="3" max="3" width="10.42578125" style="2" customWidth="1"/>
    <col min="4" max="4" width="12.42578125" style="2" customWidth="1"/>
    <col min="5" max="5" width="16.5703125" style="2" bestFit="1" customWidth="1"/>
    <col min="6" max="16384" width="9.140625" style="2"/>
  </cols>
  <sheetData>
    <row r="1" spans="2:5" ht="18.75" x14ac:dyDescent="0.3">
      <c r="B1" s="1" t="s">
        <v>268</v>
      </c>
    </row>
    <row r="2" spans="2:5" ht="15.75" thickBot="1" x14ac:dyDescent="0.3"/>
    <row r="3" spans="2:5" ht="45.75" thickBot="1" x14ac:dyDescent="0.3">
      <c r="C3" s="264" t="s">
        <v>12</v>
      </c>
      <c r="D3" s="265" t="s">
        <v>269</v>
      </c>
      <c r="E3" s="265" t="s">
        <v>270</v>
      </c>
    </row>
    <row r="4" spans="2:5" x14ac:dyDescent="0.25">
      <c r="B4" s="266" t="s">
        <v>271</v>
      </c>
      <c r="C4" s="267">
        <v>80</v>
      </c>
      <c r="D4" s="268">
        <f>AVERAGE(65.9,71.9,74.8,77.1)</f>
        <v>72.425000000000011</v>
      </c>
      <c r="E4" s="269"/>
    </row>
    <row r="5" spans="2:5" ht="15" customHeight="1" x14ac:dyDescent="0.25">
      <c r="B5" s="270" t="s">
        <v>272</v>
      </c>
      <c r="C5" s="271">
        <v>1070</v>
      </c>
      <c r="D5" s="272">
        <v>890</v>
      </c>
      <c r="E5" s="273"/>
    </row>
    <row r="6" spans="2:5" ht="17.25" customHeight="1" x14ac:dyDescent="0.25">
      <c r="B6" s="270" t="s">
        <v>273</v>
      </c>
      <c r="C6" s="274">
        <v>40</v>
      </c>
      <c r="D6" s="275">
        <v>40</v>
      </c>
      <c r="E6" s="273" t="s">
        <v>48</v>
      </c>
    </row>
    <row r="7" spans="2:5" ht="30" x14ac:dyDescent="0.25">
      <c r="B7" s="270" t="s">
        <v>274</v>
      </c>
      <c r="C7" s="274">
        <v>31</v>
      </c>
      <c r="D7" s="275">
        <v>31</v>
      </c>
      <c r="E7" s="273" t="s">
        <v>51</v>
      </c>
    </row>
    <row r="8" spans="2:5" ht="15.75" thickBot="1" x14ac:dyDescent="0.3">
      <c r="B8" s="276" t="s">
        <v>275</v>
      </c>
      <c r="C8" s="277">
        <v>78</v>
      </c>
      <c r="D8" s="278">
        <v>78</v>
      </c>
      <c r="E8" s="279"/>
    </row>
    <row r="9" spans="2:5" x14ac:dyDescent="0.25">
      <c r="B9" s="635"/>
      <c r="C9" s="635"/>
      <c r="D9" s="636"/>
      <c r="E9" s="636"/>
    </row>
    <row r="10" spans="2:5" x14ac:dyDescent="0.25">
      <c r="B10" s="431"/>
      <c r="C10" s="431"/>
      <c r="D10" s="431"/>
      <c r="E10" s="431"/>
    </row>
    <row r="11" spans="2:5" x14ac:dyDescent="0.25">
      <c r="B11" s="280" t="s">
        <v>276</v>
      </c>
    </row>
    <row r="12" spans="2:5" x14ac:dyDescent="0.25">
      <c r="B12" s="281" t="s">
        <v>277</v>
      </c>
    </row>
    <row r="13" spans="2:5" x14ac:dyDescent="0.25">
      <c r="B13" s="2" t="s">
        <v>278</v>
      </c>
    </row>
    <row r="14" spans="2:5" x14ac:dyDescent="0.25">
      <c r="B14" s="2" t="s">
        <v>279</v>
      </c>
    </row>
    <row r="15" spans="2:5" x14ac:dyDescent="0.25">
      <c r="B15" s="2" t="s">
        <v>280</v>
      </c>
    </row>
    <row r="16" spans="2:5" x14ac:dyDescent="0.25">
      <c r="B16" s="2" t="s">
        <v>281</v>
      </c>
    </row>
    <row r="17" spans="2:5" x14ac:dyDescent="0.25">
      <c r="B17" s="2" t="s">
        <v>282</v>
      </c>
    </row>
    <row r="20" spans="2:5" ht="78" customHeight="1" x14ac:dyDescent="0.25">
      <c r="B20" s="633" t="s">
        <v>283</v>
      </c>
      <c r="C20" s="633"/>
      <c r="D20" s="633"/>
      <c r="E20" s="633"/>
    </row>
  </sheetData>
  <sheetProtection algorithmName="SHA-512" hashValue="4ifb//NjtnHv/hkBbJW+QuRCbmk0UgNQ2qiPyZbQCLchQ2lTMoNb2RJ8/oxMy5aDtlhSilhWyznOTaatRryQxg==" saltValue="q+tyu7RmNVAlXWOwlIk34w==" spinCount="100000" sheet="1" objects="1" scenarios="1"/>
  <mergeCells count="2">
    <mergeCell ref="B9:E9"/>
    <mergeCell ref="B20:E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OPPT</EPA_x0020_Office>
    <Document_x0020_Creation_x0020_Date xmlns="4ffa91fb-a0ff-4ac5-b2db-65c790d184a4">2020-06-16T19:10:00+00:00</Document_x0020_Creation_x0020_Date>
    <EPA_x0020_Related_x0020_Documents xmlns="4ffa91fb-a0ff-4ac5-b2db-65c790d184a4" xsi:nil="true"/>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CatchAll xmlns="4ffa91fb-a0ff-4ac5-b2db-65c790d184a4"/>
    <TaxKeywordTaxHTField xmlns="4ffa91fb-a0ff-4ac5-b2db-65c790d184a4">
      <Terms xmlns="http://schemas.microsoft.com/office/infopath/2007/PartnerControls"/>
    </TaxKeywordTaxHTField>
    <Rights xmlns="4ffa91fb-a0ff-4ac5-b2db-65c790d184a4" xsi:nil="true"/>
    <e3f09c3df709400db2417a7161762d62 xmlns="4ffa91fb-a0ff-4ac5-b2db-65c790d184a4">
      <Terms xmlns="http://schemas.microsoft.com/office/infopath/2007/PartnerControls"/>
    </e3f09c3df709400db2417a7161762d62>
    <External_x0020_Contributor xmlns="4ffa91fb-a0ff-4ac5-b2db-65c790d184a4" xsi:nil="true"/>
    <Identifier xmlns="4ffa91fb-a0ff-4ac5-b2db-65c790d184a4" xsi:nil="true"/>
    <_ip_UnifiedCompliancePolicyUIAction xmlns="http://schemas.microsoft.com/sharepoint/v3" xsi:nil="true"/>
    <Creator xmlns="4ffa91fb-a0ff-4ac5-b2db-65c790d184a4">
      <UserInfo>
        <DisplayName/>
        <AccountId xsi:nil="true"/>
        <AccountType/>
      </UserInfo>
    </Creator>
    <_ip_UnifiedCompliancePolicyProperties xmlns="http://schemas.microsoft.com/sharepoint/v3" xsi:nil="true"/>
    <Language xmlns="http://schemas.microsoft.com/sharepoint/v3">English</Language>
    <j747ac98061d40f0aa7bd47e1db5675d xmlns="4ffa91fb-a0ff-4ac5-b2db-65c790d184a4">
      <Terms xmlns="http://schemas.microsoft.com/office/infopath/2007/PartnerControls"/>
    </j747ac98061d40f0aa7bd47e1db5675d>
    <SharedWithUsers xmlns="fecc2597-e8fd-4279-ac06-bd7c891938be">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AC79283EA4F4F8CFC9249EAB8280E" ma:contentTypeVersion="10" ma:contentTypeDescription="Create a new document." ma:contentTypeScope="" ma:versionID="b3884dbed5490c5400f3c71663aeb67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6fcc2850-1593-43c8-94a6-7c12222c7876" targetNamespace="http://schemas.microsoft.com/office/2006/metadata/properties" ma:root="true" ma:fieldsID="dc9586bd54a7bd1250edd2775978eff7"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6fcc2850-1593-43c8-94a6-7c12222c787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cc2850-1593-43c8-94a6-7c12222c7876"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53D1A6-FC8F-4468-BD6F-FE9B1CE58C2E}">
  <ds:schemaRefs>
    <ds:schemaRef ds:uri="http://schemas.microsoft.com/sharepoint/v3"/>
    <ds:schemaRef ds:uri="4ffa91fb-a0ff-4ac5-b2db-65c790d184a4"/>
    <ds:schemaRef ds:uri="http://schemas.microsoft.com/office/infopath/2007/PartnerControl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purl.org/dc/terms/"/>
    <ds:schemaRef ds:uri="6fcc2850-1593-43c8-94a6-7c12222c7876"/>
    <ds:schemaRef ds:uri="http://schemas.microsoft.com/office/2006/metadata/properties"/>
    <ds:schemaRef ds:uri="fecc2597-e8fd-4279-ac06-bd7c891938be"/>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000400F0-1B4A-4E96-8937-DF3AB4F77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6fcc2850-1593-43c8-94a6-7c12222c7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C374D4-D0CD-4B84-953E-F5FF9C15B57B}">
  <ds:schemaRefs>
    <ds:schemaRef ds:uri="Microsoft.SharePoint.Taxonomy.ContentTypeSync"/>
  </ds:schemaRefs>
</ds:datastoreItem>
</file>

<file path=customXml/itemProps4.xml><?xml version="1.0" encoding="utf-8"?>
<ds:datastoreItem xmlns:ds="http://schemas.openxmlformats.org/officeDocument/2006/customXml" ds:itemID="{79F6382A-98C0-421C-BC69-0FF79788B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Read Me</vt:lpstr>
      <vt:lpstr>Dashboard</vt:lpstr>
      <vt:lpstr>RR</vt:lpstr>
      <vt:lpstr>Dermal Exposure</vt:lpstr>
      <vt:lpstr>Exposure Results</vt:lpstr>
      <vt:lpstr>Hazard Values</vt:lpstr>
      <vt:lpstr>Dermal Crosswalk</vt:lpstr>
      <vt:lpstr>Exposure Factors</vt:lpstr>
      <vt:lpstr>Dermal Results</vt:lpstr>
      <vt:lpstr>ListValues</vt:lpstr>
      <vt:lpstr>'Hazard Values'!Exposure_Drop_down</vt:lpstr>
      <vt:lpstr>'Hazard Values'!HEC_Drop_down</vt:lpstr>
      <vt:lpstr>'Hazard Values'!Target_Cancer_Drop_down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Methylene Chloride: Supplemental Information Risk Calculator for Occupational Exposures</dc:title>
  <dc:subject>Methylene chloride occupational risk calculations</dc:subject>
  <dc:creator/>
  <cp:keywords/>
  <dc:description/>
  <cp:lastModifiedBy/>
  <cp:revision>1</cp:revision>
  <dcterms:created xsi:type="dcterms:W3CDTF">2020-06-16T17:59:06Z</dcterms:created>
  <dcterms:modified xsi:type="dcterms:W3CDTF">2020-06-17T15:31:44Z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Order">
    <vt:r8>42600</vt:r8>
  </property>
  <property fmtid="{D5CDD505-2E9C-101B-9397-08002B2CF9AE}" pid="4" name="xd_ProgID">
    <vt:lpwstr/>
  </property>
  <property fmtid="{D5CDD505-2E9C-101B-9397-08002B2CF9AE}" pid="5" name="ContentTypeId">
    <vt:lpwstr>0x0101002A9AC79283EA4F4F8CFC9249EAB8280E</vt:lpwstr>
  </property>
  <property fmtid="{D5CDD505-2E9C-101B-9397-08002B2CF9AE}" pid="6" name="ComplianceAssetId">
    <vt:lpwstr/>
  </property>
  <property fmtid="{D5CDD505-2E9C-101B-9397-08002B2CF9AE}" pid="7" name="TemplateUrl">
    <vt:lpwstr/>
  </property>
  <property fmtid="{D5CDD505-2E9C-101B-9397-08002B2CF9AE}" pid="8" name="EPA Subject">
    <vt:lpwstr/>
  </property>
  <property fmtid="{D5CDD505-2E9C-101B-9397-08002B2CF9AE}" pid="9" name="Document Type">
    <vt:lpwstr/>
  </property>
  <property fmtid="{D5CDD505-2E9C-101B-9397-08002B2CF9AE}" pid="10" name="xd_Signature">
    <vt:bool>false</vt:bool>
  </property>
</Properties>
</file>